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Ex1.xml" ContentType="application/vnd.ms-office.chartex+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7.xml" ContentType="application/vnd.ms-office.chartstyle+xml"/>
  <Override PartName="/xl/charts/colors7.xml" ContentType="application/vnd.ms-office.chartcolorstyle+xml"/>
  <Override PartName="/xl/charts/chartEx2.xml" ContentType="application/vnd.ms-office.chartex+xml"/>
  <Override PartName="/xl/charts/style8.xml" ContentType="application/vnd.ms-office.chartstyle+xml"/>
  <Override PartName="/xl/charts/colors8.xml" ContentType="application/vnd.ms-office.chartcolorstyle+xml"/>
  <Override PartName="/xl/charts/chart7.xml" ContentType="application/vnd.openxmlformats-officedocument.drawingml.chart+xml"/>
  <Override PartName="/xl/charts/style9.xml" ContentType="application/vnd.ms-office.chartstyle+xml"/>
  <Override PartName="/xl/charts/colors9.xml" ContentType="application/vnd.ms-office.chartcolorstyle+xml"/>
  <Override PartName="/xl/charts/chart8.xml" ContentType="application/vnd.openxmlformats-officedocument.drawingml.chart+xml"/>
  <Override PartName="/xl/charts/style10.xml" ContentType="application/vnd.ms-office.chartstyle+xml"/>
  <Override PartName="/xl/charts/colors10.xml" ContentType="application/vnd.ms-office.chartcolorstyle+xml"/>
  <Override PartName="/xl/charts/chart9.xml" ContentType="application/vnd.openxmlformats-officedocument.drawingml.chart+xml"/>
  <Override PartName="/xl/charts/style11.xml" ContentType="application/vnd.ms-office.chartstyle+xml"/>
  <Override PartName="/xl/charts/colors11.xml" ContentType="application/vnd.ms-office.chartcolorstyle+xml"/>
  <Override PartName="/xl/charts/chart10.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4.xml" ContentType="application/vnd.openxmlformats-officedocument.drawing+xml"/>
  <Override PartName="/xl/charts/chart11.xml" ContentType="application/vnd.openxmlformats-officedocument.drawingml.chart+xml"/>
  <Override PartName="/xl/charts/style13.xml" ContentType="application/vnd.ms-office.chartstyle+xml"/>
  <Override PartName="/xl/charts/colors13.xml" ContentType="application/vnd.ms-office.chartcolorstyle+xml"/>
  <Override PartName="/xl/charts/chart12.xml" ContentType="application/vnd.openxmlformats-officedocument.drawingml.chart+xml"/>
  <Override PartName="/xl/charts/style14.xml" ContentType="application/vnd.ms-office.chartstyle+xml"/>
  <Override PartName="/xl/charts/colors14.xml" ContentType="application/vnd.ms-office.chartcolorstyle+xml"/>
  <Override PartName="/xl/charts/chart13.xml" ContentType="application/vnd.openxmlformats-officedocument.drawingml.chart+xml"/>
  <Override PartName="/xl/charts/style15.xml" ContentType="application/vnd.ms-office.chartstyle+xml"/>
  <Override PartName="/xl/charts/colors15.xml" ContentType="application/vnd.ms-office.chartcolorstyle+xml"/>
  <Override PartName="/xl/charts/chart14.xml" ContentType="application/vnd.openxmlformats-officedocument.drawingml.chart+xml"/>
  <Override PartName="/xl/charts/style16.xml" ContentType="application/vnd.ms-office.chartstyle+xml"/>
  <Override PartName="/xl/charts/colors16.xml" ContentType="application/vnd.ms-office.chartcolorstyle+xml"/>
  <Override PartName="/xl/charts/chart15.xml" ContentType="application/vnd.openxmlformats-officedocument.drawingml.chart+xml"/>
  <Override PartName="/xl/charts/style17.xml" ContentType="application/vnd.ms-office.chartstyle+xml"/>
  <Override PartName="/xl/charts/colors17.xml" ContentType="application/vnd.ms-office.chartcolorstyle+xml"/>
  <Override PartName="/xl/charts/chart16.xml" ContentType="application/vnd.openxmlformats-officedocument.drawingml.chart+xml"/>
  <Override PartName="/xl/charts/style18.xml" ContentType="application/vnd.ms-office.chartstyle+xml"/>
  <Override PartName="/xl/charts/colors18.xml" ContentType="application/vnd.ms-office.chartcolorstyle+xml"/>
  <Override PartName="/xl/charts/chart17.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8.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8.xml" ContentType="application/vnd.openxmlformats-officedocument.drawing+xml"/>
  <Override PartName="/xl/charts/chart19.xml" ContentType="application/vnd.openxmlformats-officedocument.drawingml.chart+xml"/>
  <Override PartName="/xl/charts/style21.xml" ContentType="application/vnd.ms-office.chartstyle+xml"/>
  <Override PartName="/xl/charts/colors21.xml" ContentType="application/vnd.ms-office.chartcolorstyle+xml"/>
  <Override PartName="/xl/charts/chart20.xml" ContentType="application/vnd.openxmlformats-officedocument.drawingml.chart+xml"/>
  <Override PartName="/xl/charts/style22.xml" ContentType="application/vnd.ms-office.chartstyle+xml"/>
  <Override PartName="/xl/charts/colors22.xml" ContentType="application/vnd.ms-office.chartcolorstyle+xml"/>
  <Override PartName="/xl/charts/chart21.xml" ContentType="application/vnd.openxmlformats-officedocument.drawingml.chart+xml"/>
  <Override PartName="/xl/charts/style23.xml" ContentType="application/vnd.ms-office.chartstyle+xml"/>
  <Override PartName="/xl/charts/colors23.xml" ContentType="application/vnd.ms-office.chartcolorstyle+xml"/>
  <Override PartName="/xl/charts/chart22.xml" ContentType="application/vnd.openxmlformats-officedocument.drawingml.chart+xml"/>
  <Override PartName="/xl/charts/style24.xml" ContentType="application/vnd.ms-office.chartstyle+xml"/>
  <Override PartName="/xl/charts/colors24.xml" ContentType="application/vnd.ms-office.chartcolorstyle+xml"/>
  <Override PartName="/xl/charts/chart23.xml" ContentType="application/vnd.openxmlformats-officedocument.drawingml.chart+xml"/>
  <Override PartName="/xl/charts/style25.xml" ContentType="application/vnd.ms-office.chartstyle+xml"/>
  <Override PartName="/xl/charts/colors25.xml" ContentType="application/vnd.ms-office.chartcolorstyle+xml"/>
  <Override PartName="/xl/charts/chart24.xml" ContentType="application/vnd.openxmlformats-officedocument.drawingml.chart+xml"/>
  <Override PartName="/xl/charts/style26.xml" ContentType="application/vnd.ms-office.chartstyle+xml"/>
  <Override PartName="/xl/charts/colors26.xml" ContentType="application/vnd.ms-office.chartcolorstyle+xml"/>
  <Override PartName="/xl/drawings/drawing9.xml" ContentType="application/vnd.openxmlformats-officedocument.drawing+xml"/>
  <Override PartName="/xl/charts/chart25.xml" ContentType="application/vnd.openxmlformats-officedocument.drawingml.chart+xml"/>
  <Override PartName="/xl/charts/chart26.xml" ContentType="application/vnd.openxmlformats-officedocument.drawingml.chart+xml"/>
  <Override PartName="/xl/charts/style27.xml" ContentType="application/vnd.ms-office.chartstyle+xml"/>
  <Override PartName="/xl/charts/colors27.xml" ContentType="application/vnd.ms-office.chartcolorstyle+xml"/>
  <Override PartName="/xl/charts/chart27.xml" ContentType="application/vnd.openxmlformats-officedocument.drawingml.chart+xml"/>
  <Override PartName="/xl/charts/style28.xml" ContentType="application/vnd.ms-office.chartstyle+xml"/>
  <Override PartName="/xl/charts/colors28.xml" ContentType="application/vnd.ms-office.chartcolorstyle+xml"/>
  <Override PartName="/xl/charts/chart28.xml" ContentType="application/vnd.openxmlformats-officedocument.drawingml.chart+xml"/>
  <Override PartName="/xl/charts/style29.xml" ContentType="application/vnd.ms-office.chartstyle+xml"/>
  <Override PartName="/xl/charts/colors29.xml" ContentType="application/vnd.ms-office.chartcolorstyle+xml"/>
  <Override PartName="/xl/charts/chart29.xml" ContentType="application/vnd.openxmlformats-officedocument.drawingml.chart+xml"/>
  <Override PartName="/xl/charts/style30.xml" ContentType="application/vnd.ms-office.chartstyle+xml"/>
  <Override PartName="/xl/charts/colors30.xml" ContentType="application/vnd.ms-office.chartcolorstyle+xml"/>
  <Override PartName="/xl/charts/chart30.xml" ContentType="application/vnd.openxmlformats-officedocument.drawingml.chart+xml"/>
  <Override PartName="/xl/charts/style31.xml" ContentType="application/vnd.ms-office.chartstyle+xml"/>
  <Override PartName="/xl/charts/colors31.xml" ContentType="application/vnd.ms-office.chartcolorstyle+xml"/>
  <Override PartName="/xl/charts/chart31.xml" ContentType="application/vnd.openxmlformats-officedocument.drawingml.chart+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drawings/drawing10.xml" ContentType="application/vnd.openxmlformats-officedocument.drawing+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style35.xml" ContentType="application/vnd.ms-office.chartstyle+xml"/>
  <Override PartName="/xl/charts/colors35.xml" ContentType="application/vnd.ms-office.chartcolorstyle+xml"/>
  <Override PartName="/xl/charts/chart40.xml" ContentType="application/vnd.openxmlformats-officedocument.drawingml.chart+xml"/>
  <Override PartName="/xl/charts/style36.xml" ContentType="application/vnd.ms-office.chartstyle+xml"/>
  <Override PartName="/xl/charts/colors36.xml" ContentType="application/vnd.ms-office.chartcolorstyle+xml"/>
  <Override PartName="/xl/charts/chart41.xml" ContentType="application/vnd.openxmlformats-officedocument.drawingml.chart+xml"/>
  <Override PartName="/xl/charts/style37.xml" ContentType="application/vnd.ms-office.chartstyle+xml"/>
  <Override PartName="/xl/charts/colors37.xml" ContentType="application/vnd.ms-office.chartcolorstyle+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tables/table1.xml" ContentType="application/vnd.openxmlformats-officedocument.spreadsheetml.table+xml"/>
  <Override PartName="/xl/charts/chart45.xml" ContentType="application/vnd.openxmlformats-officedocument.drawingml.chart+xml"/>
  <Override PartName="/xl/charts/style38.xml" ContentType="application/vnd.ms-office.chartstyle+xml"/>
  <Override PartName="/xl/charts/colors38.xml" ContentType="application/vnd.ms-office.chartcolorstyle+xml"/>
  <Override PartName="/xl/charts/chart46.xml" ContentType="application/vnd.openxmlformats-officedocument.drawingml.chart+xml"/>
  <Override PartName="/xl/charts/style39.xml" ContentType="application/vnd.ms-office.chartstyle+xml"/>
  <Override PartName="/xl/charts/colors39.xml" ContentType="application/vnd.ms-office.chartcolorstyle+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reykjavik-my.sharepoint.com/personal/hreinn_hreinsson_reykjavik_is/Documents/Desktop/"/>
    </mc:Choice>
  </mc:AlternateContent>
  <xr:revisionPtr revIDLastSave="0" documentId="8_{C45A07AB-73AF-4723-8B22-F7D4E402E694}" xr6:coauthVersionLast="47" xr6:coauthVersionMax="47" xr10:uidLastSave="{00000000-0000-0000-0000-000000000000}"/>
  <workbookProtection workbookAlgorithmName="SHA-512" workbookHashValue="/Aj2l75ezJukThWx1g2qJKR6WwbnGfNRPIbsPrWjjysYYvx8HG+5B+RQVbGZj7FUipiX4WHjNFjmTOO75JWI3A==" workbookSaltValue="YeoTYHOkO+aLmJbhO116Gw==" workbookSpinCount="100000" lockStructure="1"/>
  <bookViews>
    <workbookView xWindow="3792" yWindow="1488" windowWidth="17280" windowHeight="8880" firstSheet="1" activeTab="1" xr2:uid="{CE4048B0-3062-4807-B083-26260F3A7241}"/>
  </bookViews>
  <sheets>
    <sheet name="Almennir losunarliðir" sheetId="4" state="hidden" r:id="rId1"/>
    <sheet name="Dashboard" sheetId="19" r:id="rId2"/>
    <sheet name="Mælaborð" sheetId="2" r:id="rId3"/>
    <sheet name="Samantekt" sheetId="30" r:id="rId4"/>
    <sheet name="Reykjavík" sheetId="3" state="hidden" r:id="rId5"/>
    <sheet name="Byggingariðnaður" sheetId="21" state="hidden" r:id="rId6"/>
    <sheet name="Notkunarflokkun 2024" sheetId="27" state="hidden" r:id="rId7"/>
    <sheet name="Götuumferð" sheetId="15" state="hidden" r:id="rId8"/>
    <sheet name="Sheet1" sheetId="29" state="hidden" r:id="rId9"/>
    <sheet name="Flug" sheetId="11" state="hidden" r:id="rId10"/>
    <sheet name="Skip" sheetId="12" state="hidden" r:id="rId11"/>
    <sheet name="Orka" sheetId="9" state="hidden" r:id="rId12"/>
    <sheet name="Úrgangur" sheetId="16" state="hidden" r:id="rId13"/>
    <sheet name="Fráveita" sheetId="17" state="hidden" r:id="rId14"/>
    <sheet name="Landbúnaður og landnotkun" sheetId="13" state="hidden" r:id="rId15"/>
    <sheet name="Sheet2" sheetId="28" state="hidden" r:id="rId16"/>
    <sheet name="Breytingar" sheetId="18" r:id="rId17"/>
  </sheets>
  <definedNames>
    <definedName name="_xlchart.v1.0" hidden="1">Reykjavík!$AD$188:$AD$204</definedName>
    <definedName name="_xlchart.v1.1" hidden="1">Reykjavík!$AE$188:$AE$204</definedName>
    <definedName name="_xlchart.v1.2" hidden="1">Reykjavík!$A$188:$A$204</definedName>
    <definedName name="_xlchart.v1.3" hidden="1">Reykjavík!$O$188:$O$204</definedName>
  </definedNames>
  <calcPr calcId="191029" iterate="1" iterateCount="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2" i="30" l="1"/>
  <c r="M41" i="30"/>
  <c r="M40" i="30"/>
  <c r="M39" i="30"/>
  <c r="M38" i="30"/>
  <c r="M37" i="30"/>
  <c r="M36" i="30"/>
  <c r="M35" i="30"/>
  <c r="M34" i="30"/>
  <c r="M33" i="30"/>
  <c r="M32" i="30"/>
  <c r="M31" i="30"/>
  <c r="M30" i="30"/>
  <c r="M29" i="30"/>
  <c r="M28" i="30"/>
  <c r="M27" i="30"/>
  <c r="AO26" i="30"/>
  <c r="AN26" i="30"/>
  <c r="AM26" i="30"/>
  <c r="AL26" i="30"/>
  <c r="M26" i="30"/>
  <c r="AO25" i="30"/>
  <c r="AN25" i="30"/>
  <c r="AM25" i="30"/>
  <c r="AL25" i="30"/>
  <c r="M25" i="30"/>
  <c r="AO24" i="30"/>
  <c r="AN24" i="30"/>
  <c r="AM24" i="30"/>
  <c r="AL24" i="30"/>
  <c r="M24" i="30"/>
  <c r="AO23" i="30"/>
  <c r="AN23" i="30"/>
  <c r="AM23" i="30"/>
  <c r="AL23" i="30"/>
  <c r="M23" i="30"/>
  <c r="AO22" i="30"/>
  <c r="AN22" i="30"/>
  <c r="AM22" i="30"/>
  <c r="AL22" i="30"/>
  <c r="M22" i="30"/>
  <c r="AO21" i="30"/>
  <c r="AN21" i="30"/>
  <c r="AM21" i="30"/>
  <c r="AL21" i="30"/>
  <c r="M21" i="30"/>
  <c r="M20" i="30"/>
  <c r="M19" i="30"/>
  <c r="M18" i="30"/>
  <c r="M17" i="30"/>
  <c r="M16" i="30"/>
  <c r="M15" i="30"/>
  <c r="V14" i="30"/>
  <c r="Z14" i="30" s="1"/>
  <c r="U14" i="30"/>
  <c r="Y14" i="30" s="1"/>
  <c r="T14" i="30"/>
  <c r="S14" i="30"/>
  <c r="R14" i="30"/>
  <c r="Q14" i="30"/>
  <c r="P14" i="30"/>
  <c r="V13" i="30"/>
  <c r="W13" i="30" s="1"/>
  <c r="X13" i="30" s="1"/>
  <c r="U13" i="30"/>
  <c r="T13" i="30"/>
  <c r="S13" i="30"/>
  <c r="R13" i="30"/>
  <c r="Q13" i="30"/>
  <c r="P13" i="30"/>
  <c r="AQ12" i="30" l="1"/>
  <c r="AQ21" i="30" s="1"/>
  <c r="Z13" i="30"/>
  <c r="AP13" i="30"/>
  <c r="AP22" i="30" s="1"/>
  <c r="AP14" i="30"/>
  <c r="AP23" i="30" s="1"/>
  <c r="Y13" i="30"/>
  <c r="AP15" i="30"/>
  <c r="AP24" i="30" s="1"/>
  <c r="AQ13" i="30"/>
  <c r="AQ22" i="30" s="1"/>
  <c r="W14" i="30"/>
  <c r="X14" i="30" s="1"/>
  <c r="AD16" i="30"/>
  <c r="AQ15" i="30"/>
  <c r="AQ24" i="30" s="1"/>
  <c r="AP12" i="30"/>
  <c r="AQ14" i="30"/>
  <c r="AQ23" i="30" s="1"/>
  <c r="AQ16" i="30" l="1"/>
  <c r="AQ25" i="30" s="1"/>
  <c r="AP16" i="30"/>
  <c r="AP25" i="30" s="1"/>
  <c r="AP21" i="30"/>
  <c r="AQ17" i="30" l="1"/>
  <c r="AQ26" i="30" s="1"/>
  <c r="AP17" i="30"/>
  <c r="AP26" i="30" s="1"/>
  <c r="H15" i="9" l="1"/>
  <c r="H56" i="9"/>
  <c r="J56" i="9" s="1"/>
  <c r="H48" i="9"/>
  <c r="J48" i="9" s="1"/>
  <c r="H49" i="9"/>
  <c r="J49" i="9" s="1"/>
  <c r="H50" i="9"/>
  <c r="I50" i="9" s="1"/>
  <c r="H51" i="9"/>
  <c r="I51" i="9" s="1"/>
  <c r="H52" i="9"/>
  <c r="I52" i="9" s="1"/>
  <c r="H53" i="9"/>
  <c r="I53" i="9" s="1"/>
  <c r="H54" i="9"/>
  <c r="J54" i="9" s="1"/>
  <c r="H55" i="9"/>
  <c r="J55" i="9" s="1"/>
  <c r="H57" i="9"/>
  <c r="J53" i="9" l="1"/>
  <c r="J52" i="9"/>
  <c r="I49" i="9"/>
  <c r="J50" i="9"/>
  <c r="J51" i="9"/>
  <c r="I56" i="9"/>
  <c r="I48" i="9"/>
  <c r="I55" i="9"/>
  <c r="I54" i="9"/>
  <c r="O13" i="3"/>
  <c r="O9" i="3"/>
  <c r="BE37" i="16"/>
  <c r="BG37" i="16" s="1"/>
  <c r="X93" i="3" l="1"/>
  <c r="AG93" i="3"/>
  <c r="AM93" i="3" s="1"/>
  <c r="AF93" i="3"/>
  <c r="AL93" i="3" s="1"/>
  <c r="AE93" i="3"/>
  <c r="AK93" i="3" s="1"/>
  <c r="AD93" i="3"/>
  <c r="AJ93" i="3" s="1"/>
  <c r="AC93" i="3"/>
  <c r="AI93" i="3" s="1"/>
  <c r="AB93" i="3"/>
  <c r="AB94" i="3" s="1"/>
  <c r="AF95" i="3" s="1"/>
  <c r="L84" i="3"/>
  <c r="U93" i="3"/>
  <c r="AD103" i="3"/>
  <c r="AD104" i="3"/>
  <c r="AD105" i="3"/>
  <c r="AD97" i="3"/>
  <c r="AD98" i="3"/>
  <c r="AD99" i="3"/>
  <c r="AD100" i="3"/>
  <c r="AD101" i="3"/>
  <c r="AD102" i="3"/>
  <c r="AD96" i="3"/>
  <c r="AI84" i="3"/>
  <c r="AJ84" i="3"/>
  <c r="AK84" i="3"/>
  <c r="AL84" i="3"/>
  <c r="AM84" i="3"/>
  <c r="AI85" i="3"/>
  <c r="AJ85" i="3"/>
  <c r="AK85" i="3"/>
  <c r="AL85" i="3"/>
  <c r="AM85" i="3"/>
  <c r="AI86" i="3"/>
  <c r="AJ86" i="3"/>
  <c r="AK86" i="3"/>
  <c r="AL86" i="3"/>
  <c r="AM86" i="3"/>
  <c r="AI87" i="3"/>
  <c r="AJ87" i="3"/>
  <c r="AK87" i="3"/>
  <c r="AL87" i="3"/>
  <c r="AM87" i="3"/>
  <c r="AI88" i="3"/>
  <c r="AJ88" i="3"/>
  <c r="AK88" i="3"/>
  <c r="AL88" i="3"/>
  <c r="AM88" i="3"/>
  <c r="AI89" i="3"/>
  <c r="AJ89" i="3"/>
  <c r="AK89" i="3"/>
  <c r="AL89" i="3"/>
  <c r="AM89" i="3"/>
  <c r="AI90" i="3"/>
  <c r="AJ90" i="3"/>
  <c r="AK90" i="3"/>
  <c r="AL90" i="3"/>
  <c r="AM90" i="3"/>
  <c r="AI91" i="3"/>
  <c r="AJ91" i="3"/>
  <c r="AK91" i="3"/>
  <c r="AL91" i="3"/>
  <c r="AM91" i="3"/>
  <c r="AI92" i="3"/>
  <c r="AJ92" i="3"/>
  <c r="AK92" i="3"/>
  <c r="AL92" i="3"/>
  <c r="AM92" i="3"/>
  <c r="AJ83" i="3"/>
  <c r="AK83" i="3"/>
  <c r="AL83" i="3"/>
  <c r="AM83" i="3"/>
  <c r="AI83" i="3"/>
  <c r="AQ41" i="16"/>
  <c r="AQ42" i="16"/>
  <c r="AQ43" i="16"/>
  <c r="AQ44" i="16"/>
  <c r="AQ45" i="16"/>
  <c r="AQ46" i="16"/>
  <c r="AO85" i="3" l="1"/>
  <c r="AO83" i="3"/>
  <c r="AO92" i="3"/>
  <c r="AO84" i="3"/>
  <c r="AO87" i="3"/>
  <c r="AO90" i="3"/>
  <c r="AO86" i="3"/>
  <c r="AF94" i="3"/>
  <c r="AO91" i="3"/>
  <c r="AO89" i="3"/>
  <c r="AO88" i="3"/>
  <c r="AO93" i="3"/>
  <c r="BP65" i="15"/>
  <c r="BO65" i="15"/>
  <c r="BN65" i="15"/>
  <c r="BP72" i="15"/>
  <c r="BO72" i="15"/>
  <c r="BN72" i="15"/>
  <c r="BP73" i="15"/>
  <c r="BO73" i="15"/>
  <c r="BN73" i="15"/>
  <c r="BP74" i="15"/>
  <c r="BO74" i="15"/>
  <c r="BN74" i="15"/>
  <c r="BP71" i="15"/>
  <c r="BO71" i="15"/>
  <c r="BP69" i="15"/>
  <c r="BO69" i="15"/>
  <c r="BN71" i="15"/>
  <c r="BP70" i="15"/>
  <c r="BO70" i="15"/>
  <c r="BN70" i="15"/>
  <c r="BN69" i="15"/>
  <c r="BP68" i="15"/>
  <c r="BO68" i="15"/>
  <c r="BN68" i="15"/>
  <c r="BP67" i="15"/>
  <c r="BO67" i="15"/>
  <c r="BN67" i="15"/>
  <c r="BP66" i="15"/>
  <c r="BO66" i="15"/>
  <c r="BN66" i="15"/>
  <c r="BP64" i="15"/>
  <c r="BO64" i="15"/>
  <c r="BN64" i="15"/>
  <c r="BP62" i="15"/>
  <c r="BO62" i="15"/>
  <c r="BN62" i="15"/>
  <c r="BP61" i="15"/>
  <c r="BO61" i="15"/>
  <c r="BN61" i="15"/>
  <c r="BP58" i="15"/>
  <c r="BO58" i="15"/>
  <c r="BN58" i="15"/>
  <c r="BP56" i="15"/>
  <c r="BO56" i="15"/>
  <c r="BN56" i="15"/>
  <c r="BP53" i="15"/>
  <c r="BO53" i="15"/>
  <c r="BN53" i="15"/>
  <c r="BP52" i="15"/>
  <c r="BO52" i="15"/>
  <c r="BN52" i="15"/>
  <c r="BP63" i="15"/>
  <c r="BO63" i="15"/>
  <c r="BN63" i="15"/>
  <c r="BP60" i="15"/>
  <c r="BO60" i="15"/>
  <c r="BN60" i="15"/>
  <c r="BP59" i="15"/>
  <c r="BO59" i="15"/>
  <c r="BN59" i="15"/>
  <c r="BP57" i="15"/>
  <c r="BO57" i="15"/>
  <c r="BN57" i="15"/>
  <c r="BP55" i="15"/>
  <c r="BO55" i="15"/>
  <c r="BN55" i="15"/>
  <c r="BP54" i="15"/>
  <c r="BO54" i="15"/>
  <c r="BN54" i="15"/>
  <c r="BP51" i="15"/>
  <c r="BO51" i="15"/>
  <c r="BN51" i="15"/>
  <c r="BP50" i="15"/>
  <c r="BO50" i="15"/>
  <c r="BN50" i="15"/>
  <c r="BP49" i="15"/>
  <c r="BO49" i="15"/>
  <c r="BN49" i="15"/>
  <c r="BP48" i="15"/>
  <c r="BO48" i="15"/>
  <c r="BN48" i="15"/>
  <c r="BP47" i="15"/>
  <c r="BO47" i="15"/>
  <c r="BN47" i="15"/>
  <c r="BP46" i="15"/>
  <c r="BO46" i="15"/>
  <c r="BN46" i="15"/>
  <c r="L13" i="3" l="1"/>
  <c r="K13" i="3"/>
  <c r="J13" i="3"/>
  <c r="I13" i="3"/>
  <c r="H13" i="3"/>
  <c r="G13" i="3"/>
  <c r="F13" i="3"/>
  <c r="E13" i="3"/>
  <c r="D13" i="3"/>
  <c r="C13" i="3"/>
  <c r="M13" i="3"/>
  <c r="CW89" i="15"/>
  <c r="CW90" i="15"/>
  <c r="CW91" i="15"/>
  <c r="CW92" i="15"/>
  <c r="CW93" i="15"/>
  <c r="CW94" i="15"/>
  <c r="CW95" i="15"/>
  <c r="AC50" i="15"/>
  <c r="Z50" i="15"/>
  <c r="T50" i="15"/>
  <c r="T48" i="15"/>
  <c r="T47" i="15"/>
  <c r="T46" i="15"/>
  <c r="T45" i="15"/>
  <c r="T44" i="15"/>
  <c r="U44" i="15" s="1"/>
  <c r="T25" i="15"/>
  <c r="T23" i="15"/>
  <c r="T22" i="15"/>
  <c r="T21" i="15"/>
  <c r="T20" i="15"/>
  <c r="T19" i="15"/>
  <c r="W43" i="15"/>
  <c r="X43" i="15" s="1"/>
  <c r="V43" i="15"/>
  <c r="O155" i="3"/>
  <c r="AE155" i="3"/>
  <c r="AE123" i="3"/>
  <c r="C197" i="3"/>
  <c r="C198" i="3"/>
  <c r="B198" i="3"/>
  <c r="G120" i="3"/>
  <c r="U45" i="15" l="1"/>
  <c r="AF38" i="15"/>
  <c r="Z49" i="15"/>
  <c r="AA49" i="15" s="1"/>
  <c r="AB49" i="15" s="1"/>
  <c r="Y43" i="15"/>
  <c r="X39" i="15"/>
  <c r="AC49" i="15"/>
  <c r="W45" i="15"/>
  <c r="X45" i="15" s="1"/>
  <c r="Y45" i="15" s="1"/>
  <c r="V45" i="15"/>
  <c r="U46" i="15"/>
  <c r="V44" i="15"/>
  <c r="W44" i="15"/>
  <c r="X44" i="15" s="1"/>
  <c r="Y44" i="15" s="1"/>
  <c r="AA50" i="15"/>
  <c r="AB50" i="15" l="1"/>
  <c r="U47" i="15"/>
  <c r="W46" i="15"/>
  <c r="X46" i="15" s="1"/>
  <c r="Y46" i="15" s="1"/>
  <c r="V46" i="15"/>
  <c r="V47" i="15" l="1"/>
  <c r="U48" i="15"/>
  <c r="W47" i="15"/>
  <c r="X47" i="15" s="1"/>
  <c r="Y47" i="15" s="1"/>
  <c r="W48" i="15" l="1"/>
  <c r="X48" i="15" s="1"/>
  <c r="Y48" i="15" s="1"/>
  <c r="V48" i="15"/>
  <c r="I120" i="3" l="1"/>
  <c r="K120" i="3"/>
  <c r="J120" i="3"/>
  <c r="H120" i="3"/>
  <c r="C120" i="3"/>
  <c r="D120" i="3" s="1"/>
  <c r="E120" i="3" s="1"/>
  <c r="F120" i="3" s="1"/>
  <c r="L120" i="3"/>
  <c r="M117" i="3"/>
  <c r="F86" i="3"/>
  <c r="E86" i="3"/>
  <c r="C86" i="3"/>
  <c r="D86" i="3"/>
  <c r="G86" i="3"/>
  <c r="H86" i="3"/>
  <c r="J86" i="3"/>
  <c r="K86" i="3"/>
  <c r="L86" i="3"/>
  <c r="M21" i="17"/>
  <c r="M24" i="17" s="1"/>
  <c r="D15" i="17"/>
  <c r="E15" i="17"/>
  <c r="F15" i="17"/>
  <c r="G15" i="17"/>
  <c r="H15" i="17"/>
  <c r="I15" i="17"/>
  <c r="J15" i="17"/>
  <c r="K15" i="17"/>
  <c r="L15" i="17"/>
  <c r="M15" i="17"/>
  <c r="M20" i="17" s="1"/>
  <c r="M33" i="17" s="1"/>
  <c r="M35" i="17" s="1"/>
  <c r="M36" i="17" s="1"/>
  <c r="AJ175" i="12"/>
  <c r="AJ174" i="12"/>
  <c r="AH174" i="12"/>
  <c r="D28" i="9"/>
  <c r="H47" i="9" s="1"/>
  <c r="BD166" i="13"/>
  <c r="BC180" i="13"/>
  <c r="BC181" i="13"/>
  <c r="BB180" i="13"/>
  <c r="BB181" i="13"/>
  <c r="AZ166" i="13"/>
  <c r="AY167" i="13"/>
  <c r="AY168" i="13"/>
  <c r="AY169" i="13"/>
  <c r="AY170" i="13"/>
  <c r="AY171" i="13"/>
  <c r="AY172" i="13"/>
  <c r="AY173" i="13"/>
  <c r="AY174" i="13"/>
  <c r="AY175" i="13"/>
  <c r="AY176" i="13"/>
  <c r="AY177" i="13"/>
  <c r="AY178" i="13"/>
  <c r="AY179" i="13"/>
  <c r="AY180" i="13"/>
  <c r="AY181" i="13"/>
  <c r="AY182" i="13"/>
  <c r="AY166" i="13"/>
  <c r="BI142" i="13"/>
  <c r="BI143" i="13"/>
  <c r="BI144" i="13"/>
  <c r="BI145" i="13"/>
  <c r="BI146" i="13"/>
  <c r="BI147" i="13"/>
  <c r="BI148" i="13"/>
  <c r="BI149" i="13"/>
  <c r="BI150" i="13"/>
  <c r="BI151" i="13"/>
  <c r="BI152" i="13"/>
  <c r="BI153" i="13"/>
  <c r="BI154" i="13"/>
  <c r="BJ154" i="13"/>
  <c r="BB179" i="13" s="1"/>
  <c r="BI157" i="13"/>
  <c r="BJ157" i="13"/>
  <c r="BB182" i="13" s="1"/>
  <c r="BH142" i="13"/>
  <c r="BA142" i="13"/>
  <c r="BA143" i="13"/>
  <c r="BH143" i="13"/>
  <c r="BD168" i="13" s="1"/>
  <c r="BA144" i="13"/>
  <c r="BH144" i="13"/>
  <c r="BA145" i="13"/>
  <c r="BH145" i="13"/>
  <c r="BD170" i="13" s="1"/>
  <c r="BA146" i="13"/>
  <c r="BE146" i="13"/>
  <c r="BH146" i="13"/>
  <c r="BD171" i="13" s="1"/>
  <c r="BA147" i="13"/>
  <c r="BE147" i="13"/>
  <c r="BH147" i="13"/>
  <c r="BD172" i="13" s="1"/>
  <c r="BA148" i="13"/>
  <c r="BH148" i="13"/>
  <c r="BD173" i="13" s="1"/>
  <c r="BA149" i="13"/>
  <c r="BE149" i="13"/>
  <c r="BH149" i="13"/>
  <c r="BA150" i="13"/>
  <c r="BE150" i="13"/>
  <c r="BH150" i="13"/>
  <c r="BD175" i="13" s="1"/>
  <c r="BA151" i="13"/>
  <c r="BH151" i="13"/>
  <c r="BD176" i="13" s="1"/>
  <c r="BA152" i="13"/>
  <c r="BH152" i="13"/>
  <c r="BD177" i="13" s="1"/>
  <c r="BA153" i="13"/>
  <c r="BH153" i="13"/>
  <c r="BD178" i="13" s="1"/>
  <c r="BA154" i="13"/>
  <c r="BE154" i="13"/>
  <c r="BF154" i="13"/>
  <c r="BG154" i="13"/>
  <c r="BH154" i="13"/>
  <c r="BA155" i="13"/>
  <c r="BE155" i="13"/>
  <c r="BF155" i="13"/>
  <c r="BG155" i="13"/>
  <c r="BA156" i="13"/>
  <c r="BE156" i="13"/>
  <c r="BF156" i="13"/>
  <c r="BG156" i="13"/>
  <c r="BA157" i="13"/>
  <c r="BE157" i="13"/>
  <c r="BF157" i="13"/>
  <c r="BH157" i="13"/>
  <c r="BD182" i="13" s="1"/>
  <c r="AZ157" i="13"/>
  <c r="AZ182" i="13" s="1"/>
  <c r="AZ156" i="13"/>
  <c r="AZ181" i="13" s="1"/>
  <c r="AZ155" i="13"/>
  <c r="AZ180" i="13" s="1"/>
  <c r="AZ154" i="13"/>
  <c r="AZ179" i="13" s="1"/>
  <c r="AZ153" i="13"/>
  <c r="AZ178" i="13" s="1"/>
  <c r="AZ152" i="13"/>
  <c r="AZ177" i="13" s="1"/>
  <c r="AZ151" i="13"/>
  <c r="AZ176" i="13" s="1"/>
  <c r="AZ150" i="13"/>
  <c r="AZ175" i="13" s="1"/>
  <c r="AZ149" i="13"/>
  <c r="AZ174" i="13" s="1"/>
  <c r="AZ148" i="13"/>
  <c r="AZ173" i="13" s="1"/>
  <c r="AZ147" i="13"/>
  <c r="AZ172" i="13" s="1"/>
  <c r="AZ146" i="13"/>
  <c r="AZ171" i="13" s="1"/>
  <c r="AZ144" i="13"/>
  <c r="AZ169" i="13" s="1"/>
  <c r="AZ143" i="13"/>
  <c r="AZ168" i="13" s="1"/>
  <c r="AZ142" i="13"/>
  <c r="AZ167" i="13" s="1"/>
  <c r="AZ145" i="13"/>
  <c r="AZ170" i="13" s="1"/>
  <c r="BA110" i="13"/>
  <c r="BJ153" i="13" s="1"/>
  <c r="BF137" i="13"/>
  <c r="BF136" i="13"/>
  <c r="BF135" i="13"/>
  <c r="BF134" i="13"/>
  <c r="BF133" i="13"/>
  <c r="AW122" i="13"/>
  <c r="BF149" i="13" s="1"/>
  <c r="AV113" i="13"/>
  <c r="AW113" i="13" s="1"/>
  <c r="BF145" i="13" s="1"/>
  <c r="BG80" i="13"/>
  <c r="BH80" i="13" s="1"/>
  <c r="BG78" i="13"/>
  <c r="BH78" i="13" s="1"/>
  <c r="AH98" i="13"/>
  <c r="AZ137" i="13"/>
  <c r="AZ135" i="13"/>
  <c r="AZ134" i="13"/>
  <c r="AY133" i="13"/>
  <c r="AZ133" i="13" s="1"/>
  <c r="AT137" i="13"/>
  <c r="AT136" i="13"/>
  <c r="AT135" i="13"/>
  <c r="AT134" i="13"/>
  <c r="AZ136" i="13"/>
  <c r="AT133" i="13"/>
  <c r="AV110" i="13"/>
  <c r="BE153" i="13" s="1"/>
  <c r="AV114" i="13"/>
  <c r="AW114" i="13" s="1"/>
  <c r="AV115" i="13"/>
  <c r="BE143" i="13" s="1"/>
  <c r="AW118" i="13"/>
  <c r="AV116" i="13"/>
  <c r="AW116" i="13" s="1"/>
  <c r="BA116" i="13" s="1"/>
  <c r="AW109" i="13"/>
  <c r="AW121" i="13"/>
  <c r="BA121" i="13" s="1"/>
  <c r="AV120" i="13"/>
  <c r="AW120" i="13" s="1"/>
  <c r="AV119" i="13"/>
  <c r="AR124" i="13"/>
  <c r="AS123" i="13"/>
  <c r="AT123" i="13" s="1"/>
  <c r="BC144" i="13" s="1"/>
  <c r="AS122" i="13"/>
  <c r="AT122" i="13" s="1"/>
  <c r="BC149" i="13" s="1"/>
  <c r="AS121" i="13"/>
  <c r="AT121" i="13" s="1"/>
  <c r="AS120" i="13"/>
  <c r="AT120" i="13" s="1"/>
  <c r="AS119" i="13"/>
  <c r="AT119" i="13" s="1"/>
  <c r="BC151" i="13" s="1"/>
  <c r="AS118" i="13"/>
  <c r="AT118" i="13" s="1"/>
  <c r="BC146" i="13" s="1"/>
  <c r="AS117" i="13"/>
  <c r="AT117" i="13" s="1"/>
  <c r="BC156" i="13" s="1"/>
  <c r="AS116" i="13"/>
  <c r="AT116" i="13" s="1"/>
  <c r="BC148" i="13" s="1"/>
  <c r="AS115" i="13"/>
  <c r="AT115" i="13" s="1"/>
  <c r="BC143" i="13" s="1"/>
  <c r="AS114" i="13"/>
  <c r="AT114" i="13" s="1"/>
  <c r="BC142" i="13" s="1"/>
  <c r="AS113" i="13"/>
  <c r="AS112" i="13"/>
  <c r="AT112" i="13" s="1"/>
  <c r="AS111" i="13"/>
  <c r="AT111" i="13" s="1"/>
  <c r="BC155" i="13" s="1"/>
  <c r="AS110" i="13"/>
  <c r="AT110" i="13" s="1"/>
  <c r="BC153" i="13" s="1"/>
  <c r="AS109" i="13"/>
  <c r="AT109" i="13" s="1"/>
  <c r="BC147" i="13" s="1"/>
  <c r="AS108" i="13"/>
  <c r="BB157" i="13" s="1"/>
  <c r="BA182" i="13" s="1"/>
  <c r="AQ44" i="15"/>
  <c r="AQ45" i="15"/>
  <c r="AQ46" i="15"/>
  <c r="AQ47" i="15"/>
  <c r="AQ48" i="15"/>
  <c r="AQ49" i="15"/>
  <c r="H12" i="9"/>
  <c r="D24" i="3" s="1"/>
  <c r="H11" i="9"/>
  <c r="E24" i="3" s="1"/>
  <c r="H10" i="9"/>
  <c r="H9" i="9"/>
  <c r="H24" i="9"/>
  <c r="H23" i="9"/>
  <c r="H22" i="9"/>
  <c r="F24" i="3" s="1"/>
  <c r="H21" i="9"/>
  <c r="G24" i="3" s="1"/>
  <c r="H20" i="9"/>
  <c r="H24" i="3" s="1"/>
  <c r="H19" i="9"/>
  <c r="I24" i="3" s="1"/>
  <c r="H18" i="9"/>
  <c r="J24" i="3" s="1"/>
  <c r="H17" i="9"/>
  <c r="K24" i="3" s="1"/>
  <c r="H16" i="9"/>
  <c r="L24" i="3" s="1"/>
  <c r="B17" i="9"/>
  <c r="B15" i="9"/>
  <c r="J47" i="9" l="1"/>
  <c r="I47" i="9"/>
  <c r="BF150" i="13"/>
  <c r="F28" i="9"/>
  <c r="A28" i="9" s="1"/>
  <c r="C42" i="9"/>
  <c r="AT138" i="13"/>
  <c r="BA109" i="13" s="1"/>
  <c r="BJ147" i="13" s="1"/>
  <c r="BB172" i="13" s="1"/>
  <c r="BB111" i="13"/>
  <c r="AS98" i="13"/>
  <c r="BJ150" i="13"/>
  <c r="BB175" i="13" s="1"/>
  <c r="BB121" i="13"/>
  <c r="BK150" i="13" s="1"/>
  <c r="BC175" i="13" s="1"/>
  <c r="BB116" i="13"/>
  <c r="BK148" i="13" s="1"/>
  <c r="BC173" i="13" s="1"/>
  <c r="BJ148" i="13"/>
  <c r="BB173" i="13" s="1"/>
  <c r="AV123" i="13"/>
  <c r="AW123" i="13" s="1"/>
  <c r="BA123" i="13" s="1"/>
  <c r="BB156" i="13"/>
  <c r="BL156" i="13" s="1"/>
  <c r="BF148" i="13"/>
  <c r="BA158" i="13"/>
  <c r="BB148" i="13"/>
  <c r="BA173" i="13" s="1"/>
  <c r="BH158" i="13"/>
  <c r="J28" i="9"/>
  <c r="M31" i="3" s="1"/>
  <c r="BB152" i="13"/>
  <c r="BA177" i="13" s="1"/>
  <c r="BB144" i="13"/>
  <c r="BA169" i="13" s="1"/>
  <c r="BB154" i="13"/>
  <c r="BA179" i="13" s="1"/>
  <c r="BB146" i="13"/>
  <c r="BA171" i="13" s="1"/>
  <c r="BI158" i="13"/>
  <c r="AX118" i="13"/>
  <c r="BG146" i="13" s="1"/>
  <c r="BB155" i="13"/>
  <c r="BL155" i="13" s="1"/>
  <c r="BB151" i="13"/>
  <c r="BA176" i="13" s="1"/>
  <c r="BB149" i="13"/>
  <c r="BA174" i="13" s="1"/>
  <c r="BB108" i="13"/>
  <c r="BK157" i="13" s="1"/>
  <c r="BC182" i="13" s="1"/>
  <c r="BB147" i="13"/>
  <c r="BA172" i="13" s="1"/>
  <c r="BB145" i="13"/>
  <c r="BA170" i="13" s="1"/>
  <c r="BB143" i="13"/>
  <c r="BA168" i="13" s="1"/>
  <c r="AW115" i="13"/>
  <c r="AX115" i="13" s="1"/>
  <c r="BG143" i="13" s="1"/>
  <c r="BB110" i="13"/>
  <c r="BK153" i="13" s="1"/>
  <c r="BB153" i="13"/>
  <c r="BA178" i="13" s="1"/>
  <c r="M120" i="3"/>
  <c r="BC150" i="13"/>
  <c r="BB150" i="13"/>
  <c r="BA175" i="13" s="1"/>
  <c r="AT113" i="13"/>
  <c r="AS99" i="13"/>
  <c r="AZ138" i="13"/>
  <c r="BA118" i="13" s="1"/>
  <c r="BJ146" i="13" s="1"/>
  <c r="AX120" i="13"/>
  <c r="BG152" i="13" s="1"/>
  <c r="BA120" i="13"/>
  <c r="BJ152" i="13" s="1"/>
  <c r="BF152" i="13"/>
  <c r="BL147" i="13"/>
  <c r="AW119" i="13"/>
  <c r="BE151" i="13"/>
  <c r="AX114" i="13"/>
  <c r="BG142" i="13" s="1"/>
  <c r="BF142" i="13"/>
  <c r="BA114" i="13"/>
  <c r="AX108" i="13"/>
  <c r="BG157" i="13" s="1"/>
  <c r="AT145" i="13"/>
  <c r="AS124" i="13"/>
  <c r="AX109" i="13"/>
  <c r="BG147" i="13" s="1"/>
  <c r="AW110" i="13"/>
  <c r="BF147" i="13"/>
  <c r="BF146" i="13"/>
  <c r="BE142" i="13"/>
  <c r="AX116" i="13"/>
  <c r="BG148" i="13" s="1"/>
  <c r="BB117" i="13"/>
  <c r="BF138" i="13"/>
  <c r="BA122" i="13" s="1"/>
  <c r="BJ149" i="13" s="1"/>
  <c r="BE152" i="13"/>
  <c r="BE148" i="13"/>
  <c r="BE145" i="13"/>
  <c r="BD167" i="13"/>
  <c r="BC154" i="13"/>
  <c r="BC152" i="13"/>
  <c r="BB142" i="13"/>
  <c r="BB178" i="13"/>
  <c r="BL157" i="13"/>
  <c r="AX122" i="13"/>
  <c r="BG149" i="13" s="1"/>
  <c r="AT108" i="13"/>
  <c r="AX121" i="13"/>
  <c r="BG150" i="13" s="1"/>
  <c r="BB112" i="13"/>
  <c r="BK154" i="13" s="1"/>
  <c r="BC179" i="13" s="1"/>
  <c r="AX113" i="13"/>
  <c r="BG145" i="13" s="1"/>
  <c r="BA113" i="13"/>
  <c r="W149" i="21"/>
  <c r="W150" i="21"/>
  <c r="W151" i="21"/>
  <c r="W152" i="21"/>
  <c r="W153" i="21"/>
  <c r="W154" i="21"/>
  <c r="V163" i="21"/>
  <c r="W162" i="21"/>
  <c r="W161" i="21"/>
  <c r="W160" i="21"/>
  <c r="W159" i="21"/>
  <c r="W158" i="21"/>
  <c r="W157" i="21"/>
  <c r="W156" i="21"/>
  <c r="V164" i="21"/>
  <c r="S314" i="15"/>
  <c r="O283" i="15" s="1"/>
  <c r="S313" i="15"/>
  <c r="O270" i="15" s="1"/>
  <c r="S312" i="15"/>
  <c r="O257" i="15" s="1"/>
  <c r="S311" i="15"/>
  <c r="O244" i="15" s="1"/>
  <c r="S310" i="15"/>
  <c r="O231" i="15" s="1"/>
  <c r="S309" i="15"/>
  <c r="O218" i="15" s="1"/>
  <c r="Q310" i="15"/>
  <c r="N231" i="15" s="1"/>
  <c r="Q311" i="15"/>
  <c r="N244" i="15" s="1"/>
  <c r="Q312" i="15"/>
  <c r="N257" i="15" s="1"/>
  <c r="Q313" i="15"/>
  <c r="N270" i="15" s="1"/>
  <c r="Q314" i="15"/>
  <c r="N283" i="15" s="1"/>
  <c r="Q309" i="15"/>
  <c r="N218" i="15" s="1"/>
  <c r="O313" i="15"/>
  <c r="O312" i="15"/>
  <c r="O311" i="15"/>
  <c r="O310" i="15"/>
  <c r="O309" i="15"/>
  <c r="O308" i="15"/>
  <c r="O307" i="15"/>
  <c r="O306" i="15"/>
  <c r="O305" i="15"/>
  <c r="O304" i="15"/>
  <c r="O303" i="15"/>
  <c r="O302" i="15"/>
  <c r="O301" i="15"/>
  <c r="O300" i="15"/>
  <c r="O299" i="15"/>
  <c r="O298" i="15"/>
  <c r="O297" i="15"/>
  <c r="O296" i="15"/>
  <c r="O314" i="15"/>
  <c r="M46" i="3"/>
  <c r="AI32" i="16"/>
  <c r="AI33" i="16"/>
  <c r="AI34" i="16"/>
  <c r="AI35" i="16"/>
  <c r="AI36" i="16"/>
  <c r="AI37" i="16"/>
  <c r="AI38" i="16"/>
  <c r="AI39" i="16"/>
  <c r="AI40" i="16"/>
  <c r="AI41" i="16"/>
  <c r="AI42" i="16"/>
  <c r="AI43" i="16"/>
  <c r="AI44" i="16"/>
  <c r="AI45" i="16"/>
  <c r="M88" i="3"/>
  <c r="M90" i="3"/>
  <c r="B178" i="13"/>
  <c r="K177" i="13"/>
  <c r="E177" i="13"/>
  <c r="K176" i="13"/>
  <c r="E176" i="13"/>
  <c r="K175" i="13"/>
  <c r="E175" i="13"/>
  <c r="D174" i="13"/>
  <c r="C174" i="13"/>
  <c r="C178" i="13" s="1"/>
  <c r="K173" i="13"/>
  <c r="E173" i="13"/>
  <c r="E172" i="13"/>
  <c r="E171" i="13"/>
  <c r="D170" i="13"/>
  <c r="C170" i="13"/>
  <c r="E169" i="13"/>
  <c r="E168" i="13"/>
  <c r="E167" i="13"/>
  <c r="D166" i="13"/>
  <c r="C166" i="13"/>
  <c r="E165" i="13"/>
  <c r="E164" i="13"/>
  <c r="E163" i="13"/>
  <c r="J162" i="13"/>
  <c r="E162" i="13"/>
  <c r="BK28" i="16"/>
  <c r="M50" i="3"/>
  <c r="M40" i="3" a="1"/>
  <c r="M40" i="3" s="1"/>
  <c r="C18" i="30" s="1"/>
  <c r="AH175" i="12"/>
  <c r="M41" i="3" s="1" a="1"/>
  <c r="M41" i="3" s="1"/>
  <c r="C19" i="30" s="1"/>
  <c r="AH166" i="12"/>
  <c r="D41" i="3" s="1" a="1"/>
  <c r="D41" i="3" s="1"/>
  <c r="AJ166" i="12"/>
  <c r="D40" i="3" s="1" a="1"/>
  <c r="D40" i="3" s="1"/>
  <c r="AI46" i="16"/>
  <c r="M60" i="3"/>
  <c r="AY97" i="11"/>
  <c r="AY96" i="11"/>
  <c r="AY95" i="11"/>
  <c r="AY94" i="11"/>
  <c r="AY91" i="11"/>
  <c r="AY119" i="11"/>
  <c r="AY118" i="11"/>
  <c r="AY117" i="11"/>
  <c r="AY116" i="11"/>
  <c r="AY113" i="11"/>
  <c r="AY108" i="11"/>
  <c r="AY107" i="11"/>
  <c r="AY106" i="11"/>
  <c r="AY105" i="11"/>
  <c r="AY102" i="11"/>
  <c r="AX120" i="11"/>
  <c r="AZ119" i="11"/>
  <c r="AZ118" i="11"/>
  <c r="AZ117" i="11"/>
  <c r="BE115" i="11"/>
  <c r="BB115" i="11"/>
  <c r="AZ115" i="11"/>
  <c r="BE114" i="11"/>
  <c r="BB114" i="11"/>
  <c r="AZ114" i="11"/>
  <c r="BB113" i="11"/>
  <c r="BE112" i="11"/>
  <c r="BB112" i="11"/>
  <c r="AZ112" i="11"/>
  <c r="BE111" i="11"/>
  <c r="BB111" i="11"/>
  <c r="AZ111" i="11"/>
  <c r="BE110" i="11"/>
  <c r="BD110" i="11"/>
  <c r="BB110" i="11"/>
  <c r="AZ110" i="11"/>
  <c r="M132" i="11"/>
  <c r="AP131" i="11"/>
  <c r="AQ131" i="11"/>
  <c r="AP132" i="11"/>
  <c r="AQ132" i="11"/>
  <c r="AP133" i="11"/>
  <c r="AQ133" i="11"/>
  <c r="AP134" i="11"/>
  <c r="AQ134" i="11"/>
  <c r="AP135" i="11"/>
  <c r="AQ135" i="11"/>
  <c r="AP136" i="11"/>
  <c r="AQ136" i="11"/>
  <c r="U89" i="11"/>
  <c r="U90" i="11"/>
  <c r="U91" i="11"/>
  <c r="U92" i="11"/>
  <c r="U93" i="11"/>
  <c r="U94" i="11"/>
  <c r="U95" i="11"/>
  <c r="U96" i="11"/>
  <c r="U97" i="11"/>
  <c r="U98" i="11"/>
  <c r="U99" i="11"/>
  <c r="U100" i="11"/>
  <c r="U102" i="11"/>
  <c r="U103" i="11"/>
  <c r="U104" i="11"/>
  <c r="U105" i="11"/>
  <c r="U106" i="11"/>
  <c r="U107" i="11"/>
  <c r="U108" i="11"/>
  <c r="U109" i="11"/>
  <c r="U110" i="11"/>
  <c r="U111" i="11"/>
  <c r="U112" i="11"/>
  <c r="U113" i="11"/>
  <c r="U115" i="11"/>
  <c r="U116" i="11"/>
  <c r="U117" i="11"/>
  <c r="U118" i="11"/>
  <c r="U119" i="11"/>
  <c r="U120" i="11"/>
  <c r="U121" i="11"/>
  <c r="U122" i="11"/>
  <c r="U123" i="11"/>
  <c r="U124" i="11"/>
  <c r="U125" i="11"/>
  <c r="U126" i="11"/>
  <c r="U128" i="11"/>
  <c r="U129" i="11"/>
  <c r="U130" i="11"/>
  <c r="U131" i="11"/>
  <c r="U132" i="11"/>
  <c r="U134" i="11"/>
  <c r="U135" i="11"/>
  <c r="U136" i="11"/>
  <c r="U137" i="11"/>
  <c r="U138" i="11"/>
  <c r="U139" i="11"/>
  <c r="U133" i="11"/>
  <c r="F140" i="11"/>
  <c r="E140" i="11"/>
  <c r="D140" i="11"/>
  <c r="C140" i="11"/>
  <c r="B140" i="11"/>
  <c r="O139" i="11"/>
  <c r="N139" i="11"/>
  <c r="M139" i="11"/>
  <c r="AQ129" i="11" s="1"/>
  <c r="L139" i="11"/>
  <c r="AP129" i="11" s="1"/>
  <c r="J139" i="11"/>
  <c r="I139" i="11"/>
  <c r="H139" i="11"/>
  <c r="G139" i="11"/>
  <c r="O138" i="11"/>
  <c r="N138" i="11"/>
  <c r="M138" i="11"/>
  <c r="L138" i="11"/>
  <c r="J138" i="11"/>
  <c r="I138" i="11"/>
  <c r="H138" i="11"/>
  <c r="G138" i="11"/>
  <c r="O137" i="11"/>
  <c r="N137" i="11"/>
  <c r="M137" i="11"/>
  <c r="L137" i="11"/>
  <c r="J137" i="11"/>
  <c r="I137" i="11"/>
  <c r="H137" i="11"/>
  <c r="G137" i="11"/>
  <c r="O136" i="11"/>
  <c r="N136" i="11"/>
  <c r="M136" i="11"/>
  <c r="L136" i="11"/>
  <c r="J136" i="11"/>
  <c r="I136" i="11"/>
  <c r="H136" i="11"/>
  <c r="G136" i="11"/>
  <c r="O135" i="11"/>
  <c r="N135" i="11"/>
  <c r="M135" i="11"/>
  <c r="L135" i="11"/>
  <c r="J135" i="11"/>
  <c r="I135" i="11"/>
  <c r="H135" i="11"/>
  <c r="G135" i="11"/>
  <c r="O134" i="11"/>
  <c r="N134" i="11"/>
  <c r="M134" i="11"/>
  <c r="L134" i="11"/>
  <c r="J134" i="11"/>
  <c r="I134" i="11"/>
  <c r="H134" i="11"/>
  <c r="G134" i="11"/>
  <c r="O133" i="11"/>
  <c r="N133" i="11"/>
  <c r="M133" i="11"/>
  <c r="L133" i="11"/>
  <c r="J133" i="11"/>
  <c r="I133" i="11"/>
  <c r="H133" i="11"/>
  <c r="G133" i="11"/>
  <c r="O132" i="11"/>
  <c r="N132" i="11"/>
  <c r="L132" i="11"/>
  <c r="J132" i="11"/>
  <c r="J140" i="11" s="1"/>
  <c r="I132" i="11"/>
  <c r="I140" i="11" s="1"/>
  <c r="H132" i="11"/>
  <c r="H140" i="11" s="1"/>
  <c r="G132" i="11"/>
  <c r="O131" i="11"/>
  <c r="N131" i="11"/>
  <c r="M131" i="11"/>
  <c r="L131" i="11"/>
  <c r="J131" i="11"/>
  <c r="I131" i="11"/>
  <c r="H131" i="11"/>
  <c r="G131" i="11"/>
  <c r="O130" i="11"/>
  <c r="N130" i="11"/>
  <c r="M130" i="11"/>
  <c r="L130" i="11"/>
  <c r="J130" i="11"/>
  <c r="I130" i="11"/>
  <c r="H130" i="11"/>
  <c r="G130" i="11"/>
  <c r="O129" i="11"/>
  <c r="N129" i="11"/>
  <c r="M129" i="11"/>
  <c r="L129" i="11"/>
  <c r="J129" i="11"/>
  <c r="I129" i="11"/>
  <c r="H129" i="11"/>
  <c r="G129" i="11"/>
  <c r="O128" i="11"/>
  <c r="N128" i="11"/>
  <c r="M128" i="11"/>
  <c r="L128" i="11"/>
  <c r="K128" i="11"/>
  <c r="J128" i="11"/>
  <c r="I128" i="11"/>
  <c r="H128" i="11"/>
  <c r="G128" i="11"/>
  <c r="AI137" i="12"/>
  <c r="AI136" i="12"/>
  <c r="AI135" i="12"/>
  <c r="AI132" i="12"/>
  <c r="AI131" i="12"/>
  <c r="AI129" i="12"/>
  <c r="AI128" i="12"/>
  <c r="AI127" i="12"/>
  <c r="AI126" i="12"/>
  <c r="L131" i="12"/>
  <c r="L40" i="3" a="1"/>
  <c r="L40" i="3" s="1"/>
  <c r="L41" i="3" a="1"/>
  <c r="L41" i="3" s="1"/>
  <c r="AJ173" i="12"/>
  <c r="K40" i="3" s="1" a="1"/>
  <c r="K40" i="3" s="1"/>
  <c r="AH173" i="12"/>
  <c r="K41" i="3" s="1" a="1"/>
  <c r="K41" i="3" s="1"/>
  <c r="AJ172" i="12"/>
  <c r="J40" i="3" s="1" a="1"/>
  <c r="J40" i="3" s="1"/>
  <c r="AH172" i="12"/>
  <c r="J41" i="3" s="1" a="1"/>
  <c r="J41" i="3" s="1"/>
  <c r="AJ171" i="12"/>
  <c r="I40" i="3" s="1" a="1"/>
  <c r="I40" i="3" s="1"/>
  <c r="AH171" i="12"/>
  <c r="I41" i="3" s="1" a="1"/>
  <c r="I41" i="3" s="1"/>
  <c r="AJ170" i="12"/>
  <c r="H40" i="3" s="1" a="1"/>
  <c r="H40" i="3" s="1"/>
  <c r="AH170" i="12"/>
  <c r="H41" i="3" s="1" a="1"/>
  <c r="H41" i="3" s="1"/>
  <c r="AJ169" i="12"/>
  <c r="G40" i="3" s="1" a="1"/>
  <c r="G40" i="3" s="1"/>
  <c r="AH169" i="12"/>
  <c r="G41" i="3" s="1" a="1"/>
  <c r="G41" i="3" s="1"/>
  <c r="AJ168" i="12"/>
  <c r="F40" i="3" s="1" a="1"/>
  <c r="F40" i="3" s="1"/>
  <c r="AH168" i="12"/>
  <c r="F41" i="3" s="1" a="1"/>
  <c r="F41" i="3" s="1"/>
  <c r="AJ167" i="12"/>
  <c r="E40" i="3" s="1" a="1"/>
  <c r="E40" i="3" s="1"/>
  <c r="AH167" i="12"/>
  <c r="E41" i="3" s="1" a="1"/>
  <c r="E41" i="3" s="1"/>
  <c r="L127" i="12"/>
  <c r="K127" i="12"/>
  <c r="K126" i="12"/>
  <c r="Q133" i="12"/>
  <c r="Q130" i="12"/>
  <c r="S175" i="12"/>
  <c r="S174" i="12"/>
  <c r="S173" i="12"/>
  <c r="S172" i="12"/>
  <c r="S171" i="12"/>
  <c r="S170" i="12"/>
  <c r="S169" i="12"/>
  <c r="S168" i="12"/>
  <c r="S167" i="12"/>
  <c r="S166" i="12"/>
  <c r="G167" i="12"/>
  <c r="G168" i="12"/>
  <c r="G169" i="12"/>
  <c r="G170" i="12"/>
  <c r="G171" i="12"/>
  <c r="G172" i="12"/>
  <c r="G173" i="12"/>
  <c r="G174" i="12"/>
  <c r="G175" i="12"/>
  <c r="G166" i="12"/>
  <c r="F130" i="12"/>
  <c r="F133" i="12"/>
  <c r="M27" i="3"/>
  <c r="M29" i="3" s="1"/>
  <c r="M30" i="3"/>
  <c r="AR7" i="3"/>
  <c r="AR8" i="3"/>
  <c r="AR9" i="3"/>
  <c r="AR13" i="3"/>
  <c r="AR14" i="3"/>
  <c r="AR16" i="3"/>
  <c r="AR6" i="3"/>
  <c r="AQ7" i="3"/>
  <c r="AQ8" i="3"/>
  <c r="AQ9" i="3"/>
  <c r="AQ13" i="3"/>
  <c r="AQ14" i="3"/>
  <c r="AQ16" i="3"/>
  <c r="AQ6" i="3"/>
  <c r="M9" i="3"/>
  <c r="V46" i="16" s="1"/>
  <c r="AV46" i="16" s="1"/>
  <c r="M8" i="3"/>
  <c r="M6" i="3"/>
  <c r="BK30" i="16" s="1"/>
  <c r="BK31" i="16" s="1"/>
  <c r="AO15" i="3"/>
  <c r="BA181" i="13" l="1"/>
  <c r="BA115" i="13"/>
  <c r="AK173" i="12"/>
  <c r="AK172" i="12"/>
  <c r="AK171" i="12"/>
  <c r="BF143" i="13"/>
  <c r="AK174" i="12"/>
  <c r="BB109" i="13"/>
  <c r="BK147" i="13" s="1"/>
  <c r="BL154" i="13"/>
  <c r="AK166" i="12"/>
  <c r="M125" i="3"/>
  <c r="V16" i="30" s="1"/>
  <c r="C14" i="30"/>
  <c r="AK170" i="12"/>
  <c r="AK169" i="12"/>
  <c r="AJ176" i="12"/>
  <c r="AK168" i="12"/>
  <c r="BL148" i="13"/>
  <c r="E28" i="9"/>
  <c r="AK167" i="12"/>
  <c r="BA180" i="13"/>
  <c r="AK175" i="12"/>
  <c r="BL153" i="13"/>
  <c r="BC178" i="13"/>
  <c r="BK166" i="13"/>
  <c r="C14" i="2"/>
  <c r="W163" i="21"/>
  <c r="X163" i="21" s="1"/>
  <c r="M113" i="3" s="1"/>
  <c r="BE144" i="13"/>
  <c r="BE158" i="13" s="1"/>
  <c r="BE113" i="11"/>
  <c r="M130" i="3"/>
  <c r="V22" i="30" s="1"/>
  <c r="C18" i="2"/>
  <c r="C18" i="19"/>
  <c r="C19" i="2"/>
  <c r="C19" i="19"/>
  <c r="M158" i="3"/>
  <c r="Q231" i="15"/>
  <c r="T52" i="15" s="1"/>
  <c r="M121" i="3"/>
  <c r="C37" i="30" s="1"/>
  <c r="M32" i="3"/>
  <c r="BB123" i="13"/>
  <c r="BK144" i="13" s="1"/>
  <c r="BC169" i="13" s="1"/>
  <c r="BJ144" i="13"/>
  <c r="BE118" i="11"/>
  <c r="Q218" i="15"/>
  <c r="AT146" i="13"/>
  <c r="AX119" i="13"/>
  <c r="BG151" i="13" s="1"/>
  <c r="BA119" i="13"/>
  <c r="BJ151" i="13" s="1"/>
  <c r="BF151" i="13"/>
  <c r="BB171" i="13"/>
  <c r="BL146" i="13"/>
  <c r="AY98" i="11"/>
  <c r="BC157" i="13"/>
  <c r="AT124" i="13"/>
  <c r="AU108" i="13" s="1"/>
  <c r="BJ143" i="13"/>
  <c r="BB115" i="13"/>
  <c r="BK143" i="13" s="1"/>
  <c r="BC168" i="13" s="1"/>
  <c r="BC145" i="13"/>
  <c r="AT98" i="13"/>
  <c r="BL150" i="13"/>
  <c r="BB118" i="13"/>
  <c r="BK146" i="13" s="1"/>
  <c r="BK160" i="13" s="1"/>
  <c r="BB158" i="13"/>
  <c r="BA167" i="13"/>
  <c r="BB174" i="13"/>
  <c r="BL149" i="13"/>
  <c r="AX110" i="13"/>
  <c r="BG153" i="13" s="1"/>
  <c r="BF153" i="13"/>
  <c r="AX123" i="13"/>
  <c r="BG144" i="13" s="1"/>
  <c r="BF144" i="13"/>
  <c r="BB122" i="13"/>
  <c r="BK149" i="13" s="1"/>
  <c r="BC174" i="13" s="1"/>
  <c r="AI130" i="12"/>
  <c r="BB113" i="13"/>
  <c r="BK145" i="13" s="1"/>
  <c r="BC170" i="13" s="1"/>
  <c r="BJ145" i="13"/>
  <c r="BJ142" i="13"/>
  <c r="BB114" i="13"/>
  <c r="BK142" i="13" s="1"/>
  <c r="BB120" i="13"/>
  <c r="BK152" i="13" s="1"/>
  <c r="BC177" i="13" s="1"/>
  <c r="Q257" i="15"/>
  <c r="Q244" i="15"/>
  <c r="Q270" i="15"/>
  <c r="Q134" i="12"/>
  <c r="Q138" i="12" s="1"/>
  <c r="E170" i="13"/>
  <c r="U46" i="16"/>
  <c r="BE117" i="11"/>
  <c r="O41" i="3"/>
  <c r="M89" i="3"/>
  <c r="AY109" i="11"/>
  <c r="BE116" i="11"/>
  <c r="BB118" i="11"/>
  <c r="AI133" i="12"/>
  <c r="BB116" i="11"/>
  <c r="E166" i="13"/>
  <c r="E174" i="13"/>
  <c r="I170" i="13"/>
  <c r="I174" i="13" s="1"/>
  <c r="BB119" i="11"/>
  <c r="BB120" i="11" s="1"/>
  <c r="AY120" i="11"/>
  <c r="BE119" i="11"/>
  <c r="BB117" i="11"/>
  <c r="G140" i="11"/>
  <c r="F134" i="12"/>
  <c r="F138" i="12" s="1"/>
  <c r="O125" i="3" l="1"/>
  <c r="BC158" i="13"/>
  <c r="BF158" i="13"/>
  <c r="BA183" i="13"/>
  <c r="BG158" i="13"/>
  <c r="BK161" i="13"/>
  <c r="BK162" i="13"/>
  <c r="G68" i="3"/>
  <c r="F68" i="3"/>
  <c r="M68" i="3"/>
  <c r="E68" i="3"/>
  <c r="L68" i="3"/>
  <c r="K68" i="3"/>
  <c r="J68" i="3"/>
  <c r="I68" i="3"/>
  <c r="H68" i="3"/>
  <c r="D68" i="3"/>
  <c r="AX124" i="13"/>
  <c r="M163" i="3"/>
  <c r="M193" i="3"/>
  <c r="O130" i="3"/>
  <c r="M146" i="3"/>
  <c r="V35" i="30" s="1"/>
  <c r="C37" i="2"/>
  <c r="O158" i="3"/>
  <c r="T27" i="15"/>
  <c r="T26" i="15"/>
  <c r="T51" i="15"/>
  <c r="T29" i="15"/>
  <c r="T54" i="15"/>
  <c r="T30" i="15"/>
  <c r="T55" i="15"/>
  <c r="T28" i="15"/>
  <c r="T53" i="15"/>
  <c r="AJ46" i="16"/>
  <c r="AW46" i="16"/>
  <c r="AY46" i="16" s="1"/>
  <c r="BC167" i="13"/>
  <c r="AU115" i="13"/>
  <c r="BD143" i="13" s="1"/>
  <c r="AU123" i="13"/>
  <c r="BD144" i="13" s="1"/>
  <c r="AU116" i="13"/>
  <c r="BD148" i="13" s="1"/>
  <c r="AU110" i="13"/>
  <c r="BD153" i="13" s="1"/>
  <c r="AU118" i="13"/>
  <c r="BD146" i="13" s="1"/>
  <c r="AU114" i="13"/>
  <c r="BD142" i="13" s="1"/>
  <c r="AU122" i="13"/>
  <c r="BD149" i="13" s="1"/>
  <c r="AU117" i="13"/>
  <c r="BD156" i="13" s="1"/>
  <c r="AU121" i="13"/>
  <c r="BD150" i="13" s="1"/>
  <c r="AU119" i="13"/>
  <c r="BD151" i="13" s="1"/>
  <c r="AU109" i="13"/>
  <c r="BD147" i="13" s="1"/>
  <c r="AU111" i="13"/>
  <c r="BD155" i="13" s="1"/>
  <c r="AU112" i="13"/>
  <c r="BD154" i="13" s="1"/>
  <c r="AU120" i="13"/>
  <c r="BD152" i="13" s="1"/>
  <c r="BB167" i="13"/>
  <c r="BL142" i="13"/>
  <c r="BC171" i="13"/>
  <c r="BD157" i="13"/>
  <c r="BJ158" i="13"/>
  <c r="BL158" i="13" s="1"/>
  <c r="BB119" i="13"/>
  <c r="BK151" i="13" s="1"/>
  <c r="BK163" i="13" s="1"/>
  <c r="AU113" i="13"/>
  <c r="BB126" i="13"/>
  <c r="BL144" i="13"/>
  <c r="BB169" i="13"/>
  <c r="BC172" i="13"/>
  <c r="BL152" i="13"/>
  <c r="BB177" i="13"/>
  <c r="BL143" i="13"/>
  <c r="BB168" i="13"/>
  <c r="BL145" i="13"/>
  <c r="BB170" i="13"/>
  <c r="BE120" i="11"/>
  <c r="M42" i="3"/>
  <c r="AI134" i="12"/>
  <c r="AI138" i="12" s="1"/>
  <c r="I175" i="13"/>
  <c r="I176" i="13" s="1"/>
  <c r="I177" i="13" s="1"/>
  <c r="I178" i="13" s="1"/>
  <c r="E178" i="13"/>
  <c r="BK165" i="13" l="1"/>
  <c r="F69" i="3"/>
  <c r="M69" i="3"/>
  <c r="E69" i="3"/>
  <c r="L69" i="3"/>
  <c r="K69" i="3"/>
  <c r="J69" i="3"/>
  <c r="D69" i="3"/>
  <c r="I69" i="3"/>
  <c r="H69" i="3"/>
  <c r="G69" i="3"/>
  <c r="BK158" i="13"/>
  <c r="M70" i="3"/>
  <c r="E70" i="3"/>
  <c r="L70" i="3"/>
  <c r="K70" i="3"/>
  <c r="J70" i="3"/>
  <c r="I70" i="3"/>
  <c r="H70" i="3"/>
  <c r="G70" i="3"/>
  <c r="D70" i="3"/>
  <c r="F70" i="3"/>
  <c r="H67" i="3"/>
  <c r="G67" i="3"/>
  <c r="D67" i="3"/>
  <c r="F67" i="3"/>
  <c r="M67" i="3"/>
  <c r="C33" i="30" s="1"/>
  <c r="E67" i="3"/>
  <c r="L67" i="3"/>
  <c r="K67" i="3"/>
  <c r="J67" i="3"/>
  <c r="I67" i="3"/>
  <c r="M201" i="3"/>
  <c r="O146" i="3"/>
  <c r="M178" i="3"/>
  <c r="O163" i="3"/>
  <c r="Z51" i="15"/>
  <c r="AC51" i="15"/>
  <c r="BA46" i="16"/>
  <c r="M54" i="3" s="1"/>
  <c r="C26" i="30" s="1"/>
  <c r="M53" i="3"/>
  <c r="BB124" i="13"/>
  <c r="AU124" i="13"/>
  <c r="BD145" i="13"/>
  <c r="BD158" i="13" s="1"/>
  <c r="AU98" i="13"/>
  <c r="BC176" i="13"/>
  <c r="BC183" i="13" s="1"/>
  <c r="BL151" i="13"/>
  <c r="BB176" i="13"/>
  <c r="I66" i="3" l="1"/>
  <c r="I140" i="3"/>
  <c r="I198" i="3"/>
  <c r="I197" i="3"/>
  <c r="I139" i="3"/>
  <c r="R31" i="30" s="1"/>
  <c r="J198" i="3"/>
  <c r="J66" i="3"/>
  <c r="J140" i="3"/>
  <c r="H140" i="3"/>
  <c r="H66" i="3"/>
  <c r="H198" i="3"/>
  <c r="D197" i="3"/>
  <c r="D139" i="3"/>
  <c r="K66" i="3"/>
  <c r="K140" i="3"/>
  <c r="K198" i="3"/>
  <c r="J139" i="3"/>
  <c r="S31" i="30" s="1"/>
  <c r="J197" i="3"/>
  <c r="G140" i="3"/>
  <c r="G198" i="3"/>
  <c r="G66" i="3"/>
  <c r="L66" i="3"/>
  <c r="L140" i="3"/>
  <c r="L198" i="3"/>
  <c r="K139" i="3"/>
  <c r="T31" i="30" s="1"/>
  <c r="K197" i="3"/>
  <c r="E198" i="3"/>
  <c r="E66" i="3"/>
  <c r="E140" i="3"/>
  <c r="L139" i="3"/>
  <c r="U31" i="30" s="1"/>
  <c r="L197" i="3"/>
  <c r="M140" i="3"/>
  <c r="C33" i="2"/>
  <c r="M198" i="3"/>
  <c r="M66" i="3"/>
  <c r="C32" i="30" s="1"/>
  <c r="E197" i="3"/>
  <c r="E139" i="3"/>
  <c r="F198" i="3"/>
  <c r="F66" i="3"/>
  <c r="F140" i="3"/>
  <c r="G197" i="3"/>
  <c r="G139" i="3"/>
  <c r="P31" i="30" s="1"/>
  <c r="M197" i="3"/>
  <c r="M139" i="3"/>
  <c r="V31" i="30" s="1"/>
  <c r="W31" i="30" s="1"/>
  <c r="X31" i="30" s="1"/>
  <c r="D198" i="3"/>
  <c r="D66" i="3"/>
  <c r="D140" i="3"/>
  <c r="H139" i="3"/>
  <c r="Q31" i="30" s="1"/>
  <c r="H197" i="3"/>
  <c r="F197" i="3"/>
  <c r="F139" i="3"/>
  <c r="O178" i="3"/>
  <c r="C26" i="2"/>
  <c r="AC52" i="15"/>
  <c r="AA51" i="15"/>
  <c r="AB51" i="15" s="1"/>
  <c r="Z52" i="15"/>
  <c r="AO46" i="16"/>
  <c r="M51" i="3"/>
  <c r="C24" i="30" s="1"/>
  <c r="AT46" i="16"/>
  <c r="BB46" i="16" s="1"/>
  <c r="AD46" i="16"/>
  <c r="AE46" i="16"/>
  <c r="AG46" i="16" s="1"/>
  <c r="AF46" i="16"/>
  <c r="BE46" i="16"/>
  <c r="AE45" i="16"/>
  <c r="P138" i="12"/>
  <c r="O138" i="12"/>
  <c r="E138" i="12"/>
  <c r="D138" i="12"/>
  <c r="B138" i="12"/>
  <c r="AL137" i="12"/>
  <c r="AJ137" i="12"/>
  <c r="AH137" i="12"/>
  <c r="AG137" i="12"/>
  <c r="AF137" i="12"/>
  <c r="W137" i="12"/>
  <c r="V137" i="12"/>
  <c r="L137" i="12"/>
  <c r="K137" i="12"/>
  <c r="AL136" i="12"/>
  <c r="AJ136" i="12"/>
  <c r="AH136" i="12"/>
  <c r="AG136" i="12"/>
  <c r="AF136" i="12"/>
  <c r="W136" i="12"/>
  <c r="V136" i="12"/>
  <c r="L136" i="12"/>
  <c r="K136" i="12"/>
  <c r="AL135" i="12"/>
  <c r="AJ135" i="12"/>
  <c r="AH135" i="12"/>
  <c r="AG135" i="12"/>
  <c r="AF135" i="12"/>
  <c r="W135" i="12"/>
  <c r="V135" i="12"/>
  <c r="L135" i="12"/>
  <c r="K135" i="12"/>
  <c r="AH134" i="12"/>
  <c r="AG134" i="12"/>
  <c r="AH133" i="12"/>
  <c r="AG133" i="12"/>
  <c r="T133" i="12"/>
  <c r="R133" i="12"/>
  <c r="N133" i="12"/>
  <c r="K133" i="12"/>
  <c r="G133" i="12"/>
  <c r="C133" i="12"/>
  <c r="AL132" i="12"/>
  <c r="AJ132" i="12"/>
  <c r="AH132" i="12"/>
  <c r="AG132" i="12"/>
  <c r="AF132" i="12"/>
  <c r="W132" i="12"/>
  <c r="V132" i="12"/>
  <c r="L132" i="12"/>
  <c r="K132" i="12"/>
  <c r="AL131" i="12"/>
  <c r="AJ131" i="12"/>
  <c r="AH131" i="12"/>
  <c r="AG131" i="12"/>
  <c r="AF131" i="12"/>
  <c r="W131" i="12"/>
  <c r="V131" i="12"/>
  <c r="K131" i="12"/>
  <c r="AH130" i="12"/>
  <c r="AG130" i="12"/>
  <c r="T130" i="12"/>
  <c r="R130" i="12"/>
  <c r="S130" i="12" s="1"/>
  <c r="N130" i="12"/>
  <c r="I130" i="12"/>
  <c r="I134" i="12" s="1"/>
  <c r="G130" i="12"/>
  <c r="H130" i="12" s="1"/>
  <c r="C130" i="12"/>
  <c r="AL129" i="12"/>
  <c r="AJ129" i="12"/>
  <c r="AH129" i="12"/>
  <c r="AG129" i="12"/>
  <c r="AF129" i="12"/>
  <c r="W129" i="12"/>
  <c r="V129" i="12"/>
  <c r="S129" i="12"/>
  <c r="L129" i="12"/>
  <c r="K129" i="12"/>
  <c r="H129" i="12"/>
  <c r="AL128" i="12"/>
  <c r="AJ128" i="12"/>
  <c r="AH128" i="12"/>
  <c r="AG128" i="12"/>
  <c r="AF128" i="12"/>
  <c r="W128" i="12"/>
  <c r="V128" i="12"/>
  <c r="S128" i="12"/>
  <c r="L128" i="12"/>
  <c r="K128" i="12"/>
  <c r="H128" i="12"/>
  <c r="AL127" i="12"/>
  <c r="AJ127" i="12"/>
  <c r="AH127" i="12"/>
  <c r="AG127" i="12"/>
  <c r="AF127" i="12"/>
  <c r="W127" i="12"/>
  <c r="V127" i="12"/>
  <c r="S127" i="12"/>
  <c r="H127" i="12"/>
  <c r="AM126" i="12"/>
  <c r="AL126" i="12"/>
  <c r="AJ126" i="12"/>
  <c r="AK126" i="12" s="1"/>
  <c r="AH126" i="12"/>
  <c r="AG126" i="12"/>
  <c r="AF126" i="12"/>
  <c r="W126" i="12"/>
  <c r="V126" i="12"/>
  <c r="U126" i="12"/>
  <c r="S126" i="12"/>
  <c r="L126" i="12"/>
  <c r="J126" i="12"/>
  <c r="H126" i="12"/>
  <c r="I74" i="9"/>
  <c r="K74" i="9" s="1"/>
  <c r="I68" i="9"/>
  <c r="K68" i="9" s="1"/>
  <c r="I69" i="9"/>
  <c r="K69" i="9" s="1"/>
  <c r="I70" i="9"/>
  <c r="K70" i="9" s="1"/>
  <c r="I71" i="9"/>
  <c r="K71" i="9" s="1"/>
  <c r="I72" i="9"/>
  <c r="K72" i="9" s="1"/>
  <c r="I73" i="9"/>
  <c r="K73" i="9" s="1"/>
  <c r="I75" i="9"/>
  <c r="K75" i="9" s="1"/>
  <c r="I76" i="9"/>
  <c r="K76" i="9" s="1"/>
  <c r="I67" i="9"/>
  <c r="K67" i="9" s="1"/>
  <c r="G68" i="9"/>
  <c r="G69" i="9"/>
  <c r="G70" i="9"/>
  <c r="G71" i="9"/>
  <c r="G72" i="9"/>
  <c r="G73" i="9"/>
  <c r="G74" i="9"/>
  <c r="G75" i="9"/>
  <c r="G76" i="9"/>
  <c r="G67" i="9"/>
  <c r="L21" i="17"/>
  <c r="L18" i="9"/>
  <c r="E15" i="9"/>
  <c r="D15" i="9"/>
  <c r="D16" i="9"/>
  <c r="X6" i="9"/>
  <c r="X15" i="9"/>
  <c r="X16" i="9" s="1"/>
  <c r="X19" i="9" s="1"/>
  <c r="X7" i="9" l="1"/>
  <c r="L15" i="9" s="1"/>
  <c r="G15" i="9"/>
  <c r="I15" i="9" s="1"/>
  <c r="J15" i="9" s="1"/>
  <c r="M47" i="3"/>
  <c r="AG50" i="16"/>
  <c r="AR46" i="16"/>
  <c r="M52" i="3" s="1"/>
  <c r="C25" i="30" s="1"/>
  <c r="AO50" i="16"/>
  <c r="BF46" i="16"/>
  <c r="BH46" i="16" s="1"/>
  <c r="M58" i="3" s="1"/>
  <c r="C28" i="30" s="1"/>
  <c r="BG46" i="16"/>
  <c r="O140" i="3"/>
  <c r="AE140" i="3"/>
  <c r="O139" i="3"/>
  <c r="AE139" i="3"/>
  <c r="M172" i="3"/>
  <c r="C32" i="2"/>
  <c r="C32" i="19"/>
  <c r="C24" i="2"/>
  <c r="AA52" i="15"/>
  <c r="AB52" i="15" s="1"/>
  <c r="Z53" i="15"/>
  <c r="AC53" i="15"/>
  <c r="BC46" i="16"/>
  <c r="M55" i="3" s="1"/>
  <c r="C27" i="30" s="1"/>
  <c r="AG138" i="12"/>
  <c r="M56" i="3"/>
  <c r="M49" i="3"/>
  <c r="C23" i="30" s="1"/>
  <c r="M48" i="3"/>
  <c r="C22" i="30" s="1"/>
  <c r="AL130" i="12"/>
  <c r="AK127" i="12"/>
  <c r="H133" i="12"/>
  <c r="G134" i="12"/>
  <c r="H134" i="12" s="1"/>
  <c r="AJ133" i="12"/>
  <c r="C134" i="12"/>
  <c r="C138" i="12" s="1"/>
  <c r="H131" i="12"/>
  <c r="AF130" i="12"/>
  <c r="N134" i="12"/>
  <c r="AH138" i="12"/>
  <c r="H132" i="12"/>
  <c r="R134" i="12"/>
  <c r="AF133" i="12"/>
  <c r="AK129" i="12"/>
  <c r="T134" i="12"/>
  <c r="T138" i="12" s="1"/>
  <c r="I138" i="12"/>
  <c r="S132" i="12"/>
  <c r="AK128" i="12"/>
  <c r="AJ130" i="12"/>
  <c r="S131" i="12"/>
  <c r="S133" i="12"/>
  <c r="AL133" i="12"/>
  <c r="X8" i="9"/>
  <c r="X20" i="9"/>
  <c r="M57" i="3" l="1"/>
  <c r="F21" i="30"/>
  <c r="F41" i="30" s="1"/>
  <c r="C25" i="2"/>
  <c r="M134" i="3"/>
  <c r="O172" i="3"/>
  <c r="C23" i="2"/>
  <c r="C22" i="2"/>
  <c r="C28" i="2"/>
  <c r="C27" i="2"/>
  <c r="AC54" i="15"/>
  <c r="Z54" i="15"/>
  <c r="AA53" i="15"/>
  <c r="AB53" i="15" s="1"/>
  <c r="M135" i="3"/>
  <c r="V27" i="30" s="1"/>
  <c r="M133" i="3"/>
  <c r="V25" i="30" s="1"/>
  <c r="X10" i="9"/>
  <c r="M23" i="3"/>
  <c r="S136" i="12"/>
  <c r="R138" i="12"/>
  <c r="AF134" i="12"/>
  <c r="AL134" i="12"/>
  <c r="AK133" i="12"/>
  <c r="S135" i="12"/>
  <c r="S137" i="12"/>
  <c r="S138" i="12" s="1"/>
  <c r="H137" i="12"/>
  <c r="H138" i="12" s="1"/>
  <c r="G138" i="12"/>
  <c r="H135" i="12"/>
  <c r="AJ134" i="12"/>
  <c r="AK135" i="12" s="1"/>
  <c r="H136" i="12"/>
  <c r="S134" i="12"/>
  <c r="N138" i="12"/>
  <c r="AF138" i="12" s="1"/>
  <c r="AK132" i="12"/>
  <c r="AK130" i="12"/>
  <c r="AK131" i="12"/>
  <c r="AL138" i="12"/>
  <c r="M167" i="3" l="1"/>
  <c r="V26" i="30"/>
  <c r="O134" i="3"/>
  <c r="AJ138" i="12"/>
  <c r="M166" i="3"/>
  <c r="O133" i="3"/>
  <c r="O167" i="3"/>
  <c r="M168" i="3"/>
  <c r="O135" i="3"/>
  <c r="AC55" i="15"/>
  <c r="Z55" i="15"/>
  <c r="AA54" i="15"/>
  <c r="AB54" i="15" s="1"/>
  <c r="AK136" i="12"/>
  <c r="AK137" i="12"/>
  <c r="AK138" i="12" s="1"/>
  <c r="AK134" i="12"/>
  <c r="M24" i="3"/>
  <c r="G38" i="9"/>
  <c r="G37" i="9"/>
  <c r="K56" i="9" s="1"/>
  <c r="G36" i="9"/>
  <c r="K55" i="9" s="1"/>
  <c r="G35" i="9"/>
  <c r="K54" i="9" s="1"/>
  <c r="G34" i="9"/>
  <c r="K53" i="9" s="1"/>
  <c r="G33" i="9"/>
  <c r="K52" i="9" s="1"/>
  <c r="G32" i="9"/>
  <c r="K51" i="9" s="1"/>
  <c r="G31" i="9"/>
  <c r="K50" i="9" s="1"/>
  <c r="G30" i="9"/>
  <c r="K49" i="9" s="1"/>
  <c r="G29" i="9"/>
  <c r="K48" i="9" s="1"/>
  <c r="G28" i="9"/>
  <c r="H28" i="9" l="1"/>
  <c r="K47" i="9"/>
  <c r="O168" i="3"/>
  <c r="O166" i="3"/>
  <c r="AA55" i="15"/>
  <c r="AB55" i="15" s="1"/>
  <c r="K271" i="15"/>
  <c r="K272" i="15"/>
  <c r="K273" i="15"/>
  <c r="K274" i="15"/>
  <c r="K275" i="15"/>
  <c r="K276" i="15"/>
  <c r="K277" i="15"/>
  <c r="K278" i="15"/>
  <c r="K279" i="15"/>
  <c r="K280" i="15"/>
  <c r="K281" i="15"/>
  <c r="K282" i="15"/>
  <c r="J271" i="15"/>
  <c r="J272" i="15"/>
  <c r="J273" i="15"/>
  <c r="J274" i="15"/>
  <c r="J275" i="15"/>
  <c r="J276" i="15"/>
  <c r="J277" i="15"/>
  <c r="J278" i="15"/>
  <c r="J279" i="15"/>
  <c r="J280" i="15"/>
  <c r="J281" i="15"/>
  <c r="J282" i="15"/>
  <c r="F258" i="15"/>
  <c r="G258" i="15" s="1"/>
  <c r="F269" i="15"/>
  <c r="F268" i="15"/>
  <c r="F267" i="15"/>
  <c r="F266" i="15"/>
  <c r="F265" i="15"/>
  <c r="F264" i="15"/>
  <c r="F263" i="15"/>
  <c r="F262" i="15"/>
  <c r="F261" i="15"/>
  <c r="F260" i="15"/>
  <c r="F259" i="15"/>
  <c r="E270" i="15"/>
  <c r="D270" i="15"/>
  <c r="C270" i="15"/>
  <c r="I282" i="15"/>
  <c r="I272" i="15"/>
  <c r="I273" i="15"/>
  <c r="I274" i="15"/>
  <c r="I275" i="15"/>
  <c r="I276" i="15"/>
  <c r="I277" i="15"/>
  <c r="I278" i="15"/>
  <c r="I279" i="15"/>
  <c r="I280" i="15"/>
  <c r="I281" i="15"/>
  <c r="I271" i="15"/>
  <c r="E283" i="15"/>
  <c r="D283" i="15"/>
  <c r="C283" i="15"/>
  <c r="F272" i="15"/>
  <c r="F273" i="15"/>
  <c r="F274" i="15"/>
  <c r="F275" i="15"/>
  <c r="F276" i="15"/>
  <c r="F277" i="15"/>
  <c r="F278" i="15"/>
  <c r="F279" i="15"/>
  <c r="F280" i="15"/>
  <c r="F281" i="15"/>
  <c r="F282" i="15"/>
  <c r="F271" i="15"/>
  <c r="AQ72" i="15"/>
  <c r="AS72" i="15" s="1"/>
  <c r="AQ69" i="15"/>
  <c r="AS69" i="15" s="1"/>
  <c r="AQ68" i="15"/>
  <c r="AY68" i="15" s="1"/>
  <c r="AQ77" i="15"/>
  <c r="AY77" i="15" s="1"/>
  <c r="AQ76" i="15"/>
  <c r="AS76" i="15" s="1"/>
  <c r="AQ75" i="15"/>
  <c r="AQ74" i="15"/>
  <c r="AS74" i="15" s="1"/>
  <c r="AQ73" i="15"/>
  <c r="AY73" i="15" s="1"/>
  <c r="AQ63" i="15"/>
  <c r="AY63" i="15" s="1"/>
  <c r="AQ62" i="15"/>
  <c r="AY62" i="15" s="1"/>
  <c r="AQ61" i="15"/>
  <c r="AY61" i="15" s="1"/>
  <c r="AQ60" i="15"/>
  <c r="AS60" i="15" s="1"/>
  <c r="AQ59" i="15"/>
  <c r="AY59" i="15" s="1"/>
  <c r="AQ58" i="15"/>
  <c r="AY58" i="15" s="1"/>
  <c r="AQ56" i="15"/>
  <c r="AQ55" i="15"/>
  <c r="AS55" i="15" s="1"/>
  <c r="AQ54" i="15"/>
  <c r="AY54" i="15" s="1"/>
  <c r="AQ53" i="15"/>
  <c r="AY53" i="15" s="1"/>
  <c r="AQ52" i="15"/>
  <c r="AQ51" i="15"/>
  <c r="AY51" i="15" s="1"/>
  <c r="AS49" i="15"/>
  <c r="AY48" i="15"/>
  <c r="AY47" i="15"/>
  <c r="AS46" i="15"/>
  <c r="AY44" i="15"/>
  <c r="AL68" i="15"/>
  <c r="AS92" i="15"/>
  <c r="AS91" i="15"/>
  <c r="AS90" i="15"/>
  <c r="AS89" i="15"/>
  <c r="BK88" i="15"/>
  <c r="BJ88" i="15"/>
  <c r="AS88" i="15"/>
  <c r="BK87" i="15"/>
  <c r="BJ87" i="15"/>
  <c r="AS87" i="15"/>
  <c r="BW86" i="15"/>
  <c r="BK86" i="15"/>
  <c r="BJ86" i="15"/>
  <c r="AS86" i="15"/>
  <c r="BK85" i="15"/>
  <c r="BJ85" i="15"/>
  <c r="AP85" i="15"/>
  <c r="BK84" i="15"/>
  <c r="BJ84" i="15"/>
  <c r="BK83" i="15"/>
  <c r="BJ83" i="15"/>
  <c r="BK82" i="15"/>
  <c r="BJ82" i="15"/>
  <c r="BK81" i="15"/>
  <c r="BJ81" i="15"/>
  <c r="BX77" i="15"/>
  <c r="BI73" i="15"/>
  <c r="BI72" i="15"/>
  <c r="BK72" i="15" s="1"/>
  <c r="BM72" i="15" s="1"/>
  <c r="BI71" i="15"/>
  <c r="BK71" i="15" s="1"/>
  <c r="BM71" i="15" s="1"/>
  <c r="AY71" i="15"/>
  <c r="BI70" i="15"/>
  <c r="BK70" i="15" s="1"/>
  <c r="BM70" i="15" s="1"/>
  <c r="AY70" i="15"/>
  <c r="AS70" i="15"/>
  <c r="BI69" i="15"/>
  <c r="BK69" i="15" s="1"/>
  <c r="BM69" i="15" s="1"/>
  <c r="BI68" i="15"/>
  <c r="BK68" i="15" s="1"/>
  <c r="BM68" i="15" s="1"/>
  <c r="BI67" i="15"/>
  <c r="BK67" i="15" s="1"/>
  <c r="BM67" i="15" s="1"/>
  <c r="AY67" i="15"/>
  <c r="AL69" i="15"/>
  <c r="AL70" i="15" s="1"/>
  <c r="BI66" i="15"/>
  <c r="BK66" i="15" s="1"/>
  <c r="BM66" i="15" s="1"/>
  <c r="AQ66" i="15"/>
  <c r="AS66" i="15" s="1"/>
  <c r="BI65" i="15"/>
  <c r="BK65" i="15" s="1"/>
  <c r="BM65" i="15" s="1"/>
  <c r="AQ65" i="15"/>
  <c r="AY65" i="15" s="1"/>
  <c r="BI64" i="15"/>
  <c r="BK64" i="15" s="1"/>
  <c r="BM64" i="15" s="1"/>
  <c r="AY64" i="15"/>
  <c r="BI63" i="15"/>
  <c r="BK63" i="15" s="1"/>
  <c r="BM63" i="15" s="1"/>
  <c r="BI62" i="15"/>
  <c r="BK62" i="15" s="1"/>
  <c r="BM62" i="15" s="1"/>
  <c r="BI61" i="15"/>
  <c r="BK61" i="15" s="1"/>
  <c r="BM61" i="15" s="1"/>
  <c r="BI60" i="15"/>
  <c r="BI59" i="15"/>
  <c r="BK59" i="15" s="1"/>
  <c r="BM59" i="15" s="1"/>
  <c r="BI58" i="15"/>
  <c r="BK58" i="15" s="1"/>
  <c r="BM58" i="15" s="1"/>
  <c r="BI57" i="15"/>
  <c r="BK57" i="15" s="1"/>
  <c r="BM57" i="15" s="1"/>
  <c r="AY57" i="15"/>
  <c r="BI56" i="15"/>
  <c r="BK56" i="15" s="1"/>
  <c r="BM56" i="15" s="1"/>
  <c r="BI55" i="15"/>
  <c r="BK55" i="15" s="1"/>
  <c r="BM55" i="15" s="1"/>
  <c r="BI54" i="15"/>
  <c r="BK54" i="15" s="1"/>
  <c r="BM54" i="15" s="1"/>
  <c r="BI53" i="15"/>
  <c r="BK53" i="15" s="1"/>
  <c r="BM53" i="15" s="1"/>
  <c r="BI52" i="15"/>
  <c r="BK52" i="15" s="1"/>
  <c r="BM52" i="15" s="1"/>
  <c r="BF52" i="15"/>
  <c r="BI51" i="15"/>
  <c r="BI50" i="15"/>
  <c r="BK50" i="15" s="1"/>
  <c r="BM50" i="15" s="1"/>
  <c r="AY50" i="15"/>
  <c r="BI49" i="15"/>
  <c r="BK49" i="15" s="1"/>
  <c r="BM49" i="15" s="1"/>
  <c r="BI48" i="15"/>
  <c r="BK48" i="15" s="1"/>
  <c r="BM48" i="15" s="1"/>
  <c r="BI47" i="15"/>
  <c r="BK47" i="15" s="1"/>
  <c r="BM47" i="15" s="1"/>
  <c r="BI46" i="15"/>
  <c r="BK46" i="15" s="1"/>
  <c r="BM46" i="15" s="1"/>
  <c r="BX38" i="15"/>
  <c r="AZ36" i="15"/>
  <c r="AY36" i="15"/>
  <c r="AS36" i="15"/>
  <c r="AZ35" i="15"/>
  <c r="AY35" i="15"/>
  <c r="AS35" i="15"/>
  <c r="AZ34" i="15"/>
  <c r="AY34" i="15"/>
  <c r="AS34" i="15"/>
  <c r="AZ33" i="15"/>
  <c r="AY33" i="15"/>
  <c r="AS33" i="15"/>
  <c r="AZ32" i="15"/>
  <c r="AY32" i="15"/>
  <c r="AS32" i="15"/>
  <c r="AZ31" i="15"/>
  <c r="AY31" i="15"/>
  <c r="AS31" i="15"/>
  <c r="BI29" i="15"/>
  <c r="BK29" i="15" s="1"/>
  <c r="BM29" i="15" s="1"/>
  <c r="AY29" i="15"/>
  <c r="AX29" i="15"/>
  <c r="AW29" i="15"/>
  <c r="AS29" i="15"/>
  <c r="BI28" i="15"/>
  <c r="BK28" i="15" s="1"/>
  <c r="BM28" i="15" s="1"/>
  <c r="BD28" i="15"/>
  <c r="AY28" i="15"/>
  <c r="AX28" i="15"/>
  <c r="AW28" i="15"/>
  <c r="AS28" i="15"/>
  <c r="BI27" i="15"/>
  <c r="BK27" i="15" s="1"/>
  <c r="BM27" i="15" s="1"/>
  <c r="AY27" i="15"/>
  <c r="AX27" i="15"/>
  <c r="AW27" i="15"/>
  <c r="AS27" i="15"/>
  <c r="BI26" i="15"/>
  <c r="BK26" i="15" s="1"/>
  <c r="BM26" i="15" s="1"/>
  <c r="BD26" i="15"/>
  <c r="AY26" i="15"/>
  <c r="AX26" i="15"/>
  <c r="AW26" i="15"/>
  <c r="AS26" i="15"/>
  <c r="BI25" i="15"/>
  <c r="BK25" i="15" s="1"/>
  <c r="BM25" i="15" s="1"/>
  <c r="AY25" i="15"/>
  <c r="AX25" i="15"/>
  <c r="AW25" i="15"/>
  <c r="AS25" i="15"/>
  <c r="BI24" i="15"/>
  <c r="BK24" i="15" s="1"/>
  <c r="BM24" i="15" s="1"/>
  <c r="AY24" i="15"/>
  <c r="AX24" i="15"/>
  <c r="AW24" i="15"/>
  <c r="AS24" i="15"/>
  <c r="BI23" i="15"/>
  <c r="BK23" i="15" s="1"/>
  <c r="BM23" i="15" s="1"/>
  <c r="AY23" i="15"/>
  <c r="AX23" i="15"/>
  <c r="AW23" i="15"/>
  <c r="AS23" i="15"/>
  <c r="BI22" i="15"/>
  <c r="BK22" i="15" s="1"/>
  <c r="BM22" i="15" s="1"/>
  <c r="AY22" i="15"/>
  <c r="AV22" i="15"/>
  <c r="BI21" i="15"/>
  <c r="BK21" i="15" s="1"/>
  <c r="BM21" i="15" s="1"/>
  <c r="AY21" i="15"/>
  <c r="AX21" i="15"/>
  <c r="AW21" i="15"/>
  <c r="AS21" i="15"/>
  <c r="BI20" i="15"/>
  <c r="BK20" i="15" s="1"/>
  <c r="BM20" i="15" s="1"/>
  <c r="AY20" i="15"/>
  <c r="AX20" i="15"/>
  <c r="AW20" i="15"/>
  <c r="AS20" i="15"/>
  <c r="BI19" i="15"/>
  <c r="BK19" i="15" s="1"/>
  <c r="BM19" i="15" s="1"/>
  <c r="AY19" i="15"/>
  <c r="AX19" i="15"/>
  <c r="AW19" i="15"/>
  <c r="AS19" i="15"/>
  <c r="BI18" i="15"/>
  <c r="BK18" i="15" s="1"/>
  <c r="BM18" i="15" s="1"/>
  <c r="AY18" i="15"/>
  <c r="AX18" i="15"/>
  <c r="AW18" i="15"/>
  <c r="AS18" i="15"/>
  <c r="BI17" i="15"/>
  <c r="AY17" i="15"/>
  <c r="AX17" i="15"/>
  <c r="AW17" i="15"/>
  <c r="AS17" i="15"/>
  <c r="BI16" i="15"/>
  <c r="BK16" i="15" s="1"/>
  <c r="BM16" i="15" s="1"/>
  <c r="AY16" i="15"/>
  <c r="AX16" i="15"/>
  <c r="AW16" i="15"/>
  <c r="AS16" i="15"/>
  <c r="BI15" i="15"/>
  <c r="BK15" i="15" s="1"/>
  <c r="BM15" i="15" s="1"/>
  <c r="AY15" i="15"/>
  <c r="AV15" i="15"/>
  <c r="BI14" i="15"/>
  <c r="BK14" i="15" s="1"/>
  <c r="BM14" i="15" s="1"/>
  <c r="AX14" i="15"/>
  <c r="AW14" i="15"/>
  <c r="AS14" i="15"/>
  <c r="BI13" i="15"/>
  <c r="BK13" i="15" s="1"/>
  <c r="BM13" i="15" s="1"/>
  <c r="AY13" i="15"/>
  <c r="AX13" i="15"/>
  <c r="AW13" i="15"/>
  <c r="AS13" i="15"/>
  <c r="BI12" i="15"/>
  <c r="BK12" i="15" s="1"/>
  <c r="BM12" i="15" s="1"/>
  <c r="AY12" i="15"/>
  <c r="AX12" i="15"/>
  <c r="AW12" i="15"/>
  <c r="AS12" i="15"/>
  <c r="BI11" i="15"/>
  <c r="BK11" i="15" s="1"/>
  <c r="BM11" i="15" s="1"/>
  <c r="AX11" i="15"/>
  <c r="AW11" i="15"/>
  <c r="AS11" i="15"/>
  <c r="AY10" i="15"/>
  <c r="AX10" i="15"/>
  <c r="AW10" i="15"/>
  <c r="AS10" i="15"/>
  <c r="AY9" i="15"/>
  <c r="AX9" i="15"/>
  <c r="AW9" i="15"/>
  <c r="AS9" i="15"/>
  <c r="AW47" i="16"/>
  <c r="U10" i="9"/>
  <c r="M26" i="3" l="1"/>
  <c r="C13" i="30" s="1"/>
  <c r="F11" i="30" s="1"/>
  <c r="M15" i="9"/>
  <c r="C13" i="2"/>
  <c r="L280" i="15"/>
  <c r="L272" i="15"/>
  <c r="AY66" i="15"/>
  <c r="L278" i="15"/>
  <c r="I283" i="15"/>
  <c r="L282" i="15"/>
  <c r="L274" i="15"/>
  <c r="L281" i="15"/>
  <c r="L273" i="15"/>
  <c r="L276" i="15"/>
  <c r="K283" i="15"/>
  <c r="G282" i="15"/>
  <c r="AS65" i="15"/>
  <c r="L277" i="15"/>
  <c r="J283" i="15"/>
  <c r="G274" i="15"/>
  <c r="M25" i="3"/>
  <c r="K15" i="9"/>
  <c r="G277" i="15"/>
  <c r="L275" i="15"/>
  <c r="G263" i="15"/>
  <c r="G276" i="15"/>
  <c r="G265" i="15"/>
  <c r="G275" i="15"/>
  <c r="G264" i="15"/>
  <c r="G273" i="15"/>
  <c r="AY45" i="15"/>
  <c r="G280" i="15"/>
  <c r="G272" i="15"/>
  <c r="G269" i="15"/>
  <c r="G261" i="15"/>
  <c r="L271" i="15"/>
  <c r="L279" i="15"/>
  <c r="AY37" i="15"/>
  <c r="G281" i="15"/>
  <c r="G262" i="15"/>
  <c r="G279" i="15"/>
  <c r="G271" i="15"/>
  <c r="M271" i="15" s="1"/>
  <c r="G268" i="15"/>
  <c r="G260" i="15"/>
  <c r="G278" i="15"/>
  <c r="G267" i="15"/>
  <c r="G259" i="15"/>
  <c r="G266" i="15"/>
  <c r="AS73" i="15"/>
  <c r="AY69" i="15"/>
  <c r="AS61" i="15"/>
  <c r="AY60" i="15"/>
  <c r="AS62" i="15"/>
  <c r="AS59" i="15"/>
  <c r="AS58" i="15"/>
  <c r="AY55" i="15"/>
  <c r="AS54" i="15"/>
  <c r="AV57" i="15"/>
  <c r="AS51" i="15"/>
  <c r="AY49" i="15"/>
  <c r="AY46" i="15"/>
  <c r="AQ81" i="15"/>
  <c r="AS81" i="15" s="1"/>
  <c r="AS44" i="15"/>
  <c r="AQ82" i="15"/>
  <c r="AS82" i="15" s="1"/>
  <c r="AV50" i="15"/>
  <c r="AS47" i="15"/>
  <c r="AZ37" i="15"/>
  <c r="AS52" i="15"/>
  <c r="AY52" i="15"/>
  <c r="AQ80" i="15"/>
  <c r="AS56" i="15"/>
  <c r="AY56" i="15"/>
  <c r="BK17" i="15"/>
  <c r="BM17" i="15" s="1"/>
  <c r="BK51" i="15"/>
  <c r="BM51" i="15" s="1"/>
  <c r="BK60" i="15"/>
  <c r="BM60" i="15" s="1"/>
  <c r="AY72" i="15"/>
  <c r="AY81" i="15" s="1"/>
  <c r="BK73" i="15"/>
  <c r="BM73" i="15" s="1"/>
  <c r="AY76" i="15"/>
  <c r="AQ79" i="15"/>
  <c r="AW47" i="15" s="1"/>
  <c r="AQ83" i="15"/>
  <c r="AS45" i="15"/>
  <c r="AS63" i="15"/>
  <c r="AS75" i="15"/>
  <c r="AS48" i="15"/>
  <c r="AS53" i="15"/>
  <c r="AQ84" i="15"/>
  <c r="AY75" i="15"/>
  <c r="AS77" i="15"/>
  <c r="AS68" i="15"/>
  <c r="AY74" i="15"/>
  <c r="M124" i="3" l="1"/>
  <c r="V15" i="30" s="1"/>
  <c r="C12" i="30"/>
  <c r="F42" i="30"/>
  <c r="BB65" i="15"/>
  <c r="BF50" i="15" s="1"/>
  <c r="BB51" i="15"/>
  <c r="BF47" i="15" s="1"/>
  <c r="BB44" i="15"/>
  <c r="BB68" i="15"/>
  <c r="BF51" i="15" s="1"/>
  <c r="BB58" i="15"/>
  <c r="BF48" i="15" s="1"/>
  <c r="BB72" i="15"/>
  <c r="AY79" i="15"/>
  <c r="AY80" i="15" s="1"/>
  <c r="BB66" i="15" s="1"/>
  <c r="BF61" i="15" s="1"/>
  <c r="C12" i="2"/>
  <c r="M278" i="15"/>
  <c r="M280" i="15"/>
  <c r="M277" i="15"/>
  <c r="M276" i="15"/>
  <c r="L285" i="15"/>
  <c r="M272" i="15"/>
  <c r="AW74" i="15"/>
  <c r="AW46" i="15"/>
  <c r="M274" i="15"/>
  <c r="M275" i="15"/>
  <c r="AW75" i="15"/>
  <c r="M282" i="15"/>
  <c r="M283" i="15" s="1"/>
  <c r="Q283" i="15" s="1"/>
  <c r="AW53" i="15"/>
  <c r="AW66" i="15"/>
  <c r="AW65" i="15"/>
  <c r="AW58" i="15"/>
  <c r="M273" i="15"/>
  <c r="AW73" i="15"/>
  <c r="AW49" i="15"/>
  <c r="AW59" i="15"/>
  <c r="AW54" i="15"/>
  <c r="AW57" i="15"/>
  <c r="AW64" i="15"/>
  <c r="AW48" i="15"/>
  <c r="AW71" i="15"/>
  <c r="AW77" i="15"/>
  <c r="AW61" i="15"/>
  <c r="AW76" i="15"/>
  <c r="AW68" i="15"/>
  <c r="AW60" i="15"/>
  <c r="AW52" i="15"/>
  <c r="AW44" i="15"/>
  <c r="AW70" i="15"/>
  <c r="AW69" i="15"/>
  <c r="AW67" i="15"/>
  <c r="AW72" i="15"/>
  <c r="AW56" i="15"/>
  <c r="AW50" i="15"/>
  <c r="M279" i="15"/>
  <c r="AW55" i="15"/>
  <c r="AW63" i="15"/>
  <c r="M281" i="15"/>
  <c r="AW62" i="15"/>
  <c r="AW51" i="15"/>
  <c r="AW45" i="15"/>
  <c r="AZ68" i="15"/>
  <c r="AZ69" i="15"/>
  <c r="AS80" i="15"/>
  <c r="AZ67" i="15"/>
  <c r="AZ70" i="15"/>
  <c r="AS83" i="15"/>
  <c r="AZ71" i="15"/>
  <c r="AS84" i="15"/>
  <c r="AV84" i="15"/>
  <c r="AS79" i="15"/>
  <c r="AZ66" i="15"/>
  <c r="CD43" i="15" l="1"/>
  <c r="BE44" i="15" s="1"/>
  <c r="BB46" i="15"/>
  <c r="BF64" i="15" s="1"/>
  <c r="BB69" i="15"/>
  <c r="BF62" i="15" s="1"/>
  <c r="BB52" i="15"/>
  <c r="BF56" i="15" s="1"/>
  <c r="BB74" i="15"/>
  <c r="BF67" i="15" s="1"/>
  <c r="BB76" i="15"/>
  <c r="BF70" i="15" s="1"/>
  <c r="BB63" i="15"/>
  <c r="BB59" i="15"/>
  <c r="BB70" i="15"/>
  <c r="BB77" i="15"/>
  <c r="BF73" i="15" s="1"/>
  <c r="BB53" i="15"/>
  <c r="BF65" i="15" s="1"/>
  <c r="BG65" i="15" s="1"/>
  <c r="BB61" i="15"/>
  <c r="BF59" i="15" s="1"/>
  <c r="BB54" i="15"/>
  <c r="BF58" i="15" s="1"/>
  <c r="BB47" i="15"/>
  <c r="BF57" i="15" s="1"/>
  <c r="BB48" i="15"/>
  <c r="BB62" i="15"/>
  <c r="BF74" i="15" s="1"/>
  <c r="BB45" i="15"/>
  <c r="BF55" i="15" s="1"/>
  <c r="BG55" i="15" s="1"/>
  <c r="BF46" i="15"/>
  <c r="BB60" i="15"/>
  <c r="BF66" i="15" s="1"/>
  <c r="BG66" i="15" s="1"/>
  <c r="BB75" i="15"/>
  <c r="BB49" i="15"/>
  <c r="BB56" i="15"/>
  <c r="BF72" i="15" s="1"/>
  <c r="BF54" i="15"/>
  <c r="BF49" i="15"/>
  <c r="BB55" i="15"/>
  <c r="BF69" i="15" s="1"/>
  <c r="BG69" i="15" s="1"/>
  <c r="AY82" i="15"/>
  <c r="O124" i="3"/>
  <c r="M157" i="3"/>
  <c r="BG73" i="15"/>
  <c r="BG59" i="15"/>
  <c r="BA72" i="15"/>
  <c r="BA53" i="15"/>
  <c r="T31" i="15"/>
  <c r="T56" i="15"/>
  <c r="BA46" i="15"/>
  <c r="BA56" i="15"/>
  <c r="M285" i="15"/>
  <c r="BA71" i="15"/>
  <c r="BA50" i="15"/>
  <c r="BA67" i="15"/>
  <c r="BA51" i="15"/>
  <c r="BA57" i="15"/>
  <c r="BA47" i="15"/>
  <c r="BA63" i="15"/>
  <c r="BA77" i="15"/>
  <c r="BA62" i="15"/>
  <c r="BA64" i="15"/>
  <c r="BA58" i="15"/>
  <c r="BA48" i="15"/>
  <c r="BA68" i="15"/>
  <c r="BA73" i="15"/>
  <c r="BA66" i="15"/>
  <c r="BA70" i="15"/>
  <c r="BA65" i="15"/>
  <c r="BA59" i="15"/>
  <c r="BA54" i="15"/>
  <c r="BA61" i="15"/>
  <c r="BA44" i="15"/>
  <c r="BA76" i="15"/>
  <c r="BA52" i="15"/>
  <c r="BA55" i="15"/>
  <c r="BA60" i="15"/>
  <c r="BA69" i="15"/>
  <c r="BA75" i="15"/>
  <c r="BA74" i="15"/>
  <c r="BA49" i="15"/>
  <c r="BA45" i="15"/>
  <c r="AZ72" i="15"/>
  <c r="BG56" i="15" l="1"/>
  <c r="BG58" i="15"/>
  <c r="BG62" i="15"/>
  <c r="BG74" i="15"/>
  <c r="BG70" i="15"/>
  <c r="BG61" i="15"/>
  <c r="BG72" i="15"/>
  <c r="BG57" i="15"/>
  <c r="BG67" i="15"/>
  <c r="BG64" i="15"/>
  <c r="BF71" i="15"/>
  <c r="BG71" i="15" s="1"/>
  <c r="BF68" i="15"/>
  <c r="BG68" i="15" s="1"/>
  <c r="BF60" i="15"/>
  <c r="BG60" i="15" s="1"/>
  <c r="BF63" i="15"/>
  <c r="BG63" i="15" s="1"/>
  <c r="BB80" i="15"/>
  <c r="O157" i="3"/>
  <c r="Z56" i="15"/>
  <c r="AA56" i="15" s="1"/>
  <c r="AB56" i="15" s="1"/>
  <c r="AC56" i="15"/>
  <c r="AG112" i="15"/>
  <c r="AG114" i="15"/>
  <c r="AG111" i="15"/>
  <c r="AG113" i="15"/>
  <c r="I31" i="27"/>
  <c r="G5" i="27"/>
  <c r="G6" i="27" s="1"/>
  <c r="F71" i="27"/>
  <c r="F69" i="27"/>
  <c r="DH82" i="15"/>
  <c r="DI82" i="15"/>
  <c r="DH83" i="15"/>
  <c r="DI83" i="15"/>
  <c r="DH84" i="15"/>
  <c r="DI84" i="15"/>
  <c r="DH85" i="15"/>
  <c r="DI85" i="15"/>
  <c r="DH86" i="15"/>
  <c r="DI86" i="15"/>
  <c r="DH87" i="15"/>
  <c r="DI87" i="15"/>
  <c r="DH88" i="15"/>
  <c r="DI88" i="15"/>
  <c r="DI81" i="15"/>
  <c r="DH81" i="15"/>
  <c r="DU86" i="15"/>
  <c r="BF76" i="15" l="1"/>
  <c r="BH77" i="15"/>
  <c r="BF77" i="15"/>
  <c r="AG115" i="15"/>
  <c r="B197" i="3"/>
  <c r="K102" i="3"/>
  <c r="M100" i="3"/>
  <c r="M98" i="3"/>
  <c r="M99" i="3" s="1"/>
  <c r="L90" i="3"/>
  <c r="K84" i="3"/>
  <c r="L20" i="17"/>
  <c r="AY12" i="16"/>
  <c r="BA12" i="16" s="1"/>
  <c r="AQ13" i="16"/>
  <c r="AQ14" i="16"/>
  <c r="AQ15" i="16"/>
  <c r="AQ16" i="16"/>
  <c r="AQ17" i="16"/>
  <c r="AQ18" i="16"/>
  <c r="AQ19" i="16"/>
  <c r="AQ20" i="16"/>
  <c r="AQ21" i="16"/>
  <c r="AQ22" i="16"/>
  <c r="AQ23" i="16"/>
  <c r="AQ24" i="16"/>
  <c r="AQ25" i="16"/>
  <c r="AQ26" i="16"/>
  <c r="AQ27" i="16"/>
  <c r="AQ28" i="16"/>
  <c r="AQ29" i="16"/>
  <c r="AQ30" i="16"/>
  <c r="AQ31" i="16"/>
  <c r="AQ32" i="16"/>
  <c r="AQ33" i="16"/>
  <c r="AQ34" i="16"/>
  <c r="AQ35" i="16"/>
  <c r="AQ36" i="16"/>
  <c r="C51" i="3" s="1"/>
  <c r="AQ37" i="16"/>
  <c r="D51" i="3" s="1"/>
  <c r="AQ38" i="16"/>
  <c r="E51" i="3" s="1"/>
  <c r="AQ39" i="16"/>
  <c r="F51" i="3" s="1"/>
  <c r="AQ40" i="16"/>
  <c r="G51" i="3" s="1"/>
  <c r="H51" i="3"/>
  <c r="I51" i="3"/>
  <c r="J51" i="3"/>
  <c r="K51" i="3"/>
  <c r="L51" i="3"/>
  <c r="C24" i="19" s="1"/>
  <c r="AQ12" i="16"/>
  <c r="C50" i="3"/>
  <c r="D50" i="3"/>
  <c r="E50" i="3"/>
  <c r="F50" i="3"/>
  <c r="G50" i="3"/>
  <c r="H50" i="3"/>
  <c r="I50" i="3"/>
  <c r="J50" i="3"/>
  <c r="K50" i="3"/>
  <c r="L50" i="3"/>
  <c r="AY13" i="16"/>
  <c r="BA13" i="16" s="1"/>
  <c r="AY14" i="16"/>
  <c r="BA14" i="16" s="1"/>
  <c r="AY15" i="16"/>
  <c r="BA15" i="16" s="1"/>
  <c r="AY16" i="16"/>
  <c r="BA16" i="16" s="1"/>
  <c r="AY17" i="16"/>
  <c r="BA17" i="16" s="1"/>
  <c r="AY18" i="16"/>
  <c r="BA18" i="16" s="1"/>
  <c r="AY19" i="16"/>
  <c r="BA19" i="16" s="1"/>
  <c r="AY20" i="16"/>
  <c r="BA20" i="16" s="1"/>
  <c r="AY21" i="16"/>
  <c r="BA21" i="16" s="1"/>
  <c r="AY22" i="16"/>
  <c r="BA22" i="16" s="1"/>
  <c r="AY23" i="16"/>
  <c r="BA23" i="16" s="1"/>
  <c r="AY24" i="16"/>
  <c r="BA24" i="16" s="1"/>
  <c r="AY25" i="16"/>
  <c r="BA25" i="16" s="1"/>
  <c r="AY26" i="16"/>
  <c r="BA26" i="16" s="1"/>
  <c r="AY27" i="16"/>
  <c r="BA27" i="16" s="1"/>
  <c r="AY28" i="16"/>
  <c r="BA28" i="16" s="1"/>
  <c r="AY29" i="16"/>
  <c r="BA29" i="16" s="1"/>
  <c r="AY30" i="16"/>
  <c r="BA30" i="16" s="1"/>
  <c r="AY31" i="16"/>
  <c r="BA31" i="16" s="1"/>
  <c r="AY32" i="16"/>
  <c r="BA32" i="16" s="1"/>
  <c r="AY33" i="16"/>
  <c r="BA33" i="16" s="1"/>
  <c r="AY34" i="16"/>
  <c r="BA34" i="16" s="1"/>
  <c r="AY35" i="16"/>
  <c r="BA35" i="16" s="1"/>
  <c r="AY36" i="16"/>
  <c r="BA36" i="16" s="1"/>
  <c r="C54" i="3" s="1"/>
  <c r="AY37" i="16"/>
  <c r="D53" i="3" s="1"/>
  <c r="AY38" i="16"/>
  <c r="E53" i="3" s="1"/>
  <c r="AY39" i="16"/>
  <c r="BA39" i="16" s="1"/>
  <c r="F54" i="3" s="1"/>
  <c r="AY40" i="16"/>
  <c r="G53" i="3" s="1"/>
  <c r="AY41" i="16"/>
  <c r="AY42" i="16"/>
  <c r="AY43" i="16"/>
  <c r="AY44" i="16"/>
  <c r="C46" i="3"/>
  <c r="D46" i="3"/>
  <c r="E46" i="3"/>
  <c r="F46" i="3"/>
  <c r="G46" i="3"/>
  <c r="H46" i="3"/>
  <c r="I46" i="3"/>
  <c r="J46" i="3"/>
  <c r="K46" i="3"/>
  <c r="L46" i="3"/>
  <c r="BE12" i="16"/>
  <c r="BG12" i="16" s="1"/>
  <c r="BE13" i="16"/>
  <c r="BG13" i="16" s="1"/>
  <c r="BE14" i="16"/>
  <c r="BG14" i="16" s="1"/>
  <c r="BE15" i="16"/>
  <c r="BE16" i="16"/>
  <c r="BG16" i="16" s="1"/>
  <c r="BE17" i="16"/>
  <c r="BG17" i="16" s="1"/>
  <c r="BE18" i="16"/>
  <c r="BE19" i="16"/>
  <c r="BG19" i="16" s="1"/>
  <c r="BE20" i="16"/>
  <c r="BE21" i="16"/>
  <c r="BG21" i="16" s="1"/>
  <c r="BE22" i="16"/>
  <c r="BE23" i="16"/>
  <c r="BE24" i="16"/>
  <c r="BG24" i="16" s="1"/>
  <c r="BE25" i="16"/>
  <c r="BE26" i="16"/>
  <c r="BE27" i="16"/>
  <c r="BG27" i="16" s="1"/>
  <c r="BE28" i="16"/>
  <c r="BE29" i="16"/>
  <c r="BG29" i="16" s="1"/>
  <c r="BE30" i="16"/>
  <c r="BG30" i="16" s="1"/>
  <c r="BE31" i="16"/>
  <c r="BE32" i="16"/>
  <c r="BG32" i="16" s="1"/>
  <c r="BE33" i="16"/>
  <c r="BG33" i="16" s="1"/>
  <c r="BE34" i="16"/>
  <c r="BE35" i="16"/>
  <c r="BG35" i="16" s="1"/>
  <c r="BE36" i="16"/>
  <c r="C56" i="3" s="1"/>
  <c r="BE38" i="16"/>
  <c r="BG38" i="16" s="1"/>
  <c r="BE39" i="16"/>
  <c r="BE40" i="16"/>
  <c r="BG40" i="16" s="1"/>
  <c r="BE42" i="16"/>
  <c r="BG42" i="16" s="1"/>
  <c r="BE43" i="16"/>
  <c r="BE44" i="16"/>
  <c r="BE45" i="16"/>
  <c r="BE41" i="16"/>
  <c r="BG41" i="16" s="1"/>
  <c r="BL28" i="16"/>
  <c r="BL22" i="16"/>
  <c r="AW50" i="16"/>
  <c r="AE14" i="16"/>
  <c r="AE15" i="16"/>
  <c r="AE16" i="16"/>
  <c r="AE17" i="16"/>
  <c r="AE18" i="16"/>
  <c r="AE19" i="16"/>
  <c r="AE20" i="16"/>
  <c r="AE21" i="16"/>
  <c r="AE22" i="16"/>
  <c r="AE23" i="16"/>
  <c r="AE24" i="16"/>
  <c r="AE25" i="16"/>
  <c r="AE26" i="16"/>
  <c r="AE27" i="16"/>
  <c r="AE28" i="16"/>
  <c r="AE29" i="16"/>
  <c r="AE30" i="16"/>
  <c r="AE31" i="16"/>
  <c r="AE32" i="16"/>
  <c r="AE33" i="16"/>
  <c r="AE34" i="16"/>
  <c r="AE35" i="16"/>
  <c r="AE36" i="16"/>
  <c r="C48" i="3" s="1"/>
  <c r="AE37" i="16"/>
  <c r="D48" i="3" s="1"/>
  <c r="AE38" i="16"/>
  <c r="E48" i="3" s="1"/>
  <c r="AE39" i="16"/>
  <c r="F48" i="3" s="1"/>
  <c r="AE40" i="16"/>
  <c r="G48" i="3" s="1"/>
  <c r="AE41" i="16"/>
  <c r="H48" i="3" s="1"/>
  <c r="AE42" i="16"/>
  <c r="I48" i="3" s="1"/>
  <c r="AE43" i="16"/>
  <c r="J48" i="3" s="1"/>
  <c r="AE44" i="16"/>
  <c r="K48" i="3" s="1"/>
  <c r="L48" i="3"/>
  <c r="C22" i="19" s="1"/>
  <c r="AE13" i="16"/>
  <c r="AD18" i="16"/>
  <c r="AD19" i="16"/>
  <c r="AD20" i="16"/>
  <c r="AD21" i="16"/>
  <c r="AD22" i="16"/>
  <c r="AD23" i="16"/>
  <c r="AD24" i="16"/>
  <c r="AD25" i="16"/>
  <c r="AD26" i="16"/>
  <c r="AD27" i="16"/>
  <c r="AD28" i="16"/>
  <c r="AD29" i="16"/>
  <c r="AD30" i="16"/>
  <c r="AD31" i="16"/>
  <c r="AD32" i="16"/>
  <c r="AD33" i="16"/>
  <c r="AD34" i="16"/>
  <c r="AD35" i="16"/>
  <c r="AD36" i="16"/>
  <c r="AD37" i="16"/>
  <c r="AD38" i="16"/>
  <c r="AD39" i="16"/>
  <c r="AD40" i="16"/>
  <c r="AD41" i="16"/>
  <c r="AD42" i="16"/>
  <c r="AD43" i="16"/>
  <c r="AD44" i="16"/>
  <c r="AD45" i="16"/>
  <c r="AD17" i="16"/>
  <c r="AB14" i="16"/>
  <c r="AB15" i="16"/>
  <c r="AB16" i="16"/>
  <c r="AB17" i="16"/>
  <c r="AB18" i="16"/>
  <c r="AB19" i="16"/>
  <c r="AB20" i="16"/>
  <c r="AB21" i="16"/>
  <c r="AB22" i="16"/>
  <c r="AB23" i="16"/>
  <c r="AB24" i="16"/>
  <c r="AB25" i="16"/>
  <c r="AB26" i="16"/>
  <c r="AB27" i="16"/>
  <c r="AB28" i="16"/>
  <c r="AB29" i="16"/>
  <c r="AB30" i="16"/>
  <c r="AB31" i="16"/>
  <c r="AB32" i="16"/>
  <c r="AB33" i="16"/>
  <c r="AB34" i="16"/>
  <c r="AB35" i="16"/>
  <c r="AB36" i="16"/>
  <c r="AB37" i="16"/>
  <c r="AB38" i="16"/>
  <c r="AB39" i="16"/>
  <c r="AB40" i="16"/>
  <c r="AB41" i="16"/>
  <c r="AB42" i="16"/>
  <c r="AB43" i="16"/>
  <c r="AB44" i="16"/>
  <c r="AB45" i="16"/>
  <c r="AB47" i="16"/>
  <c r="AB48" i="16"/>
  <c r="AB49" i="16"/>
  <c r="AB50" i="16"/>
  <c r="AB51" i="16"/>
  <c r="AB13" i="16"/>
  <c r="L42" i="3"/>
  <c r="AP119" i="11"/>
  <c r="AQ119" i="11"/>
  <c r="AP120" i="11"/>
  <c r="AQ120" i="11"/>
  <c r="AP121" i="11"/>
  <c r="AQ121" i="11"/>
  <c r="AP122" i="11"/>
  <c r="AQ122" i="11"/>
  <c r="AP123" i="11"/>
  <c r="AQ123" i="11"/>
  <c r="AP124" i="11"/>
  <c r="AQ124" i="11"/>
  <c r="AP125" i="11"/>
  <c r="AQ125" i="11"/>
  <c r="AP126" i="11"/>
  <c r="AQ126" i="11"/>
  <c r="AP127" i="11"/>
  <c r="AQ127" i="11"/>
  <c r="AP128" i="11"/>
  <c r="AQ128" i="11"/>
  <c r="AQ118" i="11"/>
  <c r="AP118" i="11"/>
  <c r="F127" i="11"/>
  <c r="O140" i="11" s="1"/>
  <c r="E127" i="11"/>
  <c r="N140" i="11" s="1"/>
  <c r="D127" i="11"/>
  <c r="M140" i="11" s="1"/>
  <c r="AQ130" i="11" s="1"/>
  <c r="C127" i="11"/>
  <c r="B127" i="11"/>
  <c r="O126" i="11"/>
  <c r="N126" i="11"/>
  <c r="M126" i="11"/>
  <c r="AQ117" i="11" s="1"/>
  <c r="L126" i="11"/>
  <c r="AP117" i="11" s="1"/>
  <c r="J126" i="11"/>
  <c r="S139" i="11" s="1"/>
  <c r="I126" i="11"/>
  <c r="R139" i="11" s="1"/>
  <c r="H126" i="11"/>
  <c r="Q139" i="11" s="1"/>
  <c r="G126" i="11"/>
  <c r="P139" i="11" s="1"/>
  <c r="O125" i="11"/>
  <c r="N125" i="11"/>
  <c r="M125" i="11"/>
  <c r="AQ116" i="11" s="1"/>
  <c r="L125" i="11"/>
  <c r="AP116" i="11" s="1"/>
  <c r="J125" i="11"/>
  <c r="S138" i="11" s="1"/>
  <c r="I125" i="11"/>
  <c r="R138" i="11" s="1"/>
  <c r="H125" i="11"/>
  <c r="Q138" i="11" s="1"/>
  <c r="G125" i="11"/>
  <c r="P138" i="11" s="1"/>
  <c r="O124" i="11"/>
  <c r="N124" i="11"/>
  <c r="M124" i="11"/>
  <c r="AQ115" i="11" s="1"/>
  <c r="L124" i="11"/>
  <c r="AP115" i="11" s="1"/>
  <c r="J124" i="11"/>
  <c r="S137" i="11" s="1"/>
  <c r="I124" i="11"/>
  <c r="R137" i="11" s="1"/>
  <c r="H124" i="11"/>
  <c r="Q137" i="11" s="1"/>
  <c r="G124" i="11"/>
  <c r="P137" i="11" s="1"/>
  <c r="O123" i="11"/>
  <c r="N123" i="11"/>
  <c r="M123" i="11"/>
  <c r="AQ114" i="11" s="1"/>
  <c r="L123" i="11"/>
  <c r="AP114" i="11" s="1"/>
  <c r="J123" i="11"/>
  <c r="S136" i="11" s="1"/>
  <c r="I123" i="11"/>
  <c r="R136" i="11" s="1"/>
  <c r="H123" i="11"/>
  <c r="Q136" i="11" s="1"/>
  <c r="G123" i="11"/>
  <c r="P136" i="11" s="1"/>
  <c r="O122" i="11"/>
  <c r="N122" i="11"/>
  <c r="M122" i="11"/>
  <c r="AQ113" i="11" s="1"/>
  <c r="L122" i="11"/>
  <c r="AP113" i="11" s="1"/>
  <c r="J122" i="11"/>
  <c r="S135" i="11" s="1"/>
  <c r="I122" i="11"/>
  <c r="R135" i="11" s="1"/>
  <c r="H122" i="11"/>
  <c r="Q135" i="11" s="1"/>
  <c r="G122" i="11"/>
  <c r="P135" i="11" s="1"/>
  <c r="O121" i="11"/>
  <c r="N121" i="11"/>
  <c r="M121" i="11"/>
  <c r="AQ112" i="11" s="1"/>
  <c r="L121" i="11"/>
  <c r="AP112" i="11" s="1"/>
  <c r="J121" i="11"/>
  <c r="S134" i="11" s="1"/>
  <c r="I121" i="11"/>
  <c r="R134" i="11" s="1"/>
  <c r="H121" i="11"/>
  <c r="Q134" i="11" s="1"/>
  <c r="G121" i="11"/>
  <c r="P134" i="11" s="1"/>
  <c r="O120" i="11"/>
  <c r="N120" i="11"/>
  <c r="M120" i="11"/>
  <c r="AQ111" i="11" s="1"/>
  <c r="L120" i="11"/>
  <c r="AP111" i="11" s="1"/>
  <c r="J120" i="11"/>
  <c r="S133" i="11" s="1"/>
  <c r="I120" i="11"/>
  <c r="R133" i="11" s="1"/>
  <c r="H120" i="11"/>
  <c r="Q133" i="11" s="1"/>
  <c r="G120" i="11"/>
  <c r="P133" i="11" s="1"/>
  <c r="O119" i="11"/>
  <c r="N119" i="11"/>
  <c r="M119" i="11"/>
  <c r="AQ110" i="11" s="1"/>
  <c r="L119" i="11"/>
  <c r="AP110" i="11" s="1"/>
  <c r="J119" i="11"/>
  <c r="I119" i="11"/>
  <c r="H119" i="11"/>
  <c r="G119" i="11"/>
  <c r="P132" i="11" s="1"/>
  <c r="O118" i="11"/>
  <c r="N118" i="11"/>
  <c r="M118" i="11"/>
  <c r="AQ109" i="11" s="1"/>
  <c r="L118" i="11"/>
  <c r="AP109" i="11" s="1"/>
  <c r="J118" i="11"/>
  <c r="S131" i="11" s="1"/>
  <c r="I118" i="11"/>
  <c r="R131" i="11" s="1"/>
  <c r="H118" i="11"/>
  <c r="Q131" i="11" s="1"/>
  <c r="G118" i="11"/>
  <c r="P131" i="11" s="1"/>
  <c r="O117" i="11"/>
  <c r="N117" i="11"/>
  <c r="M117" i="11"/>
  <c r="AQ108" i="11" s="1"/>
  <c r="L117" i="11"/>
  <c r="AP108" i="11" s="1"/>
  <c r="J117" i="11"/>
  <c r="S130" i="11" s="1"/>
  <c r="I117" i="11"/>
  <c r="R130" i="11" s="1"/>
  <c r="H117" i="11"/>
  <c r="Q130" i="11" s="1"/>
  <c r="G117" i="11"/>
  <c r="P130" i="11" s="1"/>
  <c r="O116" i="11"/>
  <c r="N116" i="11"/>
  <c r="M116" i="11"/>
  <c r="AQ107" i="11" s="1"/>
  <c r="L116" i="11"/>
  <c r="AP107" i="11" s="1"/>
  <c r="J116" i="11"/>
  <c r="S129" i="11" s="1"/>
  <c r="I116" i="11"/>
  <c r="R129" i="11" s="1"/>
  <c r="H116" i="11"/>
  <c r="Q129" i="11" s="1"/>
  <c r="G116" i="11"/>
  <c r="P129" i="11" s="1"/>
  <c r="O115" i="11"/>
  <c r="N115" i="11"/>
  <c r="M115" i="11"/>
  <c r="AQ106" i="11" s="1"/>
  <c r="L115" i="11"/>
  <c r="AP106" i="11" s="1"/>
  <c r="K115" i="11"/>
  <c r="J115" i="11"/>
  <c r="S128" i="11" s="1"/>
  <c r="I115" i="11"/>
  <c r="R128" i="11" s="1"/>
  <c r="H115" i="11"/>
  <c r="Q128" i="11" s="1"/>
  <c r="G115" i="11"/>
  <c r="P128" i="11" s="1"/>
  <c r="BE109" i="11"/>
  <c r="AX109" i="11"/>
  <c r="AZ108" i="11"/>
  <c r="AZ107" i="11"/>
  <c r="AZ106" i="11"/>
  <c r="BE105" i="11"/>
  <c r="BB105" i="11"/>
  <c r="BH116" i="11" s="1"/>
  <c r="BE104" i="11"/>
  <c r="BB104" i="11"/>
  <c r="BH115" i="11" s="1"/>
  <c r="AZ104" i="11"/>
  <c r="BE103" i="11"/>
  <c r="BB103" i="11"/>
  <c r="BH114" i="11" s="1"/>
  <c r="AZ103" i="11"/>
  <c r="BE102" i="11"/>
  <c r="BB102" i="11"/>
  <c r="BH113" i="11" s="1"/>
  <c r="BE101" i="11"/>
  <c r="BB101" i="11"/>
  <c r="BH112" i="11" s="1"/>
  <c r="AZ101" i="11"/>
  <c r="BE100" i="11"/>
  <c r="BB100" i="11"/>
  <c r="BH111" i="11" s="1"/>
  <c r="AZ100" i="11"/>
  <c r="BE99" i="11"/>
  <c r="BD99" i="11"/>
  <c r="BB99" i="11"/>
  <c r="BH110" i="11" s="1"/>
  <c r="AZ99" i="11"/>
  <c r="DG73" i="15"/>
  <c r="DI73" i="15" s="1"/>
  <c r="DK73" i="15" s="1"/>
  <c r="DG70" i="15"/>
  <c r="DI70" i="15" s="1"/>
  <c r="DK70" i="15" s="1"/>
  <c r="DG67" i="15"/>
  <c r="DI67" i="15" s="1"/>
  <c r="DK67" i="15" s="1"/>
  <c r="DG66" i="15"/>
  <c r="DI66" i="15" s="1"/>
  <c r="DK66" i="15" s="1"/>
  <c r="DG60" i="15"/>
  <c r="DI60" i="15" s="1"/>
  <c r="DK60" i="15" s="1"/>
  <c r="DG59" i="15"/>
  <c r="DI59" i="15" s="1"/>
  <c r="DK59" i="15" s="1"/>
  <c r="DG63" i="15"/>
  <c r="DI63" i="15" s="1"/>
  <c r="DK63" i="15" s="1"/>
  <c r="DG62" i="15"/>
  <c r="DI62" i="15" s="1"/>
  <c r="DK62" i="15" s="1"/>
  <c r="DG61" i="15"/>
  <c r="DI61" i="15" s="1"/>
  <c r="DK61" i="15" s="1"/>
  <c r="DD52" i="15"/>
  <c r="DV77" i="15"/>
  <c r="DG72" i="15"/>
  <c r="DI72" i="15" s="1"/>
  <c r="DK72" i="15" s="1"/>
  <c r="DG71" i="15"/>
  <c r="DI71" i="15" s="1"/>
  <c r="DK71" i="15" s="1"/>
  <c r="DG69" i="15"/>
  <c r="DI69" i="15" s="1"/>
  <c r="DK69" i="15" s="1"/>
  <c r="DG68" i="15"/>
  <c r="DI68" i="15" s="1"/>
  <c r="DK68" i="15" s="1"/>
  <c r="DG65" i="15"/>
  <c r="DI65" i="15" s="1"/>
  <c r="DK65" i="15" s="1"/>
  <c r="DG64" i="15"/>
  <c r="DI64" i="15" s="1"/>
  <c r="DK64" i="15" s="1"/>
  <c r="DG58" i="15"/>
  <c r="DI58" i="15" s="1"/>
  <c r="DK58" i="15" s="1"/>
  <c r="DG57" i="15"/>
  <c r="DI57" i="15" s="1"/>
  <c r="DK57" i="15" s="1"/>
  <c r="DG56" i="15"/>
  <c r="DI56" i="15" s="1"/>
  <c r="DK56" i="15" s="1"/>
  <c r="DG55" i="15"/>
  <c r="DI55" i="15" s="1"/>
  <c r="DK55" i="15" s="1"/>
  <c r="DG54" i="15"/>
  <c r="DI54" i="15" s="1"/>
  <c r="DK54" i="15" s="1"/>
  <c r="DG53" i="15"/>
  <c r="DI53" i="15" s="1"/>
  <c r="DK53" i="15" s="1"/>
  <c r="DG52" i="15"/>
  <c r="DI52" i="15" s="1"/>
  <c r="DK52" i="15" s="1"/>
  <c r="DG51" i="15"/>
  <c r="DI51" i="15" s="1"/>
  <c r="DK51" i="15" s="1"/>
  <c r="DG50" i="15"/>
  <c r="DI50" i="15" s="1"/>
  <c r="DK50" i="15" s="1"/>
  <c r="DG49" i="15"/>
  <c r="DI49" i="15" s="1"/>
  <c r="DK49" i="15" s="1"/>
  <c r="DG48" i="15"/>
  <c r="DI48" i="15" s="1"/>
  <c r="DK48" i="15" s="1"/>
  <c r="DG47" i="15"/>
  <c r="DI47" i="15" s="1"/>
  <c r="DK47" i="15" s="1"/>
  <c r="DG46" i="15"/>
  <c r="DI46" i="15" s="1"/>
  <c r="DK46" i="15" s="1"/>
  <c r="CW50" i="15"/>
  <c r="CW57" i="15"/>
  <c r="CW64" i="15"/>
  <c r="CW67" i="15"/>
  <c r="CW71" i="15"/>
  <c r="CO77" i="15"/>
  <c r="CQ77" i="15" s="1"/>
  <c r="CO76" i="15"/>
  <c r="CQ76" i="15" s="1"/>
  <c r="CO75" i="15"/>
  <c r="CQ75" i="15" s="1"/>
  <c r="CO74" i="15"/>
  <c r="CQ74" i="15" s="1"/>
  <c r="CO73" i="15"/>
  <c r="CQ73" i="15" s="1"/>
  <c r="CO72" i="15"/>
  <c r="CQ72" i="15" s="1"/>
  <c r="CO69" i="15"/>
  <c r="CQ69" i="15" s="1"/>
  <c r="CO68" i="15"/>
  <c r="CQ68" i="15" s="1"/>
  <c r="CO66" i="15"/>
  <c r="CQ66" i="15" s="1"/>
  <c r="CO65" i="15"/>
  <c r="CQ65" i="15" s="1"/>
  <c r="CO63" i="15"/>
  <c r="CQ63" i="15" s="1"/>
  <c r="CO62" i="15"/>
  <c r="CQ62" i="15" s="1"/>
  <c r="CO61" i="15"/>
  <c r="CQ61" i="15" s="1"/>
  <c r="CO60" i="15"/>
  <c r="CQ60" i="15" s="1"/>
  <c r="CO59" i="15"/>
  <c r="CQ59" i="15" s="1"/>
  <c r="CO58" i="15"/>
  <c r="CQ58" i="15" s="1"/>
  <c r="CN88" i="15"/>
  <c r="CO52" i="15"/>
  <c r="CW52" i="15" s="1"/>
  <c r="CO53" i="15"/>
  <c r="CW53" i="15" s="1"/>
  <c r="CO54" i="15"/>
  <c r="CW54" i="15" s="1"/>
  <c r="CO55" i="15"/>
  <c r="CW55" i="15" s="1"/>
  <c r="CO56" i="15"/>
  <c r="CQ56" i="15" s="1"/>
  <c r="CO51" i="15"/>
  <c r="CO45" i="15"/>
  <c r="CQ45" i="15" s="1"/>
  <c r="CO46" i="15"/>
  <c r="CW46" i="15" s="1"/>
  <c r="CO47" i="15"/>
  <c r="CW47" i="15" s="1"/>
  <c r="CO48" i="15"/>
  <c r="CO49" i="15"/>
  <c r="CW49" i="15" s="1"/>
  <c r="CO44" i="15"/>
  <c r="CW44" i="15" s="1"/>
  <c r="CQ95" i="15"/>
  <c r="CQ94" i="15"/>
  <c r="CQ93" i="15"/>
  <c r="CQ92" i="15"/>
  <c r="CQ91" i="15"/>
  <c r="CQ90" i="15"/>
  <c r="CQ89" i="15"/>
  <c r="CJ67" i="15"/>
  <c r="CJ68" i="15" s="1"/>
  <c r="CJ66" i="15"/>
  <c r="J29" i="9"/>
  <c r="L31" i="3" s="1"/>
  <c r="C14" i="19" s="1"/>
  <c r="L30" i="3"/>
  <c r="L27" i="3"/>
  <c r="L29" i="3" s="1"/>
  <c r="W12" i="27" a="1"/>
  <c r="W12" i="27" s="1"/>
  <c r="V12" i="27" a="1"/>
  <c r="V12" i="27" s="1"/>
  <c r="U12" i="27" a="1"/>
  <c r="U12" i="27" s="1"/>
  <c r="T12" i="27" a="1"/>
  <c r="T12" i="27" s="1"/>
  <c r="S12" i="27" a="1"/>
  <c r="S12" i="27" s="1"/>
  <c r="R12" i="27" a="1"/>
  <c r="R12" i="27" s="1"/>
  <c r="Q12" i="27" a="1"/>
  <c r="Q12" i="27" s="1"/>
  <c r="P12" i="27" a="1"/>
  <c r="P12" i="27" s="1"/>
  <c r="N18" i="27"/>
  <c r="N17" i="27"/>
  <c r="I18" i="27"/>
  <c r="J18" i="27" s="1"/>
  <c r="I12" i="27"/>
  <c r="I19" i="27"/>
  <c r="J19" i="27" s="1"/>
  <c r="I17" i="27"/>
  <c r="J17" i="27" s="1"/>
  <c r="I16" i="27"/>
  <c r="J16" i="27" s="1"/>
  <c r="I15" i="27"/>
  <c r="J15" i="27" s="1"/>
  <c r="I14" i="27"/>
  <c r="J14" i="27" s="1"/>
  <c r="I13" i="27"/>
  <c r="J13" i="27" s="1"/>
  <c r="K56" i="3" l="1"/>
  <c r="BG44" i="16"/>
  <c r="J56" i="3"/>
  <c r="BG43" i="16"/>
  <c r="F56" i="3"/>
  <c r="BG39" i="16"/>
  <c r="L56" i="3"/>
  <c r="BG45" i="16"/>
  <c r="BA44" i="16"/>
  <c r="K54" i="3" s="1"/>
  <c r="J53" i="3"/>
  <c r="BA43" i="16"/>
  <c r="J54" i="3" s="1"/>
  <c r="I53" i="3"/>
  <c r="BA42" i="16"/>
  <c r="I54" i="3" s="1"/>
  <c r="BA41" i="16"/>
  <c r="H54" i="3" s="1"/>
  <c r="L32" i="3"/>
  <c r="L140" i="11"/>
  <c r="AP130" i="11" s="1"/>
  <c r="U127" i="11"/>
  <c r="H127" i="11"/>
  <c r="Q140" i="11" s="1"/>
  <c r="Q132" i="11"/>
  <c r="I127" i="11"/>
  <c r="R140" i="11" s="1"/>
  <c r="R132" i="11"/>
  <c r="J127" i="11"/>
  <c r="S140" i="11" s="1"/>
  <c r="S132" i="11"/>
  <c r="CW58" i="15"/>
  <c r="H53" i="3"/>
  <c r="F53" i="3"/>
  <c r="C53" i="3"/>
  <c r="BA38" i="16"/>
  <c r="E54" i="3" s="1"/>
  <c r="K53" i="3"/>
  <c r="CW69" i="15"/>
  <c r="CQ54" i="15"/>
  <c r="BA40" i="16"/>
  <c r="G54" i="3" s="1"/>
  <c r="CW60" i="15"/>
  <c r="N47" i="3"/>
  <c r="BA37" i="16"/>
  <c r="D54" i="3" s="1"/>
  <c r="CW76" i="15"/>
  <c r="AY45" i="16"/>
  <c r="L125" i="3"/>
  <c r="U16" i="30" s="1"/>
  <c r="CW77" i="15"/>
  <c r="CW68" i="15"/>
  <c r="CW59" i="15"/>
  <c r="CW51" i="15"/>
  <c r="CW75" i="15"/>
  <c r="CW66" i="15"/>
  <c r="CW74" i="15"/>
  <c r="CW65" i="15"/>
  <c r="CW56" i="15"/>
  <c r="CW48" i="15"/>
  <c r="CO83" i="15"/>
  <c r="CW73" i="15"/>
  <c r="CW72" i="15"/>
  <c r="CW63" i="15"/>
  <c r="CW62" i="15"/>
  <c r="CW45" i="15"/>
  <c r="CO84" i="15"/>
  <c r="CW61" i="15"/>
  <c r="I56" i="3"/>
  <c r="D56" i="3"/>
  <c r="H56" i="3"/>
  <c r="G56" i="3"/>
  <c r="E56" i="3"/>
  <c r="BG28" i="16"/>
  <c r="BG20" i="16"/>
  <c r="BG25" i="16"/>
  <c r="BG36" i="16"/>
  <c r="BG22" i="16"/>
  <c r="BG34" i="16"/>
  <c r="BG26" i="16"/>
  <c r="BG18" i="16"/>
  <c r="BG31" i="16"/>
  <c r="BG23" i="16"/>
  <c r="BG15" i="16"/>
  <c r="G127" i="11"/>
  <c r="P140" i="11" s="1"/>
  <c r="CW70" i="15"/>
  <c r="CQ70" i="15"/>
  <c r="CO82" i="15"/>
  <c r="CW82" i="15" s="1"/>
  <c r="CO85" i="15"/>
  <c r="CO86" i="15"/>
  <c r="CW86" i="15" s="1"/>
  <c r="CO87" i="15"/>
  <c r="CQ53" i="15"/>
  <c r="CQ46" i="15"/>
  <c r="CQ55" i="15"/>
  <c r="CQ52" i="15"/>
  <c r="CQ51" i="15"/>
  <c r="CT57" i="15"/>
  <c r="CQ48" i="15"/>
  <c r="CT50" i="15"/>
  <c r="CQ49" i="15"/>
  <c r="CQ47" i="15"/>
  <c r="CQ44" i="15"/>
  <c r="I22" i="27"/>
  <c r="J12" i="27"/>
  <c r="K16" i="3"/>
  <c r="L16" i="3"/>
  <c r="L8" i="3"/>
  <c r="N50" i="3" s="1"/>
  <c r="L9" i="3"/>
  <c r="L6" i="3"/>
  <c r="Y91" i="13"/>
  <c r="Y93" i="13"/>
  <c r="Z92" i="13" s="1"/>
  <c r="I82" i="3"/>
  <c r="M82" i="3" s="1"/>
  <c r="EJ69" i="15"/>
  <c r="CI19" i="16"/>
  <c r="CH19" i="16"/>
  <c r="CQ34" i="15"/>
  <c r="CU28" i="15"/>
  <c r="CV24" i="15"/>
  <c r="CV25" i="15"/>
  <c r="CV26" i="15"/>
  <c r="CV27" i="15"/>
  <c r="CV28" i="15"/>
  <c r="CV29" i="15"/>
  <c r="CV23" i="15"/>
  <c r="CW27" i="15"/>
  <c r="CW28" i="15"/>
  <c r="CW29" i="15"/>
  <c r="CW26" i="15"/>
  <c r="CW25" i="15"/>
  <c r="CW24" i="15"/>
  <c r="CW23" i="15"/>
  <c r="CU24" i="15"/>
  <c r="CU25" i="15"/>
  <c r="CU26" i="15"/>
  <c r="CU27" i="15"/>
  <c r="CU29" i="15"/>
  <c r="CU23" i="15"/>
  <c r="CQ9" i="15"/>
  <c r="CQ10" i="15"/>
  <c r="CQ11" i="15"/>
  <c r="CQ27" i="15"/>
  <c r="CQ23" i="15"/>
  <c r="CQ25" i="15"/>
  <c r="CW9" i="15"/>
  <c r="CV9" i="15"/>
  <c r="CU9" i="15"/>
  <c r="GF65" i="15"/>
  <c r="CX31" i="15"/>
  <c r="CX32" i="15"/>
  <c r="ET31" i="15"/>
  <c r="CW36" i="15"/>
  <c r="ES36" i="15"/>
  <c r="CW31" i="15"/>
  <c r="CW32" i="15"/>
  <c r="ES31" i="15"/>
  <c r="CW16" i="15"/>
  <c r="CW10" i="15"/>
  <c r="CV21" i="15"/>
  <c r="CV20" i="15"/>
  <c r="CV19" i="15"/>
  <c r="CV18" i="15"/>
  <c r="CV17" i="15"/>
  <c r="CV16" i="15"/>
  <c r="CV14" i="15"/>
  <c r="CV13" i="15"/>
  <c r="CV12" i="15"/>
  <c r="CV11" i="15"/>
  <c r="CV10" i="15"/>
  <c r="IF23" i="15"/>
  <c r="IF16" i="15"/>
  <c r="IE9" i="15"/>
  <c r="IE24" i="15"/>
  <c r="IE23" i="15"/>
  <c r="CU21" i="15"/>
  <c r="CU20" i="15"/>
  <c r="CU19" i="15"/>
  <c r="CU18" i="15"/>
  <c r="CU17" i="15"/>
  <c r="CU16" i="15"/>
  <c r="CU11" i="15"/>
  <c r="CU10" i="15"/>
  <c r="CU12" i="15"/>
  <c r="CU13" i="15"/>
  <c r="CU14" i="15"/>
  <c r="CQ32" i="15"/>
  <c r="CQ33" i="15"/>
  <c r="CQ35" i="15"/>
  <c r="CQ36" i="15"/>
  <c r="CQ31" i="15"/>
  <c r="CQ24" i="15"/>
  <c r="CQ26" i="15"/>
  <c r="CQ28" i="15"/>
  <c r="CQ29" i="15"/>
  <c r="CQ17" i="15"/>
  <c r="CQ18" i="15"/>
  <c r="CQ19" i="15"/>
  <c r="CQ20" i="15"/>
  <c r="CQ21" i="15"/>
  <c r="CQ16" i="15"/>
  <c r="CQ12" i="15"/>
  <c r="CQ13" i="15"/>
  <c r="CQ14" i="15"/>
  <c r="EP15" i="15"/>
  <c r="ES9" i="15"/>
  <c r="ER9" i="15"/>
  <c r="EQ9" i="15"/>
  <c r="C149" i="13"/>
  <c r="N110" i="13"/>
  <c r="L24" i="17"/>
  <c r="E44" i="9"/>
  <c r="D44" i="9"/>
  <c r="E16" i="9"/>
  <c r="W15" i="9"/>
  <c r="W16" i="9" s="1"/>
  <c r="W6" i="9"/>
  <c r="W7" i="9" s="1"/>
  <c r="L16" i="9" s="1"/>
  <c r="AJ43" i="21"/>
  <c r="AR54" i="21"/>
  <c r="AQ54" i="21"/>
  <c r="E145" i="13"/>
  <c r="J145" i="13"/>
  <c r="E146" i="13"/>
  <c r="E147" i="13"/>
  <c r="E148" i="13"/>
  <c r="D149" i="13"/>
  <c r="K166" i="13" s="1"/>
  <c r="E150" i="13"/>
  <c r="E151" i="13"/>
  <c r="E152" i="13"/>
  <c r="C153" i="13"/>
  <c r="D153" i="13"/>
  <c r="E154" i="13"/>
  <c r="E155" i="13"/>
  <c r="E156" i="13"/>
  <c r="K156" i="13"/>
  <c r="C157" i="13"/>
  <c r="C161" i="13" s="1"/>
  <c r="D157" i="13"/>
  <c r="K174" i="13" s="1"/>
  <c r="E158" i="13"/>
  <c r="K158" i="13"/>
  <c r="E159" i="13"/>
  <c r="K159" i="13"/>
  <c r="E160" i="13"/>
  <c r="K160" i="13"/>
  <c r="B161" i="13"/>
  <c r="L123" i="12"/>
  <c r="G120" i="12"/>
  <c r="R120" i="12"/>
  <c r="W133" i="12" s="1"/>
  <c r="C120" i="12"/>
  <c r="AH35" i="12"/>
  <c r="E9" i="12"/>
  <c r="H114" i="12"/>
  <c r="H113" i="12"/>
  <c r="AF115" i="12"/>
  <c r="T120" i="12"/>
  <c r="P141" i="12"/>
  <c r="J113" i="12"/>
  <c r="K113" i="12"/>
  <c r="L113" i="12"/>
  <c r="S113" i="12"/>
  <c r="U113" i="12"/>
  <c r="V113" i="12"/>
  <c r="W113" i="12"/>
  <c r="AF113" i="12"/>
  <c r="AG113" i="12"/>
  <c r="AH113" i="12"/>
  <c r="AJ113" i="12"/>
  <c r="AO126" i="12" s="1"/>
  <c r="AL113" i="12"/>
  <c r="AN126" i="12" s="1"/>
  <c r="AM113" i="12"/>
  <c r="K114" i="12"/>
  <c r="L114" i="12"/>
  <c r="S114" i="12"/>
  <c r="V114" i="12"/>
  <c r="W114" i="12"/>
  <c r="AF114" i="12"/>
  <c r="AG114" i="12"/>
  <c r="AH114" i="12"/>
  <c r="AJ114" i="12"/>
  <c r="AO127" i="12" s="1"/>
  <c r="AL114" i="12"/>
  <c r="AN127" i="12" s="1"/>
  <c r="H115" i="12"/>
  <c r="K115" i="12"/>
  <c r="L115" i="12"/>
  <c r="S115" i="12"/>
  <c r="V115" i="12"/>
  <c r="W115" i="12"/>
  <c r="AG115" i="12"/>
  <c r="AH115" i="12"/>
  <c r="AJ115" i="12"/>
  <c r="AO128" i="12" s="1"/>
  <c r="AL115" i="12"/>
  <c r="AN128" i="12" s="1"/>
  <c r="H116" i="12"/>
  <c r="K116" i="12"/>
  <c r="L116" i="12"/>
  <c r="S116" i="12"/>
  <c r="V116" i="12"/>
  <c r="W116" i="12"/>
  <c r="AF116" i="12"/>
  <c r="AG116" i="12"/>
  <c r="AH116" i="12"/>
  <c r="AJ116" i="12"/>
  <c r="AO129" i="12" s="1"/>
  <c r="AL116" i="12"/>
  <c r="AN129" i="12" s="1"/>
  <c r="C117" i="12"/>
  <c r="G117" i="12"/>
  <c r="L130" i="12" s="1"/>
  <c r="I117" i="12"/>
  <c r="K130" i="12" s="1"/>
  <c r="N117" i="12"/>
  <c r="R117" i="12"/>
  <c r="T117" i="12"/>
  <c r="V130" i="12" s="1"/>
  <c r="AG117" i="12"/>
  <c r="AH117" i="12"/>
  <c r="K118" i="12"/>
  <c r="L118" i="12"/>
  <c r="V118" i="12"/>
  <c r="W118" i="12"/>
  <c r="AF118" i="12"/>
  <c r="AG118" i="12"/>
  <c r="AH118" i="12"/>
  <c r="AJ118" i="12"/>
  <c r="AO131" i="12" s="1"/>
  <c r="AL118" i="12"/>
  <c r="AN131" i="12" s="1"/>
  <c r="K119" i="12"/>
  <c r="L119" i="12"/>
  <c r="V119" i="12"/>
  <c r="W119" i="12"/>
  <c r="AF119" i="12"/>
  <c r="AG119" i="12"/>
  <c r="AH119" i="12"/>
  <c r="AJ119" i="12"/>
  <c r="AO132" i="12" s="1"/>
  <c r="AL119" i="12"/>
  <c r="AN132" i="12" s="1"/>
  <c r="K120" i="12"/>
  <c r="N120" i="12"/>
  <c r="N121" i="12" s="1"/>
  <c r="N125" i="12" s="1"/>
  <c r="AG120" i="12"/>
  <c r="AH120" i="12"/>
  <c r="AG121" i="12"/>
  <c r="AH121" i="12"/>
  <c r="K122" i="12"/>
  <c r="L122" i="12"/>
  <c r="V122" i="12"/>
  <c r="W122" i="12"/>
  <c r="AF122" i="12"/>
  <c r="AG122" i="12"/>
  <c r="AH122" i="12"/>
  <c r="AJ122" i="12"/>
  <c r="AO135" i="12" s="1"/>
  <c r="AL122" i="12"/>
  <c r="AN135" i="12" s="1"/>
  <c r="K123" i="12"/>
  <c r="V123" i="12"/>
  <c r="W123" i="12"/>
  <c r="AF123" i="12"/>
  <c r="AG123" i="12"/>
  <c r="AH123" i="12"/>
  <c r="AJ123" i="12"/>
  <c r="AO136" i="12" s="1"/>
  <c r="AL123" i="12"/>
  <c r="AN136" i="12" s="1"/>
  <c r="K124" i="12"/>
  <c r="L124" i="12"/>
  <c r="V124" i="12"/>
  <c r="W124" i="12"/>
  <c r="AF124" i="12"/>
  <c r="AG124" i="12"/>
  <c r="AH124" i="12"/>
  <c r="AJ124" i="12"/>
  <c r="AO137" i="12" s="1"/>
  <c r="AL124" i="12"/>
  <c r="AN137" i="12" s="1"/>
  <c r="B125" i="12"/>
  <c r="D125" i="12"/>
  <c r="E125" i="12"/>
  <c r="O125" i="12"/>
  <c r="P125" i="12"/>
  <c r="R163" i="12"/>
  <c r="AJ163" i="12"/>
  <c r="AH163" i="12"/>
  <c r="G163" i="12"/>
  <c r="N107" i="12"/>
  <c r="L95" i="3" l="1"/>
  <c r="L94" i="3"/>
  <c r="L121" i="3"/>
  <c r="C36" i="19" s="1"/>
  <c r="L87" i="3"/>
  <c r="E29" i="9"/>
  <c r="L158" i="3"/>
  <c r="AE158" i="3" s="1"/>
  <c r="AE125" i="3"/>
  <c r="BA45" i="16"/>
  <c r="L54" i="3" s="1"/>
  <c r="CW81" i="15"/>
  <c r="CZ44" i="15" s="1"/>
  <c r="CW79" i="15"/>
  <c r="CW80" i="15" s="1"/>
  <c r="EV9" i="15"/>
  <c r="EZ11" i="15" s="1"/>
  <c r="CQ87" i="15"/>
  <c r="CW87" i="15"/>
  <c r="CQ85" i="15"/>
  <c r="CW85" i="15"/>
  <c r="CX68" i="15"/>
  <c r="CW84" i="15"/>
  <c r="CQ83" i="15"/>
  <c r="CW83" i="15"/>
  <c r="L99" i="3"/>
  <c r="M85" i="3"/>
  <c r="M86" i="3" s="1"/>
  <c r="M87" i="3" s="1"/>
  <c r="AM95" i="3" s="1"/>
  <c r="CQ84" i="15"/>
  <c r="I153" i="13"/>
  <c r="I157" i="13" s="1"/>
  <c r="I158" i="13" s="1"/>
  <c r="I159" i="13" s="1"/>
  <c r="I160" i="13" s="1"/>
  <c r="K170" i="13"/>
  <c r="L120" i="12"/>
  <c r="L133" i="12"/>
  <c r="S119" i="12"/>
  <c r="W130" i="12"/>
  <c r="AL120" i="12"/>
  <c r="AN133" i="12" s="1"/>
  <c r="V133" i="12"/>
  <c r="L53" i="3"/>
  <c r="AH125" i="12"/>
  <c r="CU65" i="15"/>
  <c r="AX47" i="16"/>
  <c r="H120" i="12"/>
  <c r="F29" i="9"/>
  <c r="O117" i="3"/>
  <c r="I23" i="27"/>
  <c r="I28" i="27"/>
  <c r="AG125" i="12"/>
  <c r="AE198" i="3"/>
  <c r="T121" i="12"/>
  <c r="V134" i="12" s="1"/>
  <c r="AA82" i="13"/>
  <c r="AA83" i="13"/>
  <c r="AA84" i="13"/>
  <c r="R121" i="12"/>
  <c r="W134" i="12" s="1"/>
  <c r="CQ82" i="15"/>
  <c r="E30" i="9"/>
  <c r="CU47" i="15"/>
  <c r="CU59" i="15"/>
  <c r="CU45" i="15"/>
  <c r="CU55" i="15"/>
  <c r="CU49" i="15"/>
  <c r="CU76" i="15"/>
  <c r="CU53" i="15"/>
  <c r="CU63" i="15"/>
  <c r="CU70" i="15"/>
  <c r="CX66" i="15"/>
  <c r="CU67" i="15"/>
  <c r="CU56" i="15"/>
  <c r="CU71" i="15"/>
  <c r="CU73" i="15"/>
  <c r="CU64" i="15"/>
  <c r="CU57" i="15"/>
  <c r="CU58" i="15"/>
  <c r="CU66" i="15"/>
  <c r="CU50" i="15"/>
  <c r="CU61" i="15"/>
  <c r="CU46" i="15"/>
  <c r="CU72" i="15"/>
  <c r="CU74" i="15"/>
  <c r="CU69" i="15"/>
  <c r="CU54" i="15"/>
  <c r="CU75" i="15"/>
  <c r="CX69" i="15"/>
  <c r="CU60" i="15"/>
  <c r="CU44" i="15"/>
  <c r="CU62" i="15"/>
  <c r="CU52" i="15"/>
  <c r="CU68" i="15"/>
  <c r="CU48" i="15"/>
  <c r="CU77" i="15"/>
  <c r="CU51" i="15"/>
  <c r="V45" i="16"/>
  <c r="AV45" i="16" s="1"/>
  <c r="K101" i="3"/>
  <c r="L89" i="3"/>
  <c r="L172" i="3"/>
  <c r="AE172" i="3" s="1"/>
  <c r="BL30" i="16"/>
  <c r="BL31" i="16" s="1"/>
  <c r="U45" i="16"/>
  <c r="AJ45" i="16" s="1"/>
  <c r="CX71" i="15"/>
  <c r="CX67" i="15"/>
  <c r="CT84" i="15"/>
  <c r="CQ86" i="15"/>
  <c r="CX70" i="15"/>
  <c r="L33" i="17"/>
  <c r="E149" i="13"/>
  <c r="E157" i="13"/>
  <c r="F16" i="9"/>
  <c r="W8" i="9"/>
  <c r="G16" i="9" s="1"/>
  <c r="W19" i="9"/>
  <c r="W20" i="9" s="1"/>
  <c r="G121" i="12"/>
  <c r="L134" i="12" s="1"/>
  <c r="I121" i="12"/>
  <c r="E153" i="13"/>
  <c r="AF117" i="12"/>
  <c r="AF120" i="12"/>
  <c r="C121" i="12"/>
  <c r="C125" i="12" s="1"/>
  <c r="H119" i="12"/>
  <c r="H118" i="12"/>
  <c r="H117" i="12"/>
  <c r="AK114" i="12"/>
  <c r="S120" i="12"/>
  <c r="S118" i="12"/>
  <c r="S117" i="12"/>
  <c r="AJ117" i="12"/>
  <c r="AK115" i="12"/>
  <c r="AL117" i="12"/>
  <c r="AN130" i="12" s="1"/>
  <c r="AK116" i="12"/>
  <c r="AJ120" i="12"/>
  <c r="AO133" i="12" s="1"/>
  <c r="AK113" i="12"/>
  <c r="AK163" i="12"/>
  <c r="CZ60" i="15" l="1"/>
  <c r="DD66" i="15" s="1"/>
  <c r="EB43" i="15"/>
  <c r="DB44" i="15" s="1"/>
  <c r="C26" i="19"/>
  <c r="CW88" i="15"/>
  <c r="CX88" i="15" s="1"/>
  <c r="CZ69" i="15"/>
  <c r="DD62" i="15" s="1"/>
  <c r="CZ74" i="15"/>
  <c r="DD67" i="15" s="1"/>
  <c r="DE67" i="15" s="1"/>
  <c r="H29" i="9"/>
  <c r="A29" i="9"/>
  <c r="CZ75" i="15"/>
  <c r="CZ62" i="15"/>
  <c r="CZ64" i="15"/>
  <c r="CZ52" i="15"/>
  <c r="DD56" i="15" s="1"/>
  <c r="CZ47" i="15"/>
  <c r="DD57" i="15" s="1"/>
  <c r="CZ57" i="15"/>
  <c r="CZ46" i="15"/>
  <c r="DD64" i="15" s="1"/>
  <c r="CZ49" i="15"/>
  <c r="CZ55" i="15"/>
  <c r="DD69" i="15" s="1"/>
  <c r="CZ54" i="15"/>
  <c r="DD58" i="15" s="1"/>
  <c r="CZ71" i="15"/>
  <c r="CZ50" i="15"/>
  <c r="CZ53" i="15"/>
  <c r="DD65" i="15" s="1"/>
  <c r="CZ67" i="15"/>
  <c r="CZ77" i="15"/>
  <c r="DD73" i="15" s="1"/>
  <c r="CZ76" i="15"/>
  <c r="DD70" i="15" s="1"/>
  <c r="CZ56" i="15"/>
  <c r="DD72" i="15" s="1"/>
  <c r="CZ65" i="15"/>
  <c r="DD50" i="15" s="1"/>
  <c r="CZ70" i="15"/>
  <c r="CZ61" i="15"/>
  <c r="DD59" i="15" s="1"/>
  <c r="CZ45" i="15"/>
  <c r="DD55" i="15" s="1"/>
  <c r="CZ51" i="15"/>
  <c r="DD47" i="15" s="1"/>
  <c r="DD46" i="15"/>
  <c r="CZ66" i="15"/>
  <c r="DD61" i="15" s="1"/>
  <c r="CZ48" i="15"/>
  <c r="CZ59" i="15"/>
  <c r="CZ72" i="15"/>
  <c r="CZ68" i="15"/>
  <c r="DD51" i="15" s="1"/>
  <c r="CZ58" i="15"/>
  <c r="DD48" i="15" s="1"/>
  <c r="CZ63" i="15"/>
  <c r="CZ73" i="15"/>
  <c r="CY66" i="15"/>
  <c r="DE66" i="15"/>
  <c r="I86" i="3"/>
  <c r="CY71" i="15"/>
  <c r="CY56" i="15"/>
  <c r="CY70" i="15"/>
  <c r="CY62" i="15"/>
  <c r="CY73" i="15"/>
  <c r="CY76" i="15"/>
  <c r="CY68" i="15"/>
  <c r="AL121" i="12"/>
  <c r="AN134" i="12" s="1"/>
  <c r="K134" i="12"/>
  <c r="AK119" i="12"/>
  <c r="AO130" i="12"/>
  <c r="AM163" i="12"/>
  <c r="CY60" i="15"/>
  <c r="CY49" i="15"/>
  <c r="CY64" i="15"/>
  <c r="CY67" i="15"/>
  <c r="CY65" i="15"/>
  <c r="CY47" i="15"/>
  <c r="CY50" i="15"/>
  <c r="CY54" i="15"/>
  <c r="CY46" i="15"/>
  <c r="CY57" i="15"/>
  <c r="CY55" i="15"/>
  <c r="CY44" i="15"/>
  <c r="CY61" i="15"/>
  <c r="CY72" i="15"/>
  <c r="CY45" i="15"/>
  <c r="CY75" i="15"/>
  <c r="CY53" i="15"/>
  <c r="CY63" i="15"/>
  <c r="CY74" i="15"/>
  <c r="W10" i="9"/>
  <c r="I16" i="9"/>
  <c r="J16" i="9" s="1"/>
  <c r="L23" i="3"/>
  <c r="CY48" i="15"/>
  <c r="CY52" i="15"/>
  <c r="CY59" i="15"/>
  <c r="CY58" i="15"/>
  <c r="AF111" i="15" s="1"/>
  <c r="L130" i="3"/>
  <c r="CY69" i="15"/>
  <c r="CY77" i="15"/>
  <c r="CY51" i="15"/>
  <c r="CI13" i="16"/>
  <c r="CI20" i="16" s="1"/>
  <c r="CI21" i="16"/>
  <c r="AX45" i="16"/>
  <c r="L35" i="17"/>
  <c r="L36" i="17" s="1"/>
  <c r="AO45" i="16"/>
  <c r="AR45" i="16" s="1"/>
  <c r="AG45" i="16"/>
  <c r="AT45" i="16"/>
  <c r="BF45" i="16"/>
  <c r="BH45" i="16" s="1"/>
  <c r="AF45" i="16"/>
  <c r="L47" i="3" s="1"/>
  <c r="CX72" i="15"/>
  <c r="E161" i="13"/>
  <c r="H121" i="12"/>
  <c r="L121" i="12"/>
  <c r="G125" i="12"/>
  <c r="L138" i="12" s="1"/>
  <c r="H122" i="12"/>
  <c r="H124" i="12"/>
  <c r="H125" i="12" s="1"/>
  <c r="H123" i="12"/>
  <c r="I161" i="13"/>
  <c r="K178" i="13" s="1"/>
  <c r="S124" i="12"/>
  <c r="S125" i="12" s="1"/>
  <c r="R125" i="12"/>
  <c r="W138" i="12" s="1"/>
  <c r="S123" i="12"/>
  <c r="S121" i="12"/>
  <c r="S122" i="12"/>
  <c r="AJ121" i="12"/>
  <c r="AO134" i="12" s="1"/>
  <c r="AK117" i="12"/>
  <c r="AK118" i="12"/>
  <c r="AF121" i="12"/>
  <c r="AF125" i="12"/>
  <c r="T125" i="12"/>
  <c r="V138" i="12" s="1"/>
  <c r="I125" i="12"/>
  <c r="K138" i="12" s="1"/>
  <c r="AK120" i="12"/>
  <c r="AE130" i="3" l="1"/>
  <c r="U22" i="30"/>
  <c r="AF112" i="15"/>
  <c r="DE59" i="15"/>
  <c r="DE65" i="15"/>
  <c r="DE57" i="15"/>
  <c r="DE62" i="15"/>
  <c r="DE55" i="15"/>
  <c r="DE56" i="15"/>
  <c r="DD54" i="15"/>
  <c r="DD49" i="15"/>
  <c r="AF113" i="15"/>
  <c r="DD68" i="15"/>
  <c r="DE68" i="15" s="1"/>
  <c r="DD71" i="15"/>
  <c r="DE71" i="15" s="1"/>
  <c r="DE58" i="15"/>
  <c r="DE61" i="15"/>
  <c r="DE72" i="15"/>
  <c r="DE69" i="15"/>
  <c r="DD60" i="15"/>
  <c r="DE60" i="15" s="1"/>
  <c r="DD63" i="15"/>
  <c r="DE63" i="15" s="1"/>
  <c r="DE70" i="15"/>
  <c r="CZ80" i="15"/>
  <c r="DE73" i="15"/>
  <c r="DE64" i="15"/>
  <c r="L25" i="3"/>
  <c r="K16" i="9"/>
  <c r="BA80" i="15"/>
  <c r="CY80" i="15"/>
  <c r="AW48" i="16"/>
  <c r="AW49" i="16" s="1"/>
  <c r="BB45" i="16"/>
  <c r="L193" i="3"/>
  <c r="L163" i="3"/>
  <c r="AE163" i="3" s="1"/>
  <c r="L49" i="3"/>
  <c r="AG47" i="16"/>
  <c r="L52" i="3"/>
  <c r="AO48" i="16"/>
  <c r="L58" i="3"/>
  <c r="L57" i="3"/>
  <c r="L60" i="3"/>
  <c r="AK122" i="12"/>
  <c r="AJ125" i="12"/>
  <c r="AK121" i="12"/>
  <c r="AK124" i="12"/>
  <c r="AK125" i="12" s="1"/>
  <c r="AK123" i="12"/>
  <c r="AL125" i="12"/>
  <c r="AF114" i="15" l="1"/>
  <c r="C28" i="19"/>
  <c r="C23" i="19"/>
  <c r="L124" i="3"/>
  <c r="C12" i="19"/>
  <c r="C25" i="19"/>
  <c r="AF115" i="15"/>
  <c r="BC45" i="16"/>
  <c r="L55" i="3" s="1"/>
  <c r="C27" i="19" s="1"/>
  <c r="DD74" i="15"/>
  <c r="AN138" i="12"/>
  <c r="AO138" i="12"/>
  <c r="L134" i="3"/>
  <c r="U26" i="30" s="1"/>
  <c r="L133" i="3"/>
  <c r="BX9" i="16"/>
  <c r="BZ10" i="16"/>
  <c r="AE133" i="3" l="1"/>
  <c r="U25" i="30"/>
  <c r="AE124" i="3"/>
  <c r="U15" i="30"/>
  <c r="L167" i="3"/>
  <c r="AE167" i="3" s="1"/>
  <c r="AE134" i="3"/>
  <c r="L157" i="3"/>
  <c r="AE157" i="3" s="1"/>
  <c r="L135" i="3"/>
  <c r="L166" i="3"/>
  <c r="AE166" i="3" s="1"/>
  <c r="ES10" i="15"/>
  <c r="DB28" i="15"/>
  <c r="DB26" i="15"/>
  <c r="CX36" i="15"/>
  <c r="CX35" i="15"/>
  <c r="CW35" i="15"/>
  <c r="CX34" i="15"/>
  <c r="CW34" i="15"/>
  <c r="CX33" i="15"/>
  <c r="CW33" i="15"/>
  <c r="CW22" i="15"/>
  <c r="CT22" i="15"/>
  <c r="CW21" i="15"/>
  <c r="CW20" i="15"/>
  <c r="CW19" i="15"/>
  <c r="CW18" i="15"/>
  <c r="CW17" i="15"/>
  <c r="CW15" i="15"/>
  <c r="CT15" i="15"/>
  <c r="CW13" i="15"/>
  <c r="CW12" i="15"/>
  <c r="DG29" i="15"/>
  <c r="DI29" i="15" s="1"/>
  <c r="DK29" i="15" s="1"/>
  <c r="DG28" i="15"/>
  <c r="DI28" i="15" s="1"/>
  <c r="DK28" i="15" s="1"/>
  <c r="DG27" i="15"/>
  <c r="DI27" i="15" s="1"/>
  <c r="DK27" i="15" s="1"/>
  <c r="DG26" i="15"/>
  <c r="DI26" i="15" s="1"/>
  <c r="DK26" i="15" s="1"/>
  <c r="DG25" i="15"/>
  <c r="DG24" i="15"/>
  <c r="DI24" i="15" s="1"/>
  <c r="DK24" i="15" s="1"/>
  <c r="DG23" i="15"/>
  <c r="DI23" i="15" s="1"/>
  <c r="DK23" i="15" s="1"/>
  <c r="DG22" i="15"/>
  <c r="DI22" i="15" s="1"/>
  <c r="DK22" i="15" s="1"/>
  <c r="DG21" i="15"/>
  <c r="DI21" i="15" s="1"/>
  <c r="DK21" i="15" s="1"/>
  <c r="DG20" i="15"/>
  <c r="DI20" i="15" s="1"/>
  <c r="DK20" i="15" s="1"/>
  <c r="DG19" i="15"/>
  <c r="DI19" i="15" s="1"/>
  <c r="DK19" i="15" s="1"/>
  <c r="DG18" i="15"/>
  <c r="DI18" i="15" s="1"/>
  <c r="DK18" i="15" s="1"/>
  <c r="DG17" i="15"/>
  <c r="DI17" i="15" s="1"/>
  <c r="DK17" i="15" s="1"/>
  <c r="DG16" i="15"/>
  <c r="DI16" i="15" s="1"/>
  <c r="DK16" i="15" s="1"/>
  <c r="DG15" i="15"/>
  <c r="DG14" i="15"/>
  <c r="DI14" i="15" s="1"/>
  <c r="DK14" i="15" s="1"/>
  <c r="DG13" i="15"/>
  <c r="DI13" i="15" s="1"/>
  <c r="DK13" i="15" s="1"/>
  <c r="DG12" i="15"/>
  <c r="DI12" i="15" s="1"/>
  <c r="DK12" i="15" s="1"/>
  <c r="DG11" i="15"/>
  <c r="DI11" i="15" s="1"/>
  <c r="DK11" i="15" s="1"/>
  <c r="EP22" i="15"/>
  <c r="ES18" i="15"/>
  <c r="ES16" i="15"/>
  <c r="EV16" i="15" s="1"/>
  <c r="EZ12" i="15" s="1"/>
  <c r="EX25" i="15"/>
  <c r="EX27" i="15"/>
  <c r="EQ10" i="15"/>
  <c r="ER10" i="15"/>
  <c r="EQ11" i="15"/>
  <c r="ER11" i="15"/>
  <c r="FC11" i="15"/>
  <c r="FE11" i="15" s="1"/>
  <c r="FG11" i="15" s="1"/>
  <c r="EQ12" i="15"/>
  <c r="ER12" i="15"/>
  <c r="ES12" i="15"/>
  <c r="FC12" i="15"/>
  <c r="FE12" i="15" s="1"/>
  <c r="FG12" i="15" s="1"/>
  <c r="EQ13" i="15"/>
  <c r="ER13" i="15"/>
  <c r="FC13" i="15"/>
  <c r="FE13" i="15" s="1"/>
  <c r="FG13" i="15" s="1"/>
  <c r="EQ14" i="15"/>
  <c r="ER14" i="15"/>
  <c r="FC14" i="15"/>
  <c r="FE14" i="15" s="1"/>
  <c r="FG14" i="15" s="1"/>
  <c r="FC15" i="15"/>
  <c r="FE15" i="15" s="1"/>
  <c r="FG15" i="15" s="1"/>
  <c r="EQ16" i="15"/>
  <c r="ER16" i="15"/>
  <c r="FC16" i="15"/>
  <c r="FE16" i="15" s="1"/>
  <c r="FG16" i="15" s="1"/>
  <c r="EQ17" i="15"/>
  <c r="ER17" i="15"/>
  <c r="FC17" i="15"/>
  <c r="FE17" i="15" s="1"/>
  <c r="FG17" i="15" s="1"/>
  <c r="EQ18" i="15"/>
  <c r="ER18" i="15"/>
  <c r="FC18" i="15"/>
  <c r="FE18" i="15" s="1"/>
  <c r="FG18" i="15" s="1"/>
  <c r="EQ19" i="15"/>
  <c r="ER19" i="15"/>
  <c r="FC19" i="15"/>
  <c r="FE19" i="15" s="1"/>
  <c r="FG19" i="15" s="1"/>
  <c r="EQ20" i="15"/>
  <c r="ER20" i="15"/>
  <c r="ES20" i="15"/>
  <c r="FC20" i="15"/>
  <c r="FE20" i="15" s="1"/>
  <c r="FG20" i="15" s="1"/>
  <c r="EQ21" i="15"/>
  <c r="ER21" i="15"/>
  <c r="FC21" i="15"/>
  <c r="FE21" i="15" s="1"/>
  <c r="FG21" i="15" s="1"/>
  <c r="FC22" i="15"/>
  <c r="FE22" i="15" s="1"/>
  <c r="FG22" i="15" s="1"/>
  <c r="EQ23" i="15"/>
  <c r="ER23" i="15"/>
  <c r="FC23" i="15"/>
  <c r="FE23" i="15" s="1"/>
  <c r="FG23" i="15" s="1"/>
  <c r="EQ24" i="15"/>
  <c r="ER24" i="15"/>
  <c r="FC24" i="15"/>
  <c r="FE24" i="15" s="1"/>
  <c r="FG24" i="15" s="1"/>
  <c r="EQ25" i="15"/>
  <c r="ER25" i="15"/>
  <c r="ES25" i="15"/>
  <c r="EV25" i="15" s="1"/>
  <c r="EZ16" i="15" s="1"/>
  <c r="FC25" i="15"/>
  <c r="FE25" i="15" s="1"/>
  <c r="FG25" i="15" s="1"/>
  <c r="EQ26" i="15"/>
  <c r="ER26" i="15"/>
  <c r="FC26" i="15"/>
  <c r="FE26" i="15" s="1"/>
  <c r="FG26" i="15" s="1"/>
  <c r="EQ27" i="15"/>
  <c r="ER27" i="15"/>
  <c r="ES27" i="15"/>
  <c r="EV27" i="15" s="1"/>
  <c r="EZ18" i="15" s="1"/>
  <c r="FC27" i="15"/>
  <c r="FE27" i="15" s="1"/>
  <c r="FG27" i="15" s="1"/>
  <c r="EQ28" i="15"/>
  <c r="ER28" i="15"/>
  <c r="ES28" i="15"/>
  <c r="EV28" i="15" s="1"/>
  <c r="FC28" i="15"/>
  <c r="FE28" i="15" s="1"/>
  <c r="FG28" i="15" s="1"/>
  <c r="EQ29" i="15"/>
  <c r="ER29" i="15"/>
  <c r="ES29" i="15"/>
  <c r="EV29" i="15" s="1"/>
  <c r="FC29" i="15"/>
  <c r="FE29" i="15" s="1"/>
  <c r="FG29" i="15" s="1"/>
  <c r="ES30" i="15"/>
  <c r="ES32" i="15"/>
  <c r="ET32" i="15"/>
  <c r="ES33" i="15"/>
  <c r="ET33" i="15"/>
  <c r="ES34" i="15"/>
  <c r="ET34" i="15"/>
  <c r="ES35" i="15"/>
  <c r="ET35" i="15"/>
  <c r="ET36" i="15"/>
  <c r="DV38" i="15"/>
  <c r="ET68" i="15"/>
  <c r="C6" i="3"/>
  <c r="D6" i="3"/>
  <c r="U37" i="16" s="1"/>
  <c r="BF37" i="16" s="1"/>
  <c r="BH37" i="16" s="1"/>
  <c r="E6" i="3"/>
  <c r="U38" i="16" s="1"/>
  <c r="F6" i="3"/>
  <c r="U39" i="16" s="1"/>
  <c r="G6" i="3"/>
  <c r="U40" i="16" s="1"/>
  <c r="H6" i="3"/>
  <c r="U41" i="16" s="1"/>
  <c r="I6" i="3"/>
  <c r="U42" i="16" s="1"/>
  <c r="J6" i="3"/>
  <c r="U43" i="16" s="1"/>
  <c r="K6" i="3"/>
  <c r="U44" i="16" s="1"/>
  <c r="C8" i="3"/>
  <c r="D8" i="3"/>
  <c r="E8" i="3"/>
  <c r="F8" i="3"/>
  <c r="G8" i="3"/>
  <c r="H8" i="3"/>
  <c r="I8" i="3"/>
  <c r="J8" i="3"/>
  <c r="K8" i="3"/>
  <c r="C9" i="3"/>
  <c r="D9" i="3"/>
  <c r="D94" i="3" s="1"/>
  <c r="E9" i="3"/>
  <c r="F9" i="3"/>
  <c r="F121" i="3" s="1"/>
  <c r="G9" i="3"/>
  <c r="H9" i="3"/>
  <c r="V41" i="16" s="1"/>
  <c r="I9" i="3"/>
  <c r="J9" i="3"/>
  <c r="J89" i="3" s="1"/>
  <c r="K9" i="3"/>
  <c r="K121" i="3" s="1"/>
  <c r="C16" i="3"/>
  <c r="D16" i="3"/>
  <c r="E16" i="3"/>
  <c r="F16" i="3"/>
  <c r="G16" i="3"/>
  <c r="H16" i="3"/>
  <c r="I16" i="3"/>
  <c r="J16" i="3"/>
  <c r="D27" i="3"/>
  <c r="D29" i="3" s="1"/>
  <c r="E27" i="3"/>
  <c r="E29" i="3" s="1"/>
  <c r="F27" i="3"/>
  <c r="F29" i="3" s="1"/>
  <c r="G27" i="3"/>
  <c r="G29" i="3" s="1"/>
  <c r="H27" i="3"/>
  <c r="H29" i="3" s="1"/>
  <c r="I27" i="3"/>
  <c r="I29" i="3" s="1"/>
  <c r="J27" i="3"/>
  <c r="J29" i="3" s="1"/>
  <c r="K27" i="3"/>
  <c r="K29" i="3" s="1"/>
  <c r="D30" i="3"/>
  <c r="D32" i="3" s="1"/>
  <c r="E30" i="3"/>
  <c r="E32" i="3" s="1"/>
  <c r="F30" i="3"/>
  <c r="G30" i="3"/>
  <c r="H30" i="3"/>
  <c r="I30" i="3"/>
  <c r="I32" i="3" s="1"/>
  <c r="J30" i="3"/>
  <c r="J32" i="3" s="1"/>
  <c r="K30" i="3"/>
  <c r="K42" i="3"/>
  <c r="I83" i="3"/>
  <c r="C84" i="3"/>
  <c r="D84" i="3"/>
  <c r="E84" i="3"/>
  <c r="F84" i="3"/>
  <c r="G84" i="3"/>
  <c r="H84" i="3"/>
  <c r="J84" i="3"/>
  <c r="K90" i="3"/>
  <c r="C92" i="3"/>
  <c r="C90" i="3" s="1"/>
  <c r="D92" i="3"/>
  <c r="D90" i="3" s="1"/>
  <c r="E92" i="3"/>
  <c r="E90" i="3" s="1"/>
  <c r="F92" i="3"/>
  <c r="F90" i="3" s="1"/>
  <c r="G92" i="3"/>
  <c r="G90" i="3" s="1"/>
  <c r="H92" i="3"/>
  <c r="H90" i="3" s="1"/>
  <c r="I92" i="3"/>
  <c r="I90" i="3" s="1"/>
  <c r="J92" i="3"/>
  <c r="J90" i="3" s="1"/>
  <c r="I102" i="3"/>
  <c r="J102" i="3"/>
  <c r="J108" i="3"/>
  <c r="M109" i="3" s="1"/>
  <c r="M110" i="3" s="1"/>
  <c r="M107" i="3" s="1"/>
  <c r="C109" i="3"/>
  <c r="C110" i="3" s="1"/>
  <c r="C107" i="3" s="1"/>
  <c r="D109" i="3"/>
  <c r="D110" i="3" s="1"/>
  <c r="D107" i="3" s="1"/>
  <c r="E109" i="3"/>
  <c r="E110" i="3" s="1"/>
  <c r="E107" i="3" s="1"/>
  <c r="F109" i="3"/>
  <c r="F110" i="3" s="1"/>
  <c r="F107" i="3" s="1"/>
  <c r="G109" i="3"/>
  <c r="G110" i="3" s="1"/>
  <c r="G107" i="3" s="1"/>
  <c r="H109" i="3"/>
  <c r="H110" i="3" s="1"/>
  <c r="H107" i="3" s="1"/>
  <c r="I109" i="3"/>
  <c r="I110" i="3" s="1"/>
  <c r="I107" i="3" s="1"/>
  <c r="I111" i="3"/>
  <c r="J112" i="3"/>
  <c r="K112" i="3"/>
  <c r="H118" i="3"/>
  <c r="H119" i="3"/>
  <c r="C156" i="3"/>
  <c r="C157" i="3"/>
  <c r="C158" i="3"/>
  <c r="C159" i="3"/>
  <c r="C160" i="3"/>
  <c r="C161" i="3"/>
  <c r="C162" i="3"/>
  <c r="C163" i="3"/>
  <c r="C164" i="3"/>
  <c r="C165" i="3"/>
  <c r="C170" i="3"/>
  <c r="C171" i="3"/>
  <c r="C172" i="3"/>
  <c r="C173" i="3"/>
  <c r="C174" i="3"/>
  <c r="C178" i="3"/>
  <c r="C179" i="3"/>
  <c r="C180" i="3"/>
  <c r="C181" i="3"/>
  <c r="C182" i="3"/>
  <c r="C183" i="3"/>
  <c r="C184" i="3"/>
  <c r="B188" i="3"/>
  <c r="C188" i="3"/>
  <c r="B189" i="3"/>
  <c r="C189" i="3"/>
  <c r="B190" i="3"/>
  <c r="C190" i="3"/>
  <c r="B191" i="3"/>
  <c r="C191" i="3"/>
  <c r="B192" i="3"/>
  <c r="B193" i="3"/>
  <c r="C193" i="3"/>
  <c r="B194" i="3"/>
  <c r="C194" i="3"/>
  <c r="B195" i="3"/>
  <c r="C195" i="3"/>
  <c r="B196" i="3"/>
  <c r="C196" i="3"/>
  <c r="B199" i="3"/>
  <c r="C199" i="3"/>
  <c r="B200" i="3"/>
  <c r="B201" i="3"/>
  <c r="C201" i="3"/>
  <c r="B202" i="3"/>
  <c r="C202" i="3"/>
  <c r="B203" i="3"/>
  <c r="C203" i="3"/>
  <c r="B204" i="3"/>
  <c r="C204" i="3"/>
  <c r="S149" i="3"/>
  <c r="R149" i="3"/>
  <c r="S144" i="3"/>
  <c r="R144" i="3"/>
  <c r="AE135" i="3" l="1"/>
  <c r="U27" i="30"/>
  <c r="L168" i="3"/>
  <c r="AE168" i="3" s="1"/>
  <c r="D103" i="3"/>
  <c r="K32" i="3"/>
  <c r="C87" i="3"/>
  <c r="EZ19" i="15"/>
  <c r="EZ14" i="15"/>
  <c r="V38" i="16"/>
  <c r="AV38" i="16" s="1"/>
  <c r="E121" i="3"/>
  <c r="E146" i="3" s="1"/>
  <c r="E201" i="3" s="1"/>
  <c r="H121" i="3"/>
  <c r="V37" i="16"/>
  <c r="D121" i="3"/>
  <c r="D146" i="3" s="1"/>
  <c r="D201" i="3" s="1"/>
  <c r="C95" i="3"/>
  <c r="C121" i="3"/>
  <c r="V40" i="16"/>
  <c r="AX40" i="16" s="1"/>
  <c r="G121" i="3"/>
  <c r="G146" i="3" s="1"/>
  <c r="D99" i="3"/>
  <c r="G32" i="3"/>
  <c r="J109" i="3"/>
  <c r="J110" i="3" s="1"/>
  <c r="J107" i="3" s="1"/>
  <c r="E87" i="3"/>
  <c r="H32" i="3"/>
  <c r="F32" i="3"/>
  <c r="E95" i="3"/>
  <c r="E103" i="3"/>
  <c r="E94" i="3"/>
  <c r="E101" i="3"/>
  <c r="C89" i="3"/>
  <c r="C81" i="3" s="1"/>
  <c r="E89" i="3"/>
  <c r="E99" i="3"/>
  <c r="AO42" i="16"/>
  <c r="AJ42" i="16"/>
  <c r="AO41" i="16"/>
  <c r="AJ41" i="16"/>
  <c r="AO40" i="16"/>
  <c r="AR40" i="16" s="1"/>
  <c r="G52" i="3" s="1"/>
  <c r="G134" i="3" s="1"/>
  <c r="P26" i="30" s="1"/>
  <c r="W26" i="30" s="1"/>
  <c r="AJ40" i="16"/>
  <c r="C103" i="3"/>
  <c r="AO39" i="16"/>
  <c r="AR39" i="16" s="1"/>
  <c r="F52" i="3" s="1"/>
  <c r="F134" i="3" s="1"/>
  <c r="F167" i="3" s="1"/>
  <c r="AJ39" i="16"/>
  <c r="AO43" i="16"/>
  <c r="AJ43" i="16"/>
  <c r="K99" i="3"/>
  <c r="K87" i="3"/>
  <c r="AO38" i="16"/>
  <c r="AR38" i="16" s="1"/>
  <c r="E52" i="3" s="1"/>
  <c r="E134" i="3" s="1"/>
  <c r="E167" i="3" s="1"/>
  <c r="AJ38" i="16"/>
  <c r="K89" i="3"/>
  <c r="AO37" i="16"/>
  <c r="AR37" i="16" s="1"/>
  <c r="D52" i="3" s="1"/>
  <c r="D134" i="3" s="1"/>
  <c r="D167" i="3" s="1"/>
  <c r="AJ37" i="16"/>
  <c r="AO44" i="16"/>
  <c r="AJ44" i="16"/>
  <c r="AW33" i="15"/>
  <c r="AW36" i="15"/>
  <c r="AW34" i="15"/>
  <c r="AW32" i="15"/>
  <c r="AW35" i="15"/>
  <c r="H99" i="3"/>
  <c r="H89" i="3"/>
  <c r="G89" i="3"/>
  <c r="H94" i="3"/>
  <c r="C94" i="3"/>
  <c r="C99" i="3"/>
  <c r="D101" i="3"/>
  <c r="D95" i="3"/>
  <c r="D96" i="3" s="1"/>
  <c r="D97" i="3" s="1"/>
  <c r="C101" i="3"/>
  <c r="D89" i="3"/>
  <c r="D87" i="3"/>
  <c r="H172" i="3"/>
  <c r="O198" i="3"/>
  <c r="O197" i="3"/>
  <c r="CW37" i="15"/>
  <c r="J94" i="3"/>
  <c r="L103" i="3"/>
  <c r="H101" i="3"/>
  <c r="J103" i="3"/>
  <c r="H95" i="3"/>
  <c r="H103" i="3"/>
  <c r="J87" i="3"/>
  <c r="J81" i="3" s="1"/>
  <c r="K109" i="3"/>
  <c r="K110" i="3" s="1"/>
  <c r="K107" i="3" s="1"/>
  <c r="L109" i="3"/>
  <c r="L110" i="3" s="1"/>
  <c r="L107" i="3" s="1"/>
  <c r="I84" i="3"/>
  <c r="I87" i="3" s="1"/>
  <c r="M83" i="3"/>
  <c r="M84" i="3" s="1"/>
  <c r="V44" i="16"/>
  <c r="AX44" i="16" s="1"/>
  <c r="K94" i="3"/>
  <c r="K95" i="3"/>
  <c r="I119" i="3"/>
  <c r="J119" i="3" s="1"/>
  <c r="V43" i="16"/>
  <c r="AX43" i="16" s="1"/>
  <c r="J95" i="3"/>
  <c r="I95" i="3"/>
  <c r="V42" i="16"/>
  <c r="AT44" i="16"/>
  <c r="AG44" i="16"/>
  <c r="K49" i="3" s="1"/>
  <c r="BF44" i="16"/>
  <c r="BH44" i="16" s="1"/>
  <c r="AF44" i="16"/>
  <c r="K47" i="3" s="1"/>
  <c r="U16" i="16"/>
  <c r="AO16" i="16" s="1"/>
  <c r="AR16" i="16" s="1"/>
  <c r="U24" i="16"/>
  <c r="AO24" i="16" s="1"/>
  <c r="AR24" i="16" s="1"/>
  <c r="U32" i="16"/>
  <c r="U15" i="16"/>
  <c r="AO15" i="16" s="1"/>
  <c r="AR15" i="16" s="1"/>
  <c r="U31" i="16"/>
  <c r="AO31" i="16" s="1"/>
  <c r="AR31" i="16" s="1"/>
  <c r="U17" i="16"/>
  <c r="AO17" i="16" s="1"/>
  <c r="AR17" i="16" s="1"/>
  <c r="U25" i="16"/>
  <c r="AO25" i="16" s="1"/>
  <c r="AR25" i="16" s="1"/>
  <c r="U33" i="16"/>
  <c r="U18" i="16"/>
  <c r="AO18" i="16" s="1"/>
  <c r="AR18" i="16" s="1"/>
  <c r="U26" i="16"/>
  <c r="AO26" i="16" s="1"/>
  <c r="AR26" i="16" s="1"/>
  <c r="U34" i="16"/>
  <c r="U14" i="16"/>
  <c r="AO14" i="16" s="1"/>
  <c r="AR14" i="16" s="1"/>
  <c r="U19" i="16"/>
  <c r="AO19" i="16" s="1"/>
  <c r="AR19" i="16" s="1"/>
  <c r="U27" i="16"/>
  <c r="AO27" i="16" s="1"/>
  <c r="AR27" i="16" s="1"/>
  <c r="U35" i="16"/>
  <c r="U36" i="16"/>
  <c r="U20" i="16"/>
  <c r="AO20" i="16" s="1"/>
  <c r="AR20" i="16" s="1"/>
  <c r="U28" i="16"/>
  <c r="AO28" i="16" s="1"/>
  <c r="AR28" i="16" s="1"/>
  <c r="U13" i="16"/>
  <c r="AO13" i="16" s="1"/>
  <c r="AR13" i="16" s="1"/>
  <c r="U22" i="16"/>
  <c r="AO22" i="16" s="1"/>
  <c r="AR22" i="16" s="1"/>
  <c r="U23" i="16"/>
  <c r="AO23" i="16" s="1"/>
  <c r="AR23" i="16" s="1"/>
  <c r="U21" i="16"/>
  <c r="AO21" i="16" s="1"/>
  <c r="AR21" i="16" s="1"/>
  <c r="U29" i="16"/>
  <c r="AO29" i="16" s="1"/>
  <c r="AR29" i="16" s="1"/>
  <c r="U30" i="16"/>
  <c r="AO30" i="16" s="1"/>
  <c r="AR30" i="16" s="1"/>
  <c r="U12" i="16"/>
  <c r="AO12" i="16" s="1"/>
  <c r="AR12" i="16" s="1"/>
  <c r="G94" i="3"/>
  <c r="AX41" i="16"/>
  <c r="AV41" i="16"/>
  <c r="AT43" i="16"/>
  <c r="AG43" i="16"/>
  <c r="J49" i="3" s="1"/>
  <c r="AF43" i="16"/>
  <c r="J47" i="3" s="1"/>
  <c r="BF43" i="16"/>
  <c r="BH43" i="16" s="1"/>
  <c r="AF42" i="16"/>
  <c r="I47" i="3" s="1"/>
  <c r="BF42" i="16"/>
  <c r="BH42" i="16" s="1"/>
  <c r="AG42" i="16"/>
  <c r="I49" i="3" s="1"/>
  <c r="AT42" i="16"/>
  <c r="AF41" i="16"/>
  <c r="H47" i="3" s="1"/>
  <c r="BF41" i="16"/>
  <c r="BH41" i="16" s="1"/>
  <c r="AG41" i="16"/>
  <c r="H49" i="3" s="1"/>
  <c r="AT41" i="16"/>
  <c r="G99" i="3"/>
  <c r="AT40" i="16"/>
  <c r="AG40" i="16"/>
  <c r="G49" i="3" s="1"/>
  <c r="AF40" i="16"/>
  <c r="G47" i="3" s="1"/>
  <c r="BF40" i="16"/>
  <c r="BH40" i="16" s="1"/>
  <c r="F89" i="3"/>
  <c r="V39" i="16"/>
  <c r="AV37" i="16"/>
  <c r="AX37" i="16"/>
  <c r="AF39" i="16"/>
  <c r="F47" i="3" s="1"/>
  <c r="AT39" i="16"/>
  <c r="AG39" i="16"/>
  <c r="F49" i="3" s="1"/>
  <c r="BF39" i="16"/>
  <c r="BH39" i="16" s="1"/>
  <c r="G101" i="3"/>
  <c r="V12" i="16"/>
  <c r="V32" i="16"/>
  <c r="V24" i="16"/>
  <c r="V16" i="16"/>
  <c r="V33" i="16"/>
  <c r="V17" i="16"/>
  <c r="V31" i="16"/>
  <c r="V23" i="16"/>
  <c r="V15" i="16"/>
  <c r="V30" i="16"/>
  <c r="V22" i="16"/>
  <c r="V14" i="16"/>
  <c r="V29" i="16"/>
  <c r="V21" i="16"/>
  <c r="V13" i="16"/>
  <c r="V36" i="16"/>
  <c r="V28" i="16"/>
  <c r="V20" i="16"/>
  <c r="V26" i="16"/>
  <c r="V35" i="16"/>
  <c r="V27" i="16"/>
  <c r="V19" i="16"/>
  <c r="V34" i="16"/>
  <c r="V18" i="16"/>
  <c r="V25" i="16"/>
  <c r="AT38" i="16"/>
  <c r="BF38" i="16"/>
  <c r="BH38" i="16" s="1"/>
  <c r="AF38" i="16"/>
  <c r="E47" i="3" s="1"/>
  <c r="AG38" i="16"/>
  <c r="E49" i="3" s="1"/>
  <c r="G95" i="3"/>
  <c r="G103" i="3"/>
  <c r="G87" i="3"/>
  <c r="AT37" i="16"/>
  <c r="AG37" i="16"/>
  <c r="D49" i="3" s="1"/>
  <c r="AF37" i="16"/>
  <c r="D47" i="3" s="1"/>
  <c r="EQ32" i="15"/>
  <c r="J99" i="3"/>
  <c r="J101" i="3"/>
  <c r="CX37" i="15"/>
  <c r="ES37" i="15"/>
  <c r="I89" i="3"/>
  <c r="CU35" i="15"/>
  <c r="CU33" i="15"/>
  <c r="CU36" i="15"/>
  <c r="I101" i="3"/>
  <c r="I99" i="3"/>
  <c r="I94" i="3"/>
  <c r="DI25" i="15"/>
  <c r="DK25" i="15" s="1"/>
  <c r="CU34" i="15"/>
  <c r="CU32" i="15"/>
  <c r="DI15" i="15"/>
  <c r="DK15" i="15" s="1"/>
  <c r="ES22" i="15"/>
  <c r="ES17" i="15"/>
  <c r="EQ34" i="15"/>
  <c r="EQ36" i="15"/>
  <c r="ET37" i="15"/>
  <c r="EQ31" i="15"/>
  <c r="EQ33" i="15"/>
  <c r="EQ35" i="15"/>
  <c r="F99" i="3"/>
  <c r="H146" i="3"/>
  <c r="Q35" i="30" s="1"/>
  <c r="I118" i="3"/>
  <c r="I103" i="3"/>
  <c r="K103" i="3"/>
  <c r="F94" i="3"/>
  <c r="F95" i="3"/>
  <c r="F87" i="3"/>
  <c r="F103" i="3"/>
  <c r="F146" i="3"/>
  <c r="F101" i="3"/>
  <c r="E81" i="3" l="1"/>
  <c r="I121" i="3"/>
  <c r="G201" i="3"/>
  <c r="P35" i="30"/>
  <c r="W35" i="30" s="1"/>
  <c r="X35" i="30" s="1"/>
  <c r="AR43" i="16"/>
  <c r="J52" i="3" s="1"/>
  <c r="AR42" i="16"/>
  <c r="I52" i="3" s="1"/>
  <c r="AR44" i="16"/>
  <c r="K52" i="3" s="1"/>
  <c r="K134" i="3" s="1"/>
  <c r="T26" i="30" s="1"/>
  <c r="AR41" i="16"/>
  <c r="H52" i="3" s="1"/>
  <c r="AX38" i="16"/>
  <c r="BB38" i="16" s="1"/>
  <c r="BC38" i="16" s="1"/>
  <c r="E55" i="3" s="1"/>
  <c r="EU9" i="15"/>
  <c r="ES40" i="15"/>
  <c r="EV17" i="15" s="1"/>
  <c r="C96" i="3"/>
  <c r="C97" i="3" s="1"/>
  <c r="C93" i="3" s="1"/>
  <c r="C104" i="3" s="1"/>
  <c r="AV40" i="16"/>
  <c r="BB40" i="16" s="1"/>
  <c r="BC40" i="16" s="1"/>
  <c r="G55" i="3" s="1"/>
  <c r="D178" i="3"/>
  <c r="E96" i="3"/>
  <c r="E97" i="3" s="1"/>
  <c r="E93" i="3" s="1"/>
  <c r="E104" i="3" s="1"/>
  <c r="E142" i="3" s="1"/>
  <c r="E174" i="3" s="1"/>
  <c r="E178" i="3"/>
  <c r="H96" i="3"/>
  <c r="H97" i="3" s="1"/>
  <c r="H93" i="3" s="1"/>
  <c r="D81" i="3"/>
  <c r="M102" i="3"/>
  <c r="M103" i="3" s="1"/>
  <c r="J96" i="3"/>
  <c r="J97" i="3" s="1"/>
  <c r="J93" i="3" s="1"/>
  <c r="J104" i="3" s="1"/>
  <c r="J142" i="3" s="1"/>
  <c r="AO34" i="16"/>
  <c r="AR34" i="16" s="1"/>
  <c r="AJ34" i="16"/>
  <c r="AO32" i="16"/>
  <c r="AR32" i="16" s="1"/>
  <c r="AJ32" i="16"/>
  <c r="AO36" i="16"/>
  <c r="AR36" i="16" s="1"/>
  <c r="C52" i="3" s="1"/>
  <c r="C134" i="3" s="1"/>
  <c r="C167" i="3" s="1"/>
  <c r="AJ36" i="16"/>
  <c r="AO33" i="16"/>
  <c r="AR33" i="16" s="1"/>
  <c r="AJ33" i="16"/>
  <c r="AO35" i="16"/>
  <c r="AR35" i="16" s="1"/>
  <c r="AJ35" i="16"/>
  <c r="G96" i="3"/>
  <c r="G97" i="3" s="1"/>
  <c r="G93" i="3" s="1"/>
  <c r="G81" i="3"/>
  <c r="BA30" i="15"/>
  <c r="BA36" i="15"/>
  <c r="BA38" i="15"/>
  <c r="BA21" i="15"/>
  <c r="BF29" i="15" s="1"/>
  <c r="BA22" i="15"/>
  <c r="BA19" i="15"/>
  <c r="BF23" i="15" s="1"/>
  <c r="BA13" i="15"/>
  <c r="BA10" i="15"/>
  <c r="BF20" i="15" s="1"/>
  <c r="BA16" i="15"/>
  <c r="BF12" i="15" s="1"/>
  <c r="BA31" i="15"/>
  <c r="BA14" i="15"/>
  <c r="BA11" i="15"/>
  <c r="BF24" i="15" s="1"/>
  <c r="BA20" i="15"/>
  <c r="BF27" i="15" s="1"/>
  <c r="BA9" i="15"/>
  <c r="BF11" i="15" s="1"/>
  <c r="BA32" i="15"/>
  <c r="BA37" i="15"/>
  <c r="BA29" i="15"/>
  <c r="BF19" i="15" s="1"/>
  <c r="BA33" i="15"/>
  <c r="BA28" i="15"/>
  <c r="BF14" i="15" s="1"/>
  <c r="BA24" i="15"/>
  <c r="BF15" i="15" s="1"/>
  <c r="BA25" i="15"/>
  <c r="BF16" i="15" s="1"/>
  <c r="BA17" i="15"/>
  <c r="BF21" i="15" s="1"/>
  <c r="BA27" i="15"/>
  <c r="BF18" i="15" s="1"/>
  <c r="BA35" i="15"/>
  <c r="BA12" i="15"/>
  <c r="BF22" i="15" s="1"/>
  <c r="BA23" i="15"/>
  <c r="BF13" i="15" s="1"/>
  <c r="BA15" i="15"/>
  <c r="BA26" i="15"/>
  <c r="BF17" i="15" s="1"/>
  <c r="BA34" i="15"/>
  <c r="BA18" i="15"/>
  <c r="BF25" i="15" s="1"/>
  <c r="D93" i="3"/>
  <c r="G167" i="3"/>
  <c r="E172" i="3"/>
  <c r="K81" i="3"/>
  <c r="M94" i="3"/>
  <c r="O119" i="3"/>
  <c r="I81" i="3"/>
  <c r="L101" i="3"/>
  <c r="M101" i="3" s="1"/>
  <c r="D172" i="3"/>
  <c r="G178" i="3"/>
  <c r="AV43" i="16"/>
  <c r="BB43" i="16" s="1"/>
  <c r="I172" i="3"/>
  <c r="H87" i="3"/>
  <c r="AV44" i="16"/>
  <c r="BB44" i="16" s="1"/>
  <c r="M95" i="3"/>
  <c r="I96" i="3"/>
  <c r="I97" i="3" s="1"/>
  <c r="I93" i="3" s="1"/>
  <c r="F57" i="3"/>
  <c r="I57" i="3"/>
  <c r="G57" i="3"/>
  <c r="E57" i="3"/>
  <c r="K57" i="3"/>
  <c r="H57" i="3"/>
  <c r="J57" i="3"/>
  <c r="D57" i="3"/>
  <c r="AT36" i="16"/>
  <c r="BF36" i="16"/>
  <c r="AG36" i="16"/>
  <c r="C49" i="3" s="1"/>
  <c r="AF36" i="16"/>
  <c r="C47" i="3" s="1"/>
  <c r="AX19" i="16"/>
  <c r="AV19" i="16"/>
  <c r="BB37" i="16"/>
  <c r="BC37" i="16" s="1"/>
  <c r="D55" i="3" s="1"/>
  <c r="AT35" i="16"/>
  <c r="AG35" i="16"/>
  <c r="AF35" i="16"/>
  <c r="BF35" i="16"/>
  <c r="BH35" i="16" s="1"/>
  <c r="AX35" i="16"/>
  <c r="AV35" i="16"/>
  <c r="AX14" i="16"/>
  <c r="AV14" i="16"/>
  <c r="AV16" i="16"/>
  <c r="AX16" i="16"/>
  <c r="AF23" i="16"/>
  <c r="AG23" i="16"/>
  <c r="AT23" i="16"/>
  <c r="BF23" i="16"/>
  <c r="BH23" i="16" s="1"/>
  <c r="AF19" i="16"/>
  <c r="AT19" i="16"/>
  <c r="AG19" i="16"/>
  <c r="BF19" i="16"/>
  <c r="BH19" i="16" s="1"/>
  <c r="AF31" i="16"/>
  <c r="AG31" i="16"/>
  <c r="AT31" i="16"/>
  <c r="BF31" i="16"/>
  <c r="BH31" i="16" s="1"/>
  <c r="AF33" i="16"/>
  <c r="AT33" i="16"/>
  <c r="BF33" i="16"/>
  <c r="BH33" i="16" s="1"/>
  <c r="AG33" i="16"/>
  <c r="AX29" i="16"/>
  <c r="AV29" i="16"/>
  <c r="AX26" i="16"/>
  <c r="AV26" i="16"/>
  <c r="AV22" i="16"/>
  <c r="AX22" i="16"/>
  <c r="AV24" i="16"/>
  <c r="AX24" i="16"/>
  <c r="AT22" i="16"/>
  <c r="AG22" i="16"/>
  <c r="BF22" i="16"/>
  <c r="BH22" i="16" s="1"/>
  <c r="AF22" i="16"/>
  <c r="AT14" i="16"/>
  <c r="AG14" i="16"/>
  <c r="BF14" i="16"/>
  <c r="BH14" i="16" s="1"/>
  <c r="AF14" i="16"/>
  <c r="AF15" i="16"/>
  <c r="AG15" i="16"/>
  <c r="AT15" i="16"/>
  <c r="BF15" i="16"/>
  <c r="BH15" i="16" s="1"/>
  <c r="AX31" i="16"/>
  <c r="AV31" i="16"/>
  <c r="F172" i="3"/>
  <c r="AF25" i="16"/>
  <c r="AG25" i="16"/>
  <c r="BF25" i="16"/>
  <c r="BH25" i="16" s="1"/>
  <c r="AT25" i="16"/>
  <c r="AV33" i="16"/>
  <c r="AX33" i="16"/>
  <c r="AF17" i="16"/>
  <c r="BF17" i="16"/>
  <c r="BH17" i="16" s="1"/>
  <c r="AG17" i="16"/>
  <c r="AT17" i="16"/>
  <c r="G172" i="3"/>
  <c r="AV20" i="16"/>
  <c r="AX20" i="16"/>
  <c r="AX30" i="16"/>
  <c r="AV30" i="16"/>
  <c r="AV32" i="16"/>
  <c r="AX32" i="16"/>
  <c r="AX39" i="16"/>
  <c r="AV39" i="16"/>
  <c r="BB41" i="16"/>
  <c r="AT13" i="16"/>
  <c r="AF13" i="16"/>
  <c r="AG13" i="16"/>
  <c r="BF13" i="16"/>
  <c r="BH13" i="16" s="1"/>
  <c r="AT34" i="16"/>
  <c r="BF34" i="16"/>
  <c r="BH34" i="16" s="1"/>
  <c r="AF34" i="16"/>
  <c r="AG34" i="16"/>
  <c r="AF32" i="16"/>
  <c r="BF32" i="16"/>
  <c r="BH32" i="16" s="1"/>
  <c r="AG32" i="16"/>
  <c r="AT32" i="16"/>
  <c r="AV34" i="16"/>
  <c r="AX34" i="16"/>
  <c r="AX21" i="16"/>
  <c r="AV21" i="16"/>
  <c r="AV17" i="16"/>
  <c r="AX17" i="16"/>
  <c r="BF29" i="16"/>
  <c r="BH29" i="16" s="1"/>
  <c r="AF29" i="16"/>
  <c r="AG29" i="16"/>
  <c r="AT29" i="16"/>
  <c r="AX27" i="16"/>
  <c r="AV27" i="16"/>
  <c r="AT21" i="16"/>
  <c r="BF21" i="16"/>
  <c r="BH21" i="16" s="1"/>
  <c r="AF21" i="16"/>
  <c r="AG21" i="16"/>
  <c r="AV25" i="16"/>
  <c r="AX25" i="16"/>
  <c r="AV28" i="16"/>
  <c r="AX28" i="16"/>
  <c r="AV15" i="16"/>
  <c r="AX15" i="16"/>
  <c r="AV12" i="16"/>
  <c r="AX12" i="16"/>
  <c r="BF28" i="16"/>
  <c r="BH28" i="16" s="1"/>
  <c r="AF28" i="16"/>
  <c r="AG28" i="16"/>
  <c r="AT28" i="16"/>
  <c r="AT26" i="16"/>
  <c r="AG26" i="16"/>
  <c r="AF26" i="16"/>
  <c r="BF26" i="16"/>
  <c r="BH26" i="16" s="1"/>
  <c r="AF24" i="16"/>
  <c r="AG24" i="16"/>
  <c r="BF24" i="16"/>
  <c r="BH24" i="16" s="1"/>
  <c r="AT24" i="16"/>
  <c r="AX42" i="16"/>
  <c r="AV42" i="16"/>
  <c r="AX13" i="16"/>
  <c r="AV13" i="16"/>
  <c r="AT30" i="16"/>
  <c r="BF30" i="16"/>
  <c r="BH30" i="16" s="1"/>
  <c r="AF30" i="16"/>
  <c r="AG30" i="16"/>
  <c r="AF27" i="16"/>
  <c r="AG27" i="16"/>
  <c r="AT27" i="16"/>
  <c r="BF27" i="16"/>
  <c r="BH27" i="16" s="1"/>
  <c r="AX18" i="16"/>
  <c r="AV18" i="16"/>
  <c r="AX36" i="16"/>
  <c r="AV36" i="16"/>
  <c r="AX23" i="16"/>
  <c r="AV23" i="16"/>
  <c r="AT12" i="16"/>
  <c r="BF12" i="16"/>
  <c r="BH12" i="16" s="1"/>
  <c r="BF20" i="16"/>
  <c r="BH20" i="16" s="1"/>
  <c r="AF20" i="16"/>
  <c r="AT20" i="16"/>
  <c r="AG20" i="16"/>
  <c r="AT18" i="16"/>
  <c r="AG18" i="16"/>
  <c r="BF18" i="16"/>
  <c r="BH18" i="16" s="1"/>
  <c r="AF18" i="16"/>
  <c r="AF16" i="16"/>
  <c r="BF16" i="16"/>
  <c r="BH16" i="16" s="1"/>
  <c r="AT16" i="16"/>
  <c r="AG16" i="16"/>
  <c r="CY19" i="15"/>
  <c r="DD23" i="15" s="1"/>
  <c r="CY27" i="15"/>
  <c r="DD18" i="15" s="1"/>
  <c r="CY24" i="15"/>
  <c r="DD15" i="15" s="1"/>
  <c r="CY18" i="15"/>
  <c r="DD25" i="15" s="1"/>
  <c r="CY23" i="15"/>
  <c r="DD13" i="15" s="1"/>
  <c r="CY15" i="15"/>
  <c r="CY13" i="15"/>
  <c r="CY20" i="15"/>
  <c r="DD27" i="15" s="1"/>
  <c r="CY17" i="15"/>
  <c r="DD21" i="15" s="1"/>
  <c r="CY25" i="15"/>
  <c r="DD16" i="15" s="1"/>
  <c r="CY21" i="15"/>
  <c r="DD29" i="15" s="1"/>
  <c r="CY12" i="15"/>
  <c r="DD22" i="15" s="1"/>
  <c r="CY22" i="15"/>
  <c r="CY10" i="15"/>
  <c r="DD20" i="15" s="1"/>
  <c r="CY35" i="15"/>
  <c r="CY31" i="15"/>
  <c r="CY34" i="15"/>
  <c r="CY11" i="15"/>
  <c r="DD24" i="15" s="1"/>
  <c r="CY36" i="15"/>
  <c r="CY38" i="15"/>
  <c r="EU60" i="15"/>
  <c r="CY14" i="15"/>
  <c r="CY37" i="15"/>
  <c r="CY30" i="15"/>
  <c r="CY32" i="15"/>
  <c r="CY33" i="15"/>
  <c r="CY29" i="15"/>
  <c r="DD19" i="15" s="1"/>
  <c r="CY9" i="15"/>
  <c r="DD11" i="15" s="1"/>
  <c r="CY16" i="15"/>
  <c r="DD12" i="15" s="1"/>
  <c r="CY28" i="15"/>
  <c r="DD14" i="15" s="1"/>
  <c r="CY26" i="15"/>
  <c r="DD17" i="15" s="1"/>
  <c r="EU16" i="15"/>
  <c r="EU11" i="15"/>
  <c r="J172" i="3"/>
  <c r="ES23" i="15"/>
  <c r="ES15" i="15"/>
  <c r="EU34" i="15"/>
  <c r="EU20" i="15"/>
  <c r="EU18" i="15"/>
  <c r="EU36" i="15"/>
  <c r="EU17" i="15"/>
  <c r="EU10" i="15"/>
  <c r="EU31" i="15"/>
  <c r="EU25" i="15"/>
  <c r="EU12" i="15"/>
  <c r="EU14" i="15"/>
  <c r="EU27" i="15"/>
  <c r="EU37" i="15"/>
  <c r="EU22" i="15"/>
  <c r="EU28" i="15"/>
  <c r="EU30" i="15"/>
  <c r="EU32" i="15"/>
  <c r="EU35" i="15"/>
  <c r="EU29" i="15"/>
  <c r="EU33" i="15"/>
  <c r="F81" i="3"/>
  <c r="I146" i="3"/>
  <c r="R35" i="30" s="1"/>
  <c r="J118" i="3"/>
  <c r="F178" i="3"/>
  <c r="F201" i="3"/>
  <c r="H178" i="3"/>
  <c r="H201" i="3"/>
  <c r="F96" i="3"/>
  <c r="F97" i="3" s="1"/>
  <c r="F93" i="3" s="1"/>
  <c r="K96" i="3"/>
  <c r="K97" i="3" s="1"/>
  <c r="K93" i="3" s="1"/>
  <c r="J174" i="3" l="1"/>
  <c r="S33" i="30"/>
  <c r="EV22" i="15"/>
  <c r="K167" i="3"/>
  <c r="EU23" i="15"/>
  <c r="EV23" i="15"/>
  <c r="EZ13" i="15" s="1"/>
  <c r="EU15" i="15"/>
  <c r="EV15" i="15"/>
  <c r="EZ21" i="15"/>
  <c r="EV14" i="15"/>
  <c r="EV11" i="15"/>
  <c r="EZ24" i="15" s="1"/>
  <c r="EV10" i="15"/>
  <c r="EZ20" i="15" s="1"/>
  <c r="EV20" i="15"/>
  <c r="EZ27" i="15" s="1"/>
  <c r="EV18" i="15"/>
  <c r="EZ25" i="15" s="1"/>
  <c r="EV12" i="15"/>
  <c r="EZ22" i="15" s="1"/>
  <c r="J121" i="3"/>
  <c r="J146" i="3" s="1"/>
  <c r="S35" i="30" s="1"/>
  <c r="D104" i="3"/>
  <c r="D142" i="3" s="1"/>
  <c r="D174" i="3" s="1"/>
  <c r="G104" i="3"/>
  <c r="G142" i="3" s="1"/>
  <c r="BC41" i="16"/>
  <c r="H55" i="3" s="1"/>
  <c r="BC44" i="16"/>
  <c r="K55" i="3" s="1"/>
  <c r="BC43" i="16"/>
  <c r="J55" i="3" s="1"/>
  <c r="M96" i="3"/>
  <c r="M97" i="3" s="1"/>
  <c r="M93" i="3" s="1"/>
  <c r="I104" i="3"/>
  <c r="I142" i="3" s="1"/>
  <c r="R33" i="30" s="1"/>
  <c r="L96" i="3"/>
  <c r="L97" i="3" s="1"/>
  <c r="L93" i="3" s="1"/>
  <c r="BF26" i="15"/>
  <c r="BF28" i="15"/>
  <c r="J199" i="3"/>
  <c r="AE197" i="3"/>
  <c r="K172" i="3"/>
  <c r="H81" i="3"/>
  <c r="H104" i="3" s="1"/>
  <c r="H142" i="3" s="1"/>
  <c r="Q33" i="30" s="1"/>
  <c r="BB24" i="16"/>
  <c r="BC24" i="16" s="1"/>
  <c r="E199" i="3"/>
  <c r="BH36" i="16"/>
  <c r="C57" i="3"/>
  <c r="C135" i="3" s="1"/>
  <c r="C168" i="3" s="1"/>
  <c r="BB32" i="16"/>
  <c r="BC32" i="16" s="1"/>
  <c r="BB28" i="16"/>
  <c r="BC28" i="16" s="1"/>
  <c r="BB23" i="16"/>
  <c r="BC23" i="16" s="1"/>
  <c r="BB42" i="16"/>
  <c r="BB30" i="16"/>
  <c r="BC30" i="16" s="1"/>
  <c r="BB27" i="16"/>
  <c r="BC27" i="16" s="1"/>
  <c r="BB17" i="16"/>
  <c r="BC17" i="16" s="1"/>
  <c r="BB16" i="16"/>
  <c r="BC16" i="16" s="1"/>
  <c r="BB12" i="16"/>
  <c r="BC12" i="16" s="1"/>
  <c r="BB20" i="16"/>
  <c r="BC20" i="16" s="1"/>
  <c r="BB19" i="16"/>
  <c r="BC19" i="16" s="1"/>
  <c r="BB25" i="16"/>
  <c r="BC25" i="16" s="1"/>
  <c r="BB36" i="16"/>
  <c r="BC36" i="16" s="1"/>
  <c r="C55" i="3" s="1"/>
  <c r="BB22" i="16"/>
  <c r="BC22" i="16" s="1"/>
  <c r="BB14" i="16"/>
  <c r="BC14" i="16" s="1"/>
  <c r="BB13" i="16"/>
  <c r="BC13" i="16" s="1"/>
  <c r="BB15" i="16"/>
  <c r="BC15" i="16" s="1"/>
  <c r="BB21" i="16"/>
  <c r="BC21" i="16" s="1"/>
  <c r="BB29" i="16"/>
  <c r="BC29" i="16" s="1"/>
  <c r="BB18" i="16"/>
  <c r="BC18" i="16" s="1"/>
  <c r="BB34" i="16"/>
  <c r="BC34" i="16" s="1"/>
  <c r="BB39" i="16"/>
  <c r="BC39" i="16" s="1"/>
  <c r="F55" i="3" s="1"/>
  <c r="BB31" i="16"/>
  <c r="BC31" i="16" s="1"/>
  <c r="BB26" i="16"/>
  <c r="BC26" i="16" s="1"/>
  <c r="BB33" i="16"/>
  <c r="BC33" i="16" s="1"/>
  <c r="BB35" i="16"/>
  <c r="BC35" i="16" s="1"/>
  <c r="DD28" i="15"/>
  <c r="DD26" i="15"/>
  <c r="ES19" i="15"/>
  <c r="ES13" i="15"/>
  <c r="F104" i="3"/>
  <c r="F142" i="3" s="1"/>
  <c r="F174" i="3" s="1"/>
  <c r="K104" i="3"/>
  <c r="I178" i="3"/>
  <c r="I201" i="3"/>
  <c r="G199" i="3" l="1"/>
  <c r="P33" i="30"/>
  <c r="D199" i="3"/>
  <c r="EU13" i="15"/>
  <c r="EV13" i="15"/>
  <c r="EU19" i="15"/>
  <c r="EV19" i="15"/>
  <c r="EZ23" i="15" s="1"/>
  <c r="J201" i="3"/>
  <c r="J178" i="3"/>
  <c r="G174" i="3"/>
  <c r="I199" i="3"/>
  <c r="I174" i="3"/>
  <c r="BC42" i="16"/>
  <c r="I55" i="3" s="1"/>
  <c r="L81" i="3"/>
  <c r="L104" i="3" s="1"/>
  <c r="H199" i="3"/>
  <c r="H174" i="3"/>
  <c r="F199" i="3"/>
  <c r="ES21" i="15"/>
  <c r="K146" i="3"/>
  <c r="T35" i="30" s="1"/>
  <c r="K142" i="3"/>
  <c r="T33" i="30" s="1"/>
  <c r="EZ28" i="15" l="1"/>
  <c r="EZ26" i="15"/>
  <c r="EU21" i="15"/>
  <c r="EV21" i="15"/>
  <c r="EZ29" i="15" s="1"/>
  <c r="M81" i="3"/>
  <c r="M104" i="3" s="1"/>
  <c r="C35" i="30" s="1"/>
  <c r="L142" i="3"/>
  <c r="U33" i="30" s="1"/>
  <c r="O118" i="3"/>
  <c r="ES26" i="15"/>
  <c r="ES24" i="15"/>
  <c r="K178" i="3"/>
  <c r="K201" i="3"/>
  <c r="K199" i="3"/>
  <c r="K174" i="3"/>
  <c r="M142" i="3" l="1"/>
  <c r="V33" i="30" s="1"/>
  <c r="W33" i="30" s="1"/>
  <c r="X33" i="30" s="1"/>
  <c r="C34" i="19"/>
  <c r="C35" i="2"/>
  <c r="EU24" i="15"/>
  <c r="EV24" i="15"/>
  <c r="EZ15" i="15" s="1"/>
  <c r="DD42" i="15" s="1"/>
  <c r="DC42" i="15" s="1"/>
  <c r="EU26" i="15"/>
  <c r="EV26" i="15"/>
  <c r="L146" i="3"/>
  <c r="U35" i="30" s="1"/>
  <c r="L199" i="3"/>
  <c r="L174" i="3"/>
  <c r="EZ32" i="15" l="1"/>
  <c r="M199" i="3"/>
  <c r="DD8" i="15"/>
  <c r="DC8" i="15" s="1"/>
  <c r="AE146" i="3"/>
  <c r="DD43" i="15"/>
  <c r="DC43" i="15" s="1"/>
  <c r="L178" i="3"/>
  <c r="AE178" i="3" s="1"/>
  <c r="EZ33" i="15"/>
  <c r="FA33" i="15" s="1"/>
  <c r="BF8" i="15"/>
  <c r="BE8" i="15" s="1"/>
  <c r="FB7" i="15"/>
  <c r="FA7" i="15" s="1"/>
  <c r="FB8" i="15"/>
  <c r="FA8" i="15" s="1"/>
  <c r="AE142" i="3"/>
  <c r="O142" i="3"/>
  <c r="M174" i="3"/>
  <c r="BF7" i="15"/>
  <c r="BE7" i="15" s="1"/>
  <c r="DD7" i="15"/>
  <c r="DC7" i="15" s="1"/>
  <c r="BF42" i="15"/>
  <c r="BE42" i="15" s="1"/>
  <c r="BF43" i="15"/>
  <c r="BE43" i="15" s="1"/>
  <c r="EV38" i="15"/>
  <c r="L201" i="3"/>
  <c r="FA32" i="15" l="1"/>
  <c r="AE174" i="3"/>
  <c r="O174" i="3"/>
  <c r="AD204" i="3"/>
  <c r="AD203" i="3"/>
  <c r="AD202" i="3"/>
  <c r="AD201" i="3"/>
  <c r="AD200" i="3"/>
  <c r="AD199" i="3"/>
  <c r="AD196" i="3"/>
  <c r="AD195" i="3"/>
  <c r="AD194" i="3"/>
  <c r="AD193" i="3"/>
  <c r="AD192" i="3"/>
  <c r="AD191" i="3"/>
  <c r="AD190" i="3"/>
  <c r="AD189" i="3"/>
  <c r="AD188" i="3"/>
  <c r="R167" i="3"/>
  <c r="AE199" i="3"/>
  <c r="AE201" i="3"/>
  <c r="AE187" i="3"/>
  <c r="FS96" i="15" l="1"/>
  <c r="FU70" i="15" l="1"/>
  <c r="ET77" i="15"/>
  <c r="GX81" i="15"/>
  <c r="GX77" i="15"/>
  <c r="GF85" i="15"/>
  <c r="GF66" i="15"/>
  <c r="GF67" i="15"/>
  <c r="GF68" i="15"/>
  <c r="GF69" i="15"/>
  <c r="GF70" i="15"/>
  <c r="GF71" i="15"/>
  <c r="GF78" i="15"/>
  <c r="AB91" i="15"/>
  <c r="AB90" i="15"/>
  <c r="AB89" i="15"/>
  <c r="AO54" i="21"/>
  <c r="H112" i="3" s="1"/>
  <c r="AN54" i="21"/>
  <c r="G112" i="3" s="1"/>
  <c r="AM54" i="21"/>
  <c r="F112" i="3" s="1"/>
  <c r="AL54" i="21"/>
  <c r="E112" i="3" s="1"/>
  <c r="AK54" i="21"/>
  <c r="D112" i="3" s="1"/>
  <c r="AJ54" i="21"/>
  <c r="C112" i="3" s="1"/>
  <c r="AP54" i="21"/>
  <c r="I112" i="3" s="1"/>
  <c r="M114" i="3" s="1"/>
  <c r="AM43" i="21"/>
  <c r="AL43" i="21"/>
  <c r="AK43" i="21"/>
  <c r="AI43" i="21"/>
  <c r="CE19" i="16"/>
  <c r="H134" i="3" s="1"/>
  <c r="Q26" i="30" s="1"/>
  <c r="CF19" i="16"/>
  <c r="I134" i="3" s="1"/>
  <c r="R26" i="30" s="1"/>
  <c r="CG19" i="16"/>
  <c r="J134" i="3" s="1"/>
  <c r="S26" i="30" s="1"/>
  <c r="GV79" i="15"/>
  <c r="GP80" i="15"/>
  <c r="GP81" i="15"/>
  <c r="GP82" i="15"/>
  <c r="GP83" i="15"/>
  <c r="GP84" i="15"/>
  <c r="GP79" i="15"/>
  <c r="GP73" i="15"/>
  <c r="GP74" i="15"/>
  <c r="GP75" i="15"/>
  <c r="GP76" i="15"/>
  <c r="GP77" i="15"/>
  <c r="GP72" i="15"/>
  <c r="GP66" i="15"/>
  <c r="GP67" i="15"/>
  <c r="GP68" i="15"/>
  <c r="GP69" i="15"/>
  <c r="GP65" i="15"/>
  <c r="HA82" i="15"/>
  <c r="HC82" i="15" s="1"/>
  <c r="HE82" i="15" s="1"/>
  <c r="HA81" i="15"/>
  <c r="HC81" i="15" s="1"/>
  <c r="HE81" i="15" s="1"/>
  <c r="GV81" i="15"/>
  <c r="HA80" i="15"/>
  <c r="HC80" i="15" s="1"/>
  <c r="HE80" i="15" s="1"/>
  <c r="HA79" i="15"/>
  <c r="HC79" i="15" s="1"/>
  <c r="HE79" i="15" s="1"/>
  <c r="HA78" i="15"/>
  <c r="HA77" i="15"/>
  <c r="HC77" i="15" s="1"/>
  <c r="HE77" i="15" s="1"/>
  <c r="HA76" i="15"/>
  <c r="HA75" i="15"/>
  <c r="HA74" i="15"/>
  <c r="HC74" i="15" s="1"/>
  <c r="HE74" i="15" s="1"/>
  <c r="HA73" i="15"/>
  <c r="HA72" i="15"/>
  <c r="HA71" i="15"/>
  <c r="HA70" i="15"/>
  <c r="HC70" i="15" s="1"/>
  <c r="HE70" i="15" s="1"/>
  <c r="HA69" i="15"/>
  <c r="HA68" i="15"/>
  <c r="HC68" i="15" s="1"/>
  <c r="HE68" i="15" s="1"/>
  <c r="HA67" i="15"/>
  <c r="HA66" i="15"/>
  <c r="HA65" i="15"/>
  <c r="HC65" i="15" s="1"/>
  <c r="HE65" i="15" s="1"/>
  <c r="GS66" i="15"/>
  <c r="GS68" i="15"/>
  <c r="GS69" i="15"/>
  <c r="GS78" i="15"/>
  <c r="GS65" i="15"/>
  <c r="GI80" i="15"/>
  <c r="GF80" i="15" s="1"/>
  <c r="GI79" i="15"/>
  <c r="GS79" i="15" s="1"/>
  <c r="GI84" i="15"/>
  <c r="GF84" i="15" s="1"/>
  <c r="GI83" i="15"/>
  <c r="GS83" i="15" s="1"/>
  <c r="GI82" i="15"/>
  <c r="GF82" i="15" s="1"/>
  <c r="GI81" i="15"/>
  <c r="GF81" i="15" s="1"/>
  <c r="GI77" i="15"/>
  <c r="GI91" i="15" s="1"/>
  <c r="GI76" i="15"/>
  <c r="GI90" i="15" s="1"/>
  <c r="GF90" i="15" s="1"/>
  <c r="GI75" i="15"/>
  <c r="GF75" i="15" s="1"/>
  <c r="GI74" i="15"/>
  <c r="GI88" i="15" s="1"/>
  <c r="GF88" i="15" s="1"/>
  <c r="GI73" i="15"/>
  <c r="GS73" i="15" s="1"/>
  <c r="GI72" i="15"/>
  <c r="GS72" i="15" s="1"/>
  <c r="M115" i="3" l="1"/>
  <c r="C36" i="30" s="1"/>
  <c r="M116" i="3"/>
  <c r="C15" i="30" s="1"/>
  <c r="L114" i="3"/>
  <c r="L115" i="3" s="1"/>
  <c r="H114" i="3"/>
  <c r="H116" i="3" s="1"/>
  <c r="H144" i="3" s="1"/>
  <c r="Q17" i="30" s="1"/>
  <c r="K114" i="3"/>
  <c r="K115" i="3" s="1"/>
  <c r="D114" i="3"/>
  <c r="G114" i="3"/>
  <c r="I114" i="3"/>
  <c r="F114" i="3"/>
  <c r="J114" i="3"/>
  <c r="C114" i="3"/>
  <c r="E114" i="3"/>
  <c r="J167" i="3"/>
  <c r="H167" i="3"/>
  <c r="I167" i="3"/>
  <c r="GS77" i="15"/>
  <c r="GS76" i="15"/>
  <c r="GF77" i="15"/>
  <c r="GF76" i="15"/>
  <c r="AB92" i="15"/>
  <c r="AD90" i="15" s="1"/>
  <c r="GS91" i="15"/>
  <c r="GF91" i="15"/>
  <c r="GF83" i="15"/>
  <c r="GF74" i="15"/>
  <c r="GF73" i="15"/>
  <c r="GF72" i="15"/>
  <c r="GF79" i="15"/>
  <c r="GS88" i="15"/>
  <c r="GS90" i="15"/>
  <c r="GI87" i="15"/>
  <c r="GF87" i="15" s="1"/>
  <c r="GS74" i="15"/>
  <c r="GS84" i="15"/>
  <c r="GS81" i="15"/>
  <c r="GI86" i="15"/>
  <c r="GF86" i="15" s="1"/>
  <c r="GS75" i="15"/>
  <c r="GI89" i="15"/>
  <c r="GF89" i="15" s="1"/>
  <c r="GS80" i="15"/>
  <c r="HC72" i="15"/>
  <c r="HE72" i="15" s="1"/>
  <c r="HC71" i="15"/>
  <c r="HE71" i="15" s="1"/>
  <c r="HC66" i="15"/>
  <c r="HE66" i="15" s="1"/>
  <c r="HC73" i="15"/>
  <c r="HE73" i="15" s="1"/>
  <c r="HC67" i="15"/>
  <c r="HE67" i="15" s="1"/>
  <c r="HC69" i="15"/>
  <c r="HE69" i="15" s="1"/>
  <c r="HC75" i="15"/>
  <c r="HE75" i="15" s="1"/>
  <c r="HC76" i="15"/>
  <c r="HE76" i="15" s="1"/>
  <c r="HC78" i="15"/>
  <c r="HE78" i="15" s="1"/>
  <c r="D11" i="30" l="1"/>
  <c r="C11" i="30"/>
  <c r="E11" i="30" s="1"/>
  <c r="F34" i="30"/>
  <c r="C34" i="30"/>
  <c r="D34" i="30" s="1"/>
  <c r="H115" i="3"/>
  <c r="H145" i="3" s="1"/>
  <c r="Q34" i="30" s="1"/>
  <c r="M144" i="3"/>
  <c r="C15" i="2"/>
  <c r="C15" i="19"/>
  <c r="M145" i="3"/>
  <c r="C35" i="19"/>
  <c r="C36" i="2"/>
  <c r="L116" i="3"/>
  <c r="L145" i="3"/>
  <c r="U34" i="30" s="1"/>
  <c r="AD92" i="15"/>
  <c r="AD93" i="15" s="1"/>
  <c r="C115" i="3"/>
  <c r="C145" i="3" s="1"/>
  <c r="C116" i="3"/>
  <c r="C144" i="3" s="1"/>
  <c r="F116" i="3"/>
  <c r="F144" i="3" s="1"/>
  <c r="F115" i="3"/>
  <c r="F145" i="3" s="1"/>
  <c r="I115" i="3"/>
  <c r="I145" i="3" s="1"/>
  <c r="R34" i="30" s="1"/>
  <c r="I116" i="3"/>
  <c r="I144" i="3" s="1"/>
  <c r="R17" i="30" s="1"/>
  <c r="J115" i="3"/>
  <c r="J145" i="3" s="1"/>
  <c r="S34" i="30" s="1"/>
  <c r="J116" i="3"/>
  <c r="J144" i="3" s="1"/>
  <c r="S17" i="30" s="1"/>
  <c r="H176" i="3"/>
  <c r="H143" i="3"/>
  <c r="H175" i="3" s="1"/>
  <c r="H192" i="3"/>
  <c r="H177" i="3"/>
  <c r="E116" i="3"/>
  <c r="E144" i="3" s="1"/>
  <c r="E115" i="3"/>
  <c r="E145" i="3" s="1"/>
  <c r="G115" i="3"/>
  <c r="G145" i="3" s="1"/>
  <c r="P34" i="30" s="1"/>
  <c r="G116" i="3"/>
  <c r="G144" i="3" s="1"/>
  <c r="P17" i="30" s="1"/>
  <c r="K116" i="3"/>
  <c r="D115" i="3"/>
  <c r="D145" i="3" s="1"/>
  <c r="D116" i="3"/>
  <c r="D144" i="3" s="1"/>
  <c r="GF95" i="15"/>
  <c r="GG82" i="15" s="1"/>
  <c r="GF94" i="15"/>
  <c r="GS89" i="15"/>
  <c r="GI92" i="15"/>
  <c r="GO89" i="15" s="1"/>
  <c r="GS86" i="15"/>
  <c r="GS87" i="15"/>
  <c r="F38" i="30" l="1"/>
  <c r="F43" i="30"/>
  <c r="M126" i="3"/>
  <c r="V18" i="30" s="1"/>
  <c r="V17" i="30"/>
  <c r="W17" i="30" s="1"/>
  <c r="X17" i="30" s="1"/>
  <c r="E41" i="30"/>
  <c r="E42" i="30" s="1"/>
  <c r="E43" i="30" s="1"/>
  <c r="E38" i="30"/>
  <c r="H200" i="3"/>
  <c r="M200" i="3"/>
  <c r="V34" i="30"/>
  <c r="W34" i="30" s="1"/>
  <c r="X34" i="30" s="1"/>
  <c r="M143" i="3"/>
  <c r="M147" i="3"/>
  <c r="V36" i="30" s="1"/>
  <c r="AK16" i="30" s="1"/>
  <c r="AK25" i="30" s="1"/>
  <c r="O143" i="3"/>
  <c r="M175" i="3"/>
  <c r="AE145" i="3"/>
  <c r="M177" i="3"/>
  <c r="O145" i="3"/>
  <c r="M153" i="3"/>
  <c r="V42" i="30" s="1"/>
  <c r="O144" i="3"/>
  <c r="M176" i="3"/>
  <c r="M192" i="3"/>
  <c r="L144" i="3"/>
  <c r="H147" i="3"/>
  <c r="L177" i="3"/>
  <c r="L200" i="3"/>
  <c r="D177" i="3"/>
  <c r="D200" i="3"/>
  <c r="J200" i="3"/>
  <c r="J177" i="3"/>
  <c r="I192" i="3"/>
  <c r="I143" i="3"/>
  <c r="I175" i="3" s="1"/>
  <c r="I176" i="3"/>
  <c r="J143" i="3"/>
  <c r="J175" i="3" s="1"/>
  <c r="J192" i="3"/>
  <c r="J176" i="3"/>
  <c r="I177" i="3"/>
  <c r="I200" i="3"/>
  <c r="F177" i="3"/>
  <c r="F200" i="3"/>
  <c r="D192" i="3"/>
  <c r="D143" i="3"/>
  <c r="D175" i="3" s="1"/>
  <c r="D176" i="3"/>
  <c r="K145" i="3"/>
  <c r="T34" i="30" s="1"/>
  <c r="C33" i="19"/>
  <c r="G143" i="3"/>
  <c r="G175" i="3" s="1"/>
  <c r="G176" i="3"/>
  <c r="G192" i="3"/>
  <c r="F192" i="3"/>
  <c r="F176" i="3"/>
  <c r="F143" i="3"/>
  <c r="F175" i="3" s="1"/>
  <c r="E200" i="3"/>
  <c r="E177" i="3"/>
  <c r="C192" i="3"/>
  <c r="C176" i="3"/>
  <c r="C143" i="3"/>
  <c r="C175" i="3" s="1"/>
  <c r="K144" i="3"/>
  <c r="T17" i="30" s="1"/>
  <c r="G177" i="3"/>
  <c r="G200" i="3"/>
  <c r="E143" i="3"/>
  <c r="E175" i="3" s="1"/>
  <c r="E192" i="3"/>
  <c r="E176" i="3"/>
  <c r="C200" i="3"/>
  <c r="C177" i="3"/>
  <c r="GG72" i="15"/>
  <c r="GG74" i="15"/>
  <c r="GG86" i="15"/>
  <c r="GO86" i="15"/>
  <c r="GG85" i="15"/>
  <c r="GG68" i="15"/>
  <c r="GG66" i="15"/>
  <c r="GG87" i="15"/>
  <c r="GG81" i="15"/>
  <c r="GG78" i="15"/>
  <c r="GG70" i="15"/>
  <c r="GG89" i="15"/>
  <c r="GG77" i="15"/>
  <c r="GG90" i="15"/>
  <c r="GG75" i="15"/>
  <c r="GG83" i="15"/>
  <c r="GG71" i="15"/>
  <c r="GG84" i="15"/>
  <c r="GG69" i="15"/>
  <c r="GG80" i="15"/>
  <c r="GG91" i="15"/>
  <c r="GG79" i="15"/>
  <c r="GG73" i="15"/>
  <c r="GG65" i="15"/>
  <c r="GG88" i="15"/>
  <c r="GG76" i="15"/>
  <c r="GG67" i="15"/>
  <c r="GS92" i="15"/>
  <c r="GT86" i="15" s="1"/>
  <c r="GO87" i="15"/>
  <c r="GO67" i="15"/>
  <c r="GO77" i="15"/>
  <c r="GO68" i="15"/>
  <c r="GO79" i="15"/>
  <c r="GO69" i="15"/>
  <c r="GO66" i="15"/>
  <c r="GO76" i="15"/>
  <c r="GO82" i="15"/>
  <c r="GO83" i="15"/>
  <c r="GO92" i="15"/>
  <c r="GO65" i="15"/>
  <c r="GO84" i="15"/>
  <c r="GO88" i="15"/>
  <c r="GO74" i="15"/>
  <c r="GO75" i="15"/>
  <c r="GO80" i="15"/>
  <c r="GO72" i="15"/>
  <c r="GO73" i="15"/>
  <c r="GO90" i="15"/>
  <c r="GO91" i="15"/>
  <c r="GO81" i="15"/>
  <c r="N126" i="3" l="1"/>
  <c r="H173" i="3"/>
  <c r="Q36" i="30"/>
  <c r="AF16" i="30" s="1"/>
  <c r="AF25" i="30" s="1"/>
  <c r="L176" i="3"/>
  <c r="U17" i="30"/>
  <c r="AK12" i="30"/>
  <c r="AE144" i="3"/>
  <c r="AE192" i="3" s="1"/>
  <c r="O153" i="3"/>
  <c r="M184" i="3"/>
  <c r="M156" i="3"/>
  <c r="O126" i="3"/>
  <c r="M152" i="3"/>
  <c r="V41" i="30" s="1"/>
  <c r="M188" i="3"/>
  <c r="O177" i="3"/>
  <c r="AE177" i="3"/>
  <c r="O175" i="3"/>
  <c r="O176" i="3"/>
  <c r="AE176" i="3"/>
  <c r="O147" i="3"/>
  <c r="M173" i="3"/>
  <c r="L192" i="3"/>
  <c r="L126" i="3"/>
  <c r="U18" i="30" s="1"/>
  <c r="AJ12" i="30" s="1"/>
  <c r="L143" i="3"/>
  <c r="F147" i="3"/>
  <c r="F173" i="3" s="1"/>
  <c r="G147" i="3"/>
  <c r="P36" i="30" s="1"/>
  <c r="D147" i="3"/>
  <c r="D173" i="3" s="1"/>
  <c r="I147" i="3"/>
  <c r="R36" i="30" s="1"/>
  <c r="AG16" i="30" s="1"/>
  <c r="AG25" i="30" s="1"/>
  <c r="J147" i="3"/>
  <c r="S36" i="30" s="1"/>
  <c r="AH16" i="30" s="1"/>
  <c r="AH25" i="30" s="1"/>
  <c r="E147" i="3"/>
  <c r="E173" i="3" s="1"/>
  <c r="K177" i="3"/>
  <c r="K200" i="3"/>
  <c r="AE200" i="3"/>
  <c r="K176" i="3"/>
  <c r="K143" i="3"/>
  <c r="K192" i="3"/>
  <c r="GT89" i="15"/>
  <c r="GT69" i="15"/>
  <c r="GT76" i="15"/>
  <c r="GT79" i="15"/>
  <c r="GT74" i="15"/>
  <c r="GT84" i="15"/>
  <c r="GT82" i="15"/>
  <c r="GT65" i="15"/>
  <c r="GT68" i="15"/>
  <c r="GT72" i="15"/>
  <c r="GT78" i="15"/>
  <c r="GT80" i="15"/>
  <c r="GT75" i="15"/>
  <c r="GT66" i="15"/>
  <c r="GT73" i="15"/>
  <c r="GT88" i="15"/>
  <c r="GT83" i="15"/>
  <c r="GT77" i="15"/>
  <c r="GT91" i="15"/>
  <c r="GT81" i="15"/>
  <c r="GT90" i="15"/>
  <c r="GT87" i="15"/>
  <c r="AJ21" i="30" l="1"/>
  <c r="AK21" i="30"/>
  <c r="W36" i="30"/>
  <c r="X36" i="30" s="1"/>
  <c r="AE16" i="30"/>
  <c r="AE25" i="30" s="1"/>
  <c r="L147" i="3"/>
  <c r="U36" i="30" s="1"/>
  <c r="AJ16" i="30" s="1"/>
  <c r="AJ25" i="30" s="1"/>
  <c r="AE143" i="3"/>
  <c r="AE126" i="3"/>
  <c r="O156" i="3"/>
  <c r="O152" i="3"/>
  <c r="M183" i="3"/>
  <c r="O184" i="3"/>
  <c r="F39" i="30" s="1"/>
  <c r="O173" i="3"/>
  <c r="L175" i="3"/>
  <c r="AE175" i="3" s="1"/>
  <c r="L188" i="3"/>
  <c r="L156" i="3"/>
  <c r="AE156" i="3" s="1"/>
  <c r="K147" i="3"/>
  <c r="J173" i="3"/>
  <c r="G173" i="3"/>
  <c r="I173" i="3"/>
  <c r="K175" i="3"/>
  <c r="GX74" i="15"/>
  <c r="GX65" i="15"/>
  <c r="GX71" i="15"/>
  <c r="GX75" i="15"/>
  <c r="GX70" i="15"/>
  <c r="GX73" i="15"/>
  <c r="GX72" i="15"/>
  <c r="AD114" i="15" s="1"/>
  <c r="GX76" i="15"/>
  <c r="GX78" i="15"/>
  <c r="GX69" i="15"/>
  <c r="AD113" i="15" s="1"/>
  <c r="GX68" i="15"/>
  <c r="AD112" i="15" s="1"/>
  <c r="GX67" i="15"/>
  <c r="AD111" i="15" s="1"/>
  <c r="GX80" i="15"/>
  <c r="GX82" i="15"/>
  <c r="GX66" i="15"/>
  <c r="GX79" i="15"/>
  <c r="GT92" i="15"/>
  <c r="K173" i="3" l="1"/>
  <c r="T36" i="30"/>
  <c r="AI16" i="30" s="1"/>
  <c r="AI25" i="30" s="1"/>
  <c r="L173" i="3"/>
  <c r="AE173" i="3" s="1"/>
  <c r="AE147" i="3"/>
  <c r="O183" i="3"/>
  <c r="E39" i="30" s="1"/>
  <c r="AD115" i="15"/>
  <c r="GX83" i="15"/>
  <c r="BX20" i="16"/>
  <c r="BY20" i="16"/>
  <c r="BZ20" i="16"/>
  <c r="CB20" i="16"/>
  <c r="CC20" i="16"/>
  <c r="H42" i="9" l="1"/>
  <c r="I133" i="3" l="1"/>
  <c r="R25" i="30" s="1"/>
  <c r="H133" i="3"/>
  <c r="Q25" i="30" s="1"/>
  <c r="G133" i="3"/>
  <c r="P25" i="30" s="1"/>
  <c r="W25" i="30" s="1"/>
  <c r="X25" i="30" s="1"/>
  <c r="F133" i="3"/>
  <c r="F166" i="3" s="1"/>
  <c r="E133" i="3"/>
  <c r="E166" i="3" s="1"/>
  <c r="D133" i="3"/>
  <c r="D166" i="3" s="1"/>
  <c r="C133" i="3"/>
  <c r="C166" i="3" s="1"/>
  <c r="CH21" i="16" l="1"/>
  <c r="I166" i="3"/>
  <c r="CG21" i="16"/>
  <c r="H166" i="3"/>
  <c r="G166" i="3"/>
  <c r="N46" i="3" l="1"/>
  <c r="J133" i="3" l="1"/>
  <c r="S25" i="30" s="1"/>
  <c r="K133" i="3"/>
  <c r="T25" i="30" s="1"/>
  <c r="K166" i="3" l="1"/>
  <c r="J166" i="3"/>
  <c r="CD20" i="16"/>
  <c r="AA93" i="13" l="1"/>
  <c r="AX98" i="11"/>
  <c r="AZ97" i="11"/>
  <c r="AZ96" i="11"/>
  <c r="AZ95" i="11"/>
  <c r="BB94" i="11"/>
  <c r="BH105" i="11" s="1"/>
  <c r="BE93" i="11"/>
  <c r="BB93" i="11"/>
  <c r="BH104" i="11" s="1"/>
  <c r="AZ93" i="11"/>
  <c r="BE92" i="11"/>
  <c r="BB92" i="11"/>
  <c r="BH103" i="11" s="1"/>
  <c r="AZ92" i="11"/>
  <c r="BB91" i="11"/>
  <c r="BH102" i="11" s="1"/>
  <c r="BE90" i="11"/>
  <c r="BB90" i="11"/>
  <c r="BH101" i="11" s="1"/>
  <c r="AZ90" i="11"/>
  <c r="BE89" i="11"/>
  <c r="BB89" i="11"/>
  <c r="BH100" i="11" s="1"/>
  <c r="AZ89" i="11"/>
  <c r="BE88" i="11"/>
  <c r="BD88" i="11"/>
  <c r="BB88" i="11"/>
  <c r="BH99" i="11" s="1"/>
  <c r="AZ88" i="11"/>
  <c r="G104" i="12"/>
  <c r="L117" i="12" s="1"/>
  <c r="AJ85" i="12"/>
  <c r="AH157" i="12"/>
  <c r="AJ157" i="12"/>
  <c r="F130" i="3" s="1"/>
  <c r="AH158" i="12"/>
  <c r="AJ158" i="12"/>
  <c r="AH159" i="12"/>
  <c r="AJ159" i="12"/>
  <c r="H130" i="3" s="1"/>
  <c r="Q22" i="30" s="1"/>
  <c r="AH160" i="12"/>
  <c r="AJ160" i="12"/>
  <c r="I130" i="3" s="1"/>
  <c r="R22" i="30" s="1"/>
  <c r="AH161" i="12"/>
  <c r="AJ161" i="12"/>
  <c r="J130" i="3" s="1"/>
  <c r="S22" i="30" s="1"/>
  <c r="AH162" i="12"/>
  <c r="AJ162" i="12"/>
  <c r="AJ156" i="12"/>
  <c r="E130" i="3" s="1"/>
  <c r="AH156" i="12"/>
  <c r="G162" i="12"/>
  <c r="G161" i="12"/>
  <c r="G160" i="12"/>
  <c r="G159" i="12"/>
  <c r="G158" i="12"/>
  <c r="G157" i="12"/>
  <c r="G156" i="12"/>
  <c r="R157" i="12"/>
  <c r="R158" i="12"/>
  <c r="R159" i="12"/>
  <c r="R160" i="12"/>
  <c r="R161" i="12"/>
  <c r="R162" i="12"/>
  <c r="R156" i="12"/>
  <c r="G130" i="3" l="1"/>
  <c r="P22" i="30" s="1"/>
  <c r="W22" i="30" s="1"/>
  <c r="X22" i="30" s="1"/>
  <c r="AK161" i="12"/>
  <c r="AK157" i="12"/>
  <c r="AK160" i="12"/>
  <c r="AK156" i="12"/>
  <c r="AK162" i="12"/>
  <c r="AM162" i="12" s="1"/>
  <c r="AK158" i="12"/>
  <c r="AK159" i="12"/>
  <c r="H193" i="3"/>
  <c r="H163" i="3"/>
  <c r="J163" i="3"/>
  <c r="J193" i="3"/>
  <c r="E163" i="3"/>
  <c r="E193" i="3"/>
  <c r="I163" i="3"/>
  <c r="I193" i="3"/>
  <c r="F193" i="3"/>
  <c r="F163" i="3"/>
  <c r="G193" i="3" l="1"/>
  <c r="G163" i="3"/>
  <c r="K130" i="3"/>
  <c r="T22" i="30" s="1"/>
  <c r="K163" i="3" l="1"/>
  <c r="K193" i="3"/>
  <c r="EM88" i="15" l="1"/>
  <c r="EZ83" i="15" l="1"/>
  <c r="EZ81" i="15"/>
  <c r="EM84" i="15"/>
  <c r="EU83" i="15" s="1"/>
  <c r="EM85" i="15"/>
  <c r="EU84" i="15" s="1"/>
  <c r="EM83" i="15"/>
  <c r="FE84" i="15"/>
  <c r="FG84" i="15" s="1"/>
  <c r="FI84" i="15" s="1"/>
  <c r="FE83" i="15"/>
  <c r="FE82" i="15"/>
  <c r="FE81" i="15"/>
  <c r="FG81" i="15" s="1"/>
  <c r="FI81" i="15" s="1"/>
  <c r="FE80" i="15"/>
  <c r="FG80" i="15" s="1"/>
  <c r="FI80" i="15" s="1"/>
  <c r="FE79" i="15"/>
  <c r="FG79" i="15" s="1"/>
  <c r="FI79" i="15" s="1"/>
  <c r="FE78" i="15"/>
  <c r="FG78" i="15" s="1"/>
  <c r="FI78" i="15" s="1"/>
  <c r="FE77" i="15"/>
  <c r="FG77" i="15" s="1"/>
  <c r="FI77" i="15" s="1"/>
  <c r="FE76" i="15"/>
  <c r="FE75" i="15"/>
  <c r="FG75" i="15" s="1"/>
  <c r="FI75" i="15" s="1"/>
  <c r="FE74" i="15"/>
  <c r="FE73" i="15"/>
  <c r="FE72" i="15"/>
  <c r="FG72" i="15" s="1"/>
  <c r="FI72" i="15" s="1"/>
  <c r="FE71" i="15"/>
  <c r="FG71" i="15" s="1"/>
  <c r="FI71" i="15" s="1"/>
  <c r="FE70" i="15"/>
  <c r="FG70" i="15" s="1"/>
  <c r="FI70" i="15" s="1"/>
  <c r="FE69" i="15"/>
  <c r="FG69" i="15" s="1"/>
  <c r="FI69" i="15" s="1"/>
  <c r="FE68" i="15"/>
  <c r="FG68" i="15" s="1"/>
  <c r="FI68" i="15" s="1"/>
  <c r="FE67" i="15"/>
  <c r="FG67" i="15" s="1"/>
  <c r="FI67" i="15" s="1"/>
  <c r="EU82" i="15" l="1"/>
  <c r="FG73" i="15"/>
  <c r="FI73" i="15" s="1"/>
  <c r="FG74" i="15"/>
  <c r="FI74" i="15" s="1"/>
  <c r="FG76" i="15"/>
  <c r="FI76" i="15" s="1"/>
  <c r="FG82" i="15"/>
  <c r="FI82" i="15" s="1"/>
  <c r="FG83" i="15"/>
  <c r="FI83" i="15" s="1"/>
  <c r="EN97" i="15" l="1"/>
  <c r="ET94" i="15" s="1"/>
  <c r="ET83" i="15"/>
  <c r="ET84" i="15"/>
  <c r="ET85" i="15"/>
  <c r="ET86" i="15"/>
  <c r="ET87" i="15"/>
  <c r="ET82" i="15"/>
  <c r="ET76" i="15"/>
  <c r="ET78" i="15"/>
  <c r="ET79" i="15"/>
  <c r="ET80" i="15"/>
  <c r="ET75" i="15"/>
  <c r="ET73" i="15"/>
  <c r="ET72" i="15"/>
  <c r="ET71" i="15"/>
  <c r="ET70" i="15"/>
  <c r="ET69" i="15"/>
  <c r="EM95" i="15"/>
  <c r="EU94" i="15" s="1"/>
  <c r="EM94" i="15"/>
  <c r="EU93" i="15" s="1"/>
  <c r="EM93" i="15"/>
  <c r="EU92" i="15" s="1"/>
  <c r="EM92" i="15"/>
  <c r="EM90" i="15"/>
  <c r="ES82" i="15" s="1"/>
  <c r="EM91" i="15"/>
  <c r="EU90" i="15" s="1"/>
  <c r="EM76" i="15"/>
  <c r="EU75" i="15" s="1"/>
  <c r="EM69" i="15"/>
  <c r="EM70" i="15"/>
  <c r="EM71" i="15"/>
  <c r="EU70" i="15" s="1"/>
  <c r="EM72" i="15"/>
  <c r="EU71" i="15" s="1"/>
  <c r="EM73" i="15"/>
  <c r="EM74" i="15"/>
  <c r="EU73" i="15" s="1"/>
  <c r="EM77" i="15"/>
  <c r="EM78" i="15"/>
  <c r="EU77" i="15" s="1"/>
  <c r="EM79" i="15"/>
  <c r="EU78" i="15" s="1"/>
  <c r="EM80" i="15"/>
  <c r="EU79" i="15" s="1"/>
  <c r="EM81" i="15"/>
  <c r="EU80" i="15" s="1"/>
  <c r="EJ121" i="15"/>
  <c r="EI120" i="15"/>
  <c r="EH125" i="15"/>
  <c r="EU74" i="15"/>
  <c r="EU81" i="15"/>
  <c r="EU85" i="15"/>
  <c r="EU86" i="15"/>
  <c r="EU87" i="15"/>
  <c r="EU88" i="15"/>
  <c r="AA92" i="15"/>
  <c r="AC92" i="15" s="1"/>
  <c r="AC25" i="15"/>
  <c r="BO30" i="16"/>
  <c r="BO31" i="16" s="1"/>
  <c r="I58" i="3" s="1"/>
  <c r="I135" i="3" s="1"/>
  <c r="R27" i="30" s="1"/>
  <c r="BN30" i="16"/>
  <c r="BN31" i="16" s="1"/>
  <c r="AE15" i="3"/>
  <c r="AR15" i="3" s="1"/>
  <c r="AF15" i="3"/>
  <c r="AQ15" i="3" s="1"/>
  <c r="AG15" i="3"/>
  <c r="AH15" i="3"/>
  <c r="AI15" i="3"/>
  <c r="AJ15" i="3"/>
  <c r="AK15" i="3"/>
  <c r="AL15" i="3"/>
  <c r="AM15" i="3"/>
  <c r="AN15" i="3"/>
  <c r="AD15" i="3"/>
  <c r="BO9" i="16"/>
  <c r="J30" i="9"/>
  <c r="K31" i="3" s="1"/>
  <c r="P18" i="17"/>
  <c r="K20" i="17"/>
  <c r="K33" i="17" s="1"/>
  <c r="K35" i="17" s="1"/>
  <c r="K36" i="17" s="1"/>
  <c r="K60" i="3" s="1"/>
  <c r="K21" i="17"/>
  <c r="K24" i="17" s="1"/>
  <c r="F114" i="11"/>
  <c r="O127" i="11" s="1"/>
  <c r="G102" i="11"/>
  <c r="P115" i="11" s="1"/>
  <c r="H102" i="11"/>
  <c r="Q115" i="11" s="1"/>
  <c r="I102" i="11"/>
  <c r="R115" i="11" s="1"/>
  <c r="J102" i="11"/>
  <c r="S115" i="11" s="1"/>
  <c r="K102" i="11"/>
  <c r="L102" i="11"/>
  <c r="AP94" i="11" s="1"/>
  <c r="M102" i="11"/>
  <c r="AQ94" i="11" s="1"/>
  <c r="N102" i="11"/>
  <c r="O102" i="11"/>
  <c r="G103" i="11"/>
  <c r="P116" i="11" s="1"/>
  <c r="H103" i="11"/>
  <c r="Q116" i="11" s="1"/>
  <c r="I103" i="11"/>
  <c r="R116" i="11" s="1"/>
  <c r="J103" i="11"/>
  <c r="S116" i="11" s="1"/>
  <c r="L103" i="11"/>
  <c r="AP95" i="11" s="1"/>
  <c r="M103" i="11"/>
  <c r="AQ95" i="11" s="1"/>
  <c r="N103" i="11"/>
  <c r="O103" i="11"/>
  <c r="G104" i="11"/>
  <c r="P117" i="11" s="1"/>
  <c r="H104" i="11"/>
  <c r="Q117" i="11" s="1"/>
  <c r="I104" i="11"/>
  <c r="R117" i="11" s="1"/>
  <c r="J104" i="11"/>
  <c r="S117" i="11" s="1"/>
  <c r="L104" i="11"/>
  <c r="AP96" i="11" s="1"/>
  <c r="M104" i="11"/>
  <c r="AQ96" i="11" s="1"/>
  <c r="N104" i="11"/>
  <c r="O104" i="11"/>
  <c r="G105" i="11"/>
  <c r="P118" i="11" s="1"/>
  <c r="H105" i="11"/>
  <c r="Q118" i="11" s="1"/>
  <c r="I105" i="11"/>
  <c r="R118" i="11" s="1"/>
  <c r="J105" i="11"/>
  <c r="S118" i="11" s="1"/>
  <c r="L105" i="11"/>
  <c r="AP97" i="11" s="1"/>
  <c r="M105" i="11"/>
  <c r="AQ97" i="11" s="1"/>
  <c r="N105" i="11"/>
  <c r="O105" i="11"/>
  <c r="G106" i="11"/>
  <c r="H106" i="11"/>
  <c r="I106" i="11"/>
  <c r="J106" i="11"/>
  <c r="S119" i="11" s="1"/>
  <c r="L106" i="11"/>
  <c r="AP98" i="11" s="1"/>
  <c r="M106" i="11"/>
  <c r="AQ98" i="11" s="1"/>
  <c r="N106" i="11"/>
  <c r="O106" i="11"/>
  <c r="G107" i="11"/>
  <c r="P120" i="11" s="1"/>
  <c r="H107" i="11"/>
  <c r="Q120" i="11" s="1"/>
  <c r="I107" i="11"/>
  <c r="R120" i="11" s="1"/>
  <c r="J107" i="11"/>
  <c r="S120" i="11" s="1"/>
  <c r="L107" i="11"/>
  <c r="AP99" i="11" s="1"/>
  <c r="M107" i="11"/>
  <c r="AQ99" i="11" s="1"/>
  <c r="N107" i="11"/>
  <c r="O107" i="11"/>
  <c r="G108" i="11"/>
  <c r="P121" i="11" s="1"/>
  <c r="H108" i="11"/>
  <c r="Q121" i="11" s="1"/>
  <c r="I108" i="11"/>
  <c r="R121" i="11" s="1"/>
  <c r="J108" i="11"/>
  <c r="S121" i="11" s="1"/>
  <c r="L108" i="11"/>
  <c r="AP100" i="11" s="1"/>
  <c r="M108" i="11"/>
  <c r="AQ100" i="11" s="1"/>
  <c r="N108" i="11"/>
  <c r="O108" i="11"/>
  <c r="G109" i="11"/>
  <c r="P122" i="11" s="1"/>
  <c r="H109" i="11"/>
  <c r="Q122" i="11" s="1"/>
  <c r="I109" i="11"/>
  <c r="R122" i="11" s="1"/>
  <c r="J109" i="11"/>
  <c r="S122" i="11" s="1"/>
  <c r="L109" i="11"/>
  <c r="AP101" i="11" s="1"/>
  <c r="M109" i="11"/>
  <c r="AQ101" i="11" s="1"/>
  <c r="N109" i="11"/>
  <c r="O109" i="11"/>
  <c r="G110" i="11"/>
  <c r="P123" i="11" s="1"/>
  <c r="H110" i="11"/>
  <c r="Q123" i="11" s="1"/>
  <c r="I110" i="11"/>
  <c r="R123" i="11" s="1"/>
  <c r="J110" i="11"/>
  <c r="S123" i="11" s="1"/>
  <c r="L110" i="11"/>
  <c r="AP102" i="11" s="1"/>
  <c r="M110" i="11"/>
  <c r="AQ102" i="11" s="1"/>
  <c r="N110" i="11"/>
  <c r="O110" i="11"/>
  <c r="G111" i="11"/>
  <c r="P124" i="11" s="1"/>
  <c r="H111" i="11"/>
  <c r="Q124" i="11" s="1"/>
  <c r="I111" i="11"/>
  <c r="R124" i="11" s="1"/>
  <c r="J111" i="11"/>
  <c r="S124" i="11" s="1"/>
  <c r="L111" i="11"/>
  <c r="AP103" i="11" s="1"/>
  <c r="M111" i="11"/>
  <c r="AQ103" i="11" s="1"/>
  <c r="N111" i="11"/>
  <c r="O111" i="11"/>
  <c r="G112" i="11"/>
  <c r="P125" i="11" s="1"/>
  <c r="H112" i="11"/>
  <c r="Q125" i="11" s="1"/>
  <c r="I112" i="11"/>
  <c r="R125" i="11" s="1"/>
  <c r="J112" i="11"/>
  <c r="S125" i="11" s="1"/>
  <c r="L112" i="11"/>
  <c r="AP104" i="11" s="1"/>
  <c r="M112" i="11"/>
  <c r="AQ104" i="11" s="1"/>
  <c r="N112" i="11"/>
  <c r="O112" i="11"/>
  <c r="G113" i="11"/>
  <c r="P126" i="11" s="1"/>
  <c r="H113" i="11"/>
  <c r="Q126" i="11" s="1"/>
  <c r="I113" i="11"/>
  <c r="R126" i="11" s="1"/>
  <c r="J113" i="11"/>
  <c r="S126" i="11" s="1"/>
  <c r="L113" i="11"/>
  <c r="AP105" i="11" s="1"/>
  <c r="M113" i="11"/>
  <c r="AQ105" i="11" s="1"/>
  <c r="N113" i="11"/>
  <c r="O113" i="11"/>
  <c r="B114" i="11"/>
  <c r="C114" i="11"/>
  <c r="D114" i="11"/>
  <c r="M127" i="11" s="1"/>
  <c r="E114" i="11"/>
  <c r="N127" i="11" s="1"/>
  <c r="E128" i="13"/>
  <c r="GJ92" i="15"/>
  <c r="GG37" i="15"/>
  <c r="GH36" i="15" a="1"/>
  <c r="GH36" i="15" s="1"/>
  <c r="Z77" i="13"/>
  <c r="Z78" i="13"/>
  <c r="Z79" i="13"/>
  <c r="Z80" i="13"/>
  <c r="Z81" i="13"/>
  <c r="Z82" i="13"/>
  <c r="Z83" i="13"/>
  <c r="Z84" i="13"/>
  <c r="Z85" i="13"/>
  <c r="Z86" i="13"/>
  <c r="Z87" i="13"/>
  <c r="Z88" i="13"/>
  <c r="Z89" i="13"/>
  <c r="Z90" i="13"/>
  <c r="Z76" i="13"/>
  <c r="D132" i="13"/>
  <c r="K149" i="13" s="1"/>
  <c r="D136" i="13"/>
  <c r="K153" i="13" s="1"/>
  <c r="D140" i="13"/>
  <c r="K157" i="13" s="1"/>
  <c r="C136" i="13"/>
  <c r="C140" i="13"/>
  <c r="V13" i="9"/>
  <c r="AD50" i="15" l="1"/>
  <c r="AE50" i="15" s="1"/>
  <c r="AF50" i="15" s="1"/>
  <c r="AD49" i="15"/>
  <c r="AE49" i="15" s="1"/>
  <c r="AF49" i="15" s="1"/>
  <c r="AD51" i="15"/>
  <c r="AE51" i="15" s="1"/>
  <c r="AF51" i="15" s="1"/>
  <c r="AD52" i="15"/>
  <c r="AE52" i="15" s="1"/>
  <c r="AF52" i="15" s="1"/>
  <c r="AD53" i="15"/>
  <c r="AE53" i="15" s="1"/>
  <c r="AF53" i="15" s="1"/>
  <c r="AD54" i="15"/>
  <c r="AE54" i="15" s="1"/>
  <c r="AF54" i="15" s="1"/>
  <c r="AD55" i="15"/>
  <c r="AE55" i="15" s="1"/>
  <c r="AF55" i="15" s="1"/>
  <c r="AG55" i="15" s="1"/>
  <c r="AD56" i="15"/>
  <c r="AE56" i="15" s="1"/>
  <c r="AF56" i="15" s="1"/>
  <c r="AY42" i="15" s="1"/>
  <c r="L127" i="11"/>
  <c r="U114" i="11"/>
  <c r="AA87" i="13"/>
  <c r="AA85" i="13"/>
  <c r="Z91" i="13"/>
  <c r="AA91" i="13" s="1"/>
  <c r="I114" i="11"/>
  <c r="R127" i="11" s="1"/>
  <c r="R119" i="11"/>
  <c r="H114" i="11"/>
  <c r="Q127" i="11" s="1"/>
  <c r="Q119" i="11"/>
  <c r="G114" i="11"/>
  <c r="P127" i="11" s="1"/>
  <c r="P119" i="11"/>
  <c r="V15" i="9"/>
  <c r="V16" i="9" s="1"/>
  <c r="K125" i="3"/>
  <c r="T16" i="30" s="1"/>
  <c r="AD25" i="15"/>
  <c r="AE25" i="15" s="1"/>
  <c r="AF25" i="15" s="1"/>
  <c r="ES76" i="15"/>
  <c r="ES69" i="15"/>
  <c r="ES72" i="15"/>
  <c r="EU68" i="15"/>
  <c r="ES68" i="15"/>
  <c r="I168" i="3"/>
  <c r="J58" i="3"/>
  <c r="J135" i="3" s="1"/>
  <c r="S27" i="30" s="1"/>
  <c r="ES78" i="15"/>
  <c r="ES77" i="15"/>
  <c r="EM97" i="15"/>
  <c r="ES89" i="15" s="1"/>
  <c r="ET93" i="15"/>
  <c r="EU69" i="15"/>
  <c r="ES75" i="15"/>
  <c r="ET92" i="15"/>
  <c r="ES80" i="15"/>
  <c r="ET90" i="15"/>
  <c r="BM30" i="16"/>
  <c r="BM31" i="16" s="1"/>
  <c r="EU91" i="15"/>
  <c r="EU76" i="15"/>
  <c r="ES79" i="15"/>
  <c r="ET91" i="15"/>
  <c r="EU72" i="15"/>
  <c r="ES73" i="15"/>
  <c r="ES87" i="15"/>
  <c r="ES71" i="15"/>
  <c r="ES86" i="15"/>
  <c r="ES70" i="15"/>
  <c r="ES85" i="15"/>
  <c r="ET89" i="15"/>
  <c r="EU89" i="15"/>
  <c r="EW85" i="15" s="1"/>
  <c r="FB73" i="15" s="1"/>
  <c r="ES83" i="15"/>
  <c r="ES84" i="15"/>
  <c r="J114" i="11"/>
  <c r="S127" i="11" s="1"/>
  <c r="EB44" i="15" l="1"/>
  <c r="AH55" i="15"/>
  <c r="AI55" i="15" s="1"/>
  <c r="EW75" i="15"/>
  <c r="FB68" i="15" s="1"/>
  <c r="EW86" i="15"/>
  <c r="FB74" i="15" s="1"/>
  <c r="EW87" i="15"/>
  <c r="FB70" i="15" s="1"/>
  <c r="EU96" i="15"/>
  <c r="EW68" i="15"/>
  <c r="FB67" i="15" s="1"/>
  <c r="EU95" i="15"/>
  <c r="EV75" i="15" s="1"/>
  <c r="EW89" i="15"/>
  <c r="EW84" i="15"/>
  <c r="FB72" i="15" s="1"/>
  <c r="EW83" i="15"/>
  <c r="FB71" i="15" s="1"/>
  <c r="EW82" i="15"/>
  <c r="FB69" i="15" s="1"/>
  <c r="BA42" i="15"/>
  <c r="AG56" i="15" s="1"/>
  <c r="AH56" i="15" s="1"/>
  <c r="AI56" i="15" s="1"/>
  <c r="G34" i="3"/>
  <c r="K158" i="3"/>
  <c r="J168" i="3"/>
  <c r="K58" i="3"/>
  <c r="F21" i="19" s="1"/>
  <c r="ES93" i="15"/>
  <c r="ES90" i="15"/>
  <c r="ES94" i="15"/>
  <c r="ES91" i="15"/>
  <c r="ES92" i="15"/>
  <c r="J128" i="13"/>
  <c r="E129" i="13"/>
  <c r="E130" i="13"/>
  <c r="E131" i="13"/>
  <c r="C132" i="13"/>
  <c r="E133" i="13"/>
  <c r="E134" i="13"/>
  <c r="E135" i="13"/>
  <c r="E137" i="13"/>
  <c r="E138" i="13"/>
  <c r="E139" i="13"/>
  <c r="K139" i="13"/>
  <c r="E141" i="13"/>
  <c r="K141" i="13"/>
  <c r="E142" i="13"/>
  <c r="K142" i="13"/>
  <c r="E143" i="13"/>
  <c r="K143" i="13"/>
  <c r="B144" i="13"/>
  <c r="C144" i="13"/>
  <c r="T14" i="9"/>
  <c r="G18" i="9"/>
  <c r="J23" i="3" s="1"/>
  <c r="E17" i="9"/>
  <c r="V6" i="9"/>
  <c r="T6" i="9"/>
  <c r="D17" i="9"/>
  <c r="EU98" i="15" l="1"/>
  <c r="EU99" i="15"/>
  <c r="EU97" i="15"/>
  <c r="FZ64" i="15" s="1"/>
  <c r="EU100" i="15"/>
  <c r="F17" i="9"/>
  <c r="F30" i="9"/>
  <c r="V19" i="9"/>
  <c r="V7" i="9"/>
  <c r="L17" i="9" s="1"/>
  <c r="T7" i="9"/>
  <c r="L19" i="9" s="1"/>
  <c r="EV91" i="15"/>
  <c r="EV76" i="15"/>
  <c r="EV73" i="15"/>
  <c r="EV79" i="15"/>
  <c r="EV82" i="15"/>
  <c r="AE111" i="15" s="1"/>
  <c r="EV69" i="15"/>
  <c r="EV74" i="15"/>
  <c r="EV87" i="15"/>
  <c r="AE114" i="15" s="1"/>
  <c r="EV81" i="15"/>
  <c r="EV68" i="15"/>
  <c r="K135" i="3"/>
  <c r="T27" i="30" s="1"/>
  <c r="EV72" i="15"/>
  <c r="EV94" i="15"/>
  <c r="EV93" i="15"/>
  <c r="EV89" i="15"/>
  <c r="EV84" i="15"/>
  <c r="AE113" i="15" s="1"/>
  <c r="EV83" i="15"/>
  <c r="AE112" i="15" s="1"/>
  <c r="EV88" i="15"/>
  <c r="EV86" i="15"/>
  <c r="EV85" i="15"/>
  <c r="EV90" i="15"/>
  <c r="EV92" i="15"/>
  <c r="EV80" i="15"/>
  <c r="EV71" i="15"/>
  <c r="EV70" i="15"/>
  <c r="EV77" i="15"/>
  <c r="EV78" i="15"/>
  <c r="E136" i="13"/>
  <c r="I132" i="13"/>
  <c r="I136" i="13" s="1"/>
  <c r="I140" i="13" s="1"/>
  <c r="E140" i="13"/>
  <c r="E132" i="13"/>
  <c r="E31" i="9"/>
  <c r="F31" i="9" s="1"/>
  <c r="A31" i="9" s="1"/>
  <c r="AF111" i="12"/>
  <c r="AF102" i="12"/>
  <c r="AF100" i="12"/>
  <c r="AF101" i="12"/>
  <c r="AF87" i="12"/>
  <c r="T91" i="12"/>
  <c r="R107" i="12"/>
  <c r="W120" i="12" s="1"/>
  <c r="C107" i="12"/>
  <c r="N94" i="12"/>
  <c r="S102" i="12"/>
  <c r="N104" i="12"/>
  <c r="K105" i="12"/>
  <c r="K87" i="12"/>
  <c r="K100" i="12"/>
  <c r="I104" i="12"/>
  <c r="K117" i="12" s="1"/>
  <c r="H107" i="12"/>
  <c r="H106" i="12"/>
  <c r="H105" i="12"/>
  <c r="H104" i="12"/>
  <c r="H103" i="12"/>
  <c r="H102" i="12"/>
  <c r="H101" i="12"/>
  <c r="H100" i="12"/>
  <c r="H90" i="12"/>
  <c r="H89" i="12"/>
  <c r="H88" i="12"/>
  <c r="C104" i="12"/>
  <c r="C91" i="12"/>
  <c r="H87" i="12"/>
  <c r="AG100" i="12"/>
  <c r="AH100" i="12"/>
  <c r="AJ100" i="12"/>
  <c r="AL100" i="12"/>
  <c r="AN113" i="12" s="1"/>
  <c r="AM100" i="12"/>
  <c r="AG101" i="12"/>
  <c r="AH101" i="12"/>
  <c r="AJ101" i="12"/>
  <c r="AO114" i="12" s="1"/>
  <c r="AL101" i="12"/>
  <c r="AN114" i="12" s="1"/>
  <c r="AG102" i="12"/>
  <c r="AH102" i="12"/>
  <c r="AJ102" i="12"/>
  <c r="AO115" i="12" s="1"/>
  <c r="AL102" i="12"/>
  <c r="AN115" i="12" s="1"/>
  <c r="AF103" i="12"/>
  <c r="AG103" i="12"/>
  <c r="AH103" i="12"/>
  <c r="AJ103" i="12"/>
  <c r="AO116" i="12" s="1"/>
  <c r="AL103" i="12"/>
  <c r="AN116" i="12" s="1"/>
  <c r="AG104" i="12"/>
  <c r="AH104" i="12"/>
  <c r="AF105" i="12"/>
  <c r="AG105" i="12"/>
  <c r="AH105" i="12"/>
  <c r="AJ105" i="12"/>
  <c r="AO118" i="12" s="1"/>
  <c r="AL105" i="12"/>
  <c r="AN118" i="12" s="1"/>
  <c r="AF106" i="12"/>
  <c r="AG106" i="12"/>
  <c r="AH106" i="12"/>
  <c r="AJ106" i="12"/>
  <c r="AO119" i="12" s="1"/>
  <c r="AL106" i="12"/>
  <c r="AN119" i="12" s="1"/>
  <c r="AG107" i="12"/>
  <c r="AH107" i="12"/>
  <c r="AG108" i="12"/>
  <c r="AH108" i="12"/>
  <c r="AF109" i="12"/>
  <c r="AG109" i="12"/>
  <c r="AH109" i="12"/>
  <c r="AJ109" i="12"/>
  <c r="AO122" i="12" s="1"/>
  <c r="AL109" i="12"/>
  <c r="AN122" i="12" s="1"/>
  <c r="AF110" i="12"/>
  <c r="AG110" i="12"/>
  <c r="AH110" i="12"/>
  <c r="AJ110" i="12"/>
  <c r="AO123" i="12" s="1"/>
  <c r="AL110" i="12"/>
  <c r="AN123" i="12" s="1"/>
  <c r="AG111" i="12"/>
  <c r="AH111" i="12"/>
  <c r="AJ111" i="12"/>
  <c r="AO124" i="12" s="1"/>
  <c r="AL111" i="12"/>
  <c r="AN124" i="12" s="1"/>
  <c r="J100" i="12"/>
  <c r="L100" i="12"/>
  <c r="S100" i="12"/>
  <c r="U100" i="12"/>
  <c r="V100" i="12"/>
  <c r="W100" i="12"/>
  <c r="K101" i="12"/>
  <c r="L101" i="12"/>
  <c r="S101" i="12"/>
  <c r="V101" i="12"/>
  <c r="W101" i="12"/>
  <c r="K102" i="12"/>
  <c r="L102" i="12"/>
  <c r="V102" i="12"/>
  <c r="W102" i="12"/>
  <c r="K103" i="12"/>
  <c r="L103" i="12"/>
  <c r="S103" i="12"/>
  <c r="V103" i="12"/>
  <c r="W103" i="12"/>
  <c r="R104" i="12"/>
  <c r="W117" i="12" s="1"/>
  <c r="T104" i="12"/>
  <c r="V117" i="12" s="1"/>
  <c r="L105" i="12"/>
  <c r="V105" i="12"/>
  <c r="W105" i="12"/>
  <c r="K106" i="12"/>
  <c r="L106" i="12"/>
  <c r="V106" i="12"/>
  <c r="W106" i="12"/>
  <c r="T107" i="12"/>
  <c r="V120" i="12" s="1"/>
  <c r="K109" i="12"/>
  <c r="L109" i="12"/>
  <c r="V109" i="12"/>
  <c r="W109" i="12"/>
  <c r="K110" i="12"/>
  <c r="L110" i="12"/>
  <c r="V110" i="12"/>
  <c r="W110" i="12"/>
  <c r="K111" i="12"/>
  <c r="L111" i="12"/>
  <c r="V111" i="12"/>
  <c r="W111" i="12"/>
  <c r="B112" i="12"/>
  <c r="D112" i="12"/>
  <c r="E112" i="12"/>
  <c r="O112" i="12"/>
  <c r="P112" i="12"/>
  <c r="AY83" i="11"/>
  <c r="BE94" i="11" s="1"/>
  <c r="GO30" i="15"/>
  <c r="GP9" i="15"/>
  <c r="GP13" i="15"/>
  <c r="GP12" i="15"/>
  <c r="GP11" i="15"/>
  <c r="GP10" i="15"/>
  <c r="GN9" i="15"/>
  <c r="GN10" i="15"/>
  <c r="GN11" i="15"/>
  <c r="GY11" i="15"/>
  <c r="HA11" i="15" s="1"/>
  <c r="HC11" i="15" s="1"/>
  <c r="GN12" i="15"/>
  <c r="GY12" i="15"/>
  <c r="HA12" i="15" s="1"/>
  <c r="HC12" i="15" s="1"/>
  <c r="GN13" i="15"/>
  <c r="GY13" i="15"/>
  <c r="HA13" i="15" s="1"/>
  <c r="HC13" i="15" s="1"/>
  <c r="GN14" i="15"/>
  <c r="GY14" i="15"/>
  <c r="HA14" i="15" s="1"/>
  <c r="HC14" i="15" s="1"/>
  <c r="GP15" i="15"/>
  <c r="GY15" i="15"/>
  <c r="HA15" i="15" s="1"/>
  <c r="HC15" i="15" s="1"/>
  <c r="GN16" i="15"/>
  <c r="GP16" i="15"/>
  <c r="GY16" i="15"/>
  <c r="HA16" i="15" s="1"/>
  <c r="HC16" i="15" s="1"/>
  <c r="GN17" i="15"/>
  <c r="GP17" i="15"/>
  <c r="GY17" i="15"/>
  <c r="HA17" i="15" s="1"/>
  <c r="HC17" i="15" s="1"/>
  <c r="GN18" i="15"/>
  <c r="GP18" i="15"/>
  <c r="GY18" i="15"/>
  <c r="HA18" i="15" s="1"/>
  <c r="HC18" i="15" s="1"/>
  <c r="GN19" i="15"/>
  <c r="GP19" i="15"/>
  <c r="GY19" i="15"/>
  <c r="HA19" i="15" s="1"/>
  <c r="HC19" i="15" s="1"/>
  <c r="GN20" i="15"/>
  <c r="GP20" i="15"/>
  <c r="GY20" i="15"/>
  <c r="HA20" i="15" s="1"/>
  <c r="HC20" i="15" s="1"/>
  <c r="GN21" i="15"/>
  <c r="GP21" i="15"/>
  <c r="GY21" i="15"/>
  <c r="HA21" i="15" s="1"/>
  <c r="HC21" i="15" s="1"/>
  <c r="GP22" i="15"/>
  <c r="GY22" i="15"/>
  <c r="HA22" i="15" s="1"/>
  <c r="HC22" i="15" s="1"/>
  <c r="GN23" i="15"/>
  <c r="GP23" i="15"/>
  <c r="GY23" i="15"/>
  <c r="HA23" i="15" s="1"/>
  <c r="HC23" i="15" s="1"/>
  <c r="GN24" i="15"/>
  <c r="GP24" i="15"/>
  <c r="GY24" i="15"/>
  <c r="HA24" i="15" s="1"/>
  <c r="HC24" i="15" s="1"/>
  <c r="GN25" i="15"/>
  <c r="GP25" i="15"/>
  <c r="GT25" i="15"/>
  <c r="GY25" i="15"/>
  <c r="HA25" i="15" s="1"/>
  <c r="HC25" i="15" s="1"/>
  <c r="GN26" i="15"/>
  <c r="GY26" i="15"/>
  <c r="HA26" i="15" s="1"/>
  <c r="HC26" i="15" s="1"/>
  <c r="GN27" i="15"/>
  <c r="GP27" i="15"/>
  <c r="GT27" i="15"/>
  <c r="GY27" i="15"/>
  <c r="HA27" i="15" s="1"/>
  <c r="HC27" i="15" s="1"/>
  <c r="GN28" i="15"/>
  <c r="GP28" i="15"/>
  <c r="GY28" i="15"/>
  <c r="HA28" i="15" s="1"/>
  <c r="HC28" i="15" s="1"/>
  <c r="GP29" i="15"/>
  <c r="GO31" i="15"/>
  <c r="GO32" i="15"/>
  <c r="GO33" i="15"/>
  <c r="GO34" i="15"/>
  <c r="GO35" i="15"/>
  <c r="GM34" i="15"/>
  <c r="GM28" i="15"/>
  <c r="GM27" i="15"/>
  <c r="GM26" i="15"/>
  <c r="GM25" i="15"/>
  <c r="GM24" i="15"/>
  <c r="GM23" i="15"/>
  <c r="GL22" i="15"/>
  <c r="GM21" i="15"/>
  <c r="GM20" i="15"/>
  <c r="GM19" i="15"/>
  <c r="GM18" i="15"/>
  <c r="GM17" i="15"/>
  <c r="GM16" i="15"/>
  <c r="GL15" i="15"/>
  <c r="GM14" i="15"/>
  <c r="GM13" i="15"/>
  <c r="GM12" i="15"/>
  <c r="GM11" i="15"/>
  <c r="GM10" i="15"/>
  <c r="GM9" i="15"/>
  <c r="AB65" i="15"/>
  <c r="X83" i="15"/>
  <c r="X84" i="15" s="1"/>
  <c r="X85" i="15" s="1"/>
  <c r="V79" i="15"/>
  <c r="H30" i="9" l="1"/>
  <c r="A30" i="9"/>
  <c r="EZ64" i="15"/>
  <c r="FZ65" i="15"/>
  <c r="EW79" i="15"/>
  <c r="FB81" i="15" s="1"/>
  <c r="FC81" i="15" s="1"/>
  <c r="EW90" i="15"/>
  <c r="EW70" i="15"/>
  <c r="EW81" i="15"/>
  <c r="EW94" i="15"/>
  <c r="EW71" i="15"/>
  <c r="FB78" i="15" s="1"/>
  <c r="FC78" i="15" s="1"/>
  <c r="EW92" i="15"/>
  <c r="EW78" i="15"/>
  <c r="FB77" i="15" s="1"/>
  <c r="FC77" i="15" s="1"/>
  <c r="EW93" i="15"/>
  <c r="EW73" i="15"/>
  <c r="FB84" i="15" s="1"/>
  <c r="FC84" i="15" s="1"/>
  <c r="EW74" i="15"/>
  <c r="EW80" i="15"/>
  <c r="FB83" i="15" s="1"/>
  <c r="FC83" i="15" s="1"/>
  <c r="EW77" i="15"/>
  <c r="FB79" i="15" s="1"/>
  <c r="FC79" i="15" s="1"/>
  <c r="EW91" i="15"/>
  <c r="EW69" i="15"/>
  <c r="FB76" i="15" s="1"/>
  <c r="EW76" i="15"/>
  <c r="FB75" i="15" s="1"/>
  <c r="FC75" i="15" s="1"/>
  <c r="EW72" i="15"/>
  <c r="FB82" i="15" s="1"/>
  <c r="FC82" i="15" s="1"/>
  <c r="GO36" i="15"/>
  <c r="GP34" i="15"/>
  <c r="T8" i="9"/>
  <c r="T10" i="9" s="1"/>
  <c r="AE115" i="15"/>
  <c r="V20" i="9"/>
  <c r="Y9" i="9"/>
  <c r="V8" i="9"/>
  <c r="G17" i="9" s="1"/>
  <c r="AK100" i="12"/>
  <c r="AO113" i="12"/>
  <c r="Y14" i="9"/>
  <c r="S104" i="12"/>
  <c r="AG112" i="12"/>
  <c r="N108" i="12"/>
  <c r="N112" i="12" s="1"/>
  <c r="C108" i="12"/>
  <c r="C112" i="12" s="1"/>
  <c r="AH112" i="12"/>
  <c r="I108" i="12"/>
  <c r="K121" i="12" s="1"/>
  <c r="R108" i="12"/>
  <c r="W121" i="12" s="1"/>
  <c r="EV96" i="15"/>
  <c r="K168" i="3"/>
  <c r="F40" i="19"/>
  <c r="I141" i="13"/>
  <c r="I142" i="13" s="1"/>
  <c r="I143" i="13" s="1"/>
  <c r="E144" i="13"/>
  <c r="AL107" i="12"/>
  <c r="AN120" i="12" s="1"/>
  <c r="T108" i="12"/>
  <c r="V121" i="12" s="1"/>
  <c r="V104" i="12"/>
  <c r="S107" i="12"/>
  <c r="S105" i="12"/>
  <c r="AK101" i="12"/>
  <c r="S106" i="12"/>
  <c r="AF107" i="12"/>
  <c r="AF104" i="12"/>
  <c r="AL104" i="12"/>
  <c r="AN117" i="12" s="1"/>
  <c r="AJ107" i="12"/>
  <c r="AO120" i="12" s="1"/>
  <c r="H108" i="12"/>
  <c r="AK103" i="12"/>
  <c r="AK102" i="12"/>
  <c r="AJ104" i="12"/>
  <c r="AO117" i="12" s="1"/>
  <c r="GP35" i="15"/>
  <c r="GP33" i="15"/>
  <c r="GP32" i="15"/>
  <c r="GP31" i="15"/>
  <c r="GP30" i="15"/>
  <c r="GR9" i="15" s="1"/>
  <c r="GM31" i="15"/>
  <c r="GM33" i="15"/>
  <c r="GM35" i="15"/>
  <c r="GM30" i="15"/>
  <c r="GM32" i="15"/>
  <c r="FC76" i="15" l="1"/>
  <c r="EW96" i="15"/>
  <c r="FB80" i="15"/>
  <c r="FC80" i="15" s="1"/>
  <c r="AG54" i="15"/>
  <c r="EZ65" i="15"/>
  <c r="FA87" i="15" s="1"/>
  <c r="GR28" i="15"/>
  <c r="GV18" i="15" s="1"/>
  <c r="GV11" i="15"/>
  <c r="GR30" i="15"/>
  <c r="GR26" i="15"/>
  <c r="GR23" i="15"/>
  <c r="GV13" i="15" s="1"/>
  <c r="GR16" i="15"/>
  <c r="GV12" i="15" s="1"/>
  <c r="GR24" i="15"/>
  <c r="GV14" i="15" s="1"/>
  <c r="GR25" i="15"/>
  <c r="GV15" i="15" s="1"/>
  <c r="GR27" i="15"/>
  <c r="GV17" i="15" s="1"/>
  <c r="V10" i="9"/>
  <c r="L26" i="3"/>
  <c r="C13" i="19" s="1"/>
  <c r="K23" i="3"/>
  <c r="I17" i="9"/>
  <c r="J17" i="9" s="1"/>
  <c r="K17" i="9" s="1"/>
  <c r="F45" i="9"/>
  <c r="R112" i="12"/>
  <c r="W125" i="12" s="1"/>
  <c r="AL108" i="12"/>
  <c r="AN121" i="12" s="1"/>
  <c r="T112" i="12"/>
  <c r="V125" i="12" s="1"/>
  <c r="AF112" i="12"/>
  <c r="FB87" i="15"/>
  <c r="I144" i="13"/>
  <c r="K161" i="13" s="1"/>
  <c r="S110" i="12"/>
  <c r="S109" i="12"/>
  <c r="S111" i="12"/>
  <c r="S112" i="12" s="1"/>
  <c r="S108" i="12"/>
  <c r="I112" i="12"/>
  <c r="K125" i="12" s="1"/>
  <c r="AK104" i="12"/>
  <c r="AK107" i="12"/>
  <c r="AK105" i="12"/>
  <c r="H109" i="12"/>
  <c r="AK106" i="12"/>
  <c r="G112" i="12"/>
  <c r="L125" i="12" s="1"/>
  <c r="H110" i="12"/>
  <c r="H111" i="12"/>
  <c r="H112" i="12" s="1"/>
  <c r="AJ108" i="12"/>
  <c r="AF108" i="12"/>
  <c r="GP36" i="15"/>
  <c r="AG53" i="15" l="1"/>
  <c r="AH54" i="15"/>
  <c r="FB88" i="15"/>
  <c r="FX8" i="15"/>
  <c r="EX8" i="15" s="1"/>
  <c r="FX9" i="15"/>
  <c r="EX9" i="15" s="1"/>
  <c r="FC73" i="15"/>
  <c r="FC68" i="15"/>
  <c r="FC72" i="15"/>
  <c r="FC71" i="15"/>
  <c r="FC67" i="15"/>
  <c r="FC69" i="15"/>
  <c r="FC70" i="15"/>
  <c r="FC74" i="15"/>
  <c r="GQ9" i="15"/>
  <c r="GP38" i="15"/>
  <c r="L153" i="3"/>
  <c r="L152" i="3"/>
  <c r="K25" i="3"/>
  <c r="AK108" i="12"/>
  <c r="AO121" i="12"/>
  <c r="GQ32" i="15"/>
  <c r="AL112" i="12"/>
  <c r="AK111" i="12"/>
  <c r="AK112" i="12" s="1"/>
  <c r="AK110" i="12"/>
  <c r="AK109" i="12"/>
  <c r="AJ112" i="12"/>
  <c r="AO125" i="12" s="1"/>
  <c r="GQ26" i="15"/>
  <c r="GQ35" i="15"/>
  <c r="GQ34" i="15"/>
  <c r="GQ16" i="15"/>
  <c r="GQ21" i="15"/>
  <c r="GQ33" i="15"/>
  <c r="GQ14" i="15"/>
  <c r="GQ22" i="15"/>
  <c r="GQ19" i="15"/>
  <c r="GQ23" i="15"/>
  <c r="GQ20" i="15"/>
  <c r="GQ18" i="15"/>
  <c r="GQ24" i="15"/>
  <c r="GQ17" i="15"/>
  <c r="GQ15" i="15"/>
  <c r="GQ25" i="15"/>
  <c r="GQ10" i="15"/>
  <c r="GQ13" i="15"/>
  <c r="GQ11" i="15"/>
  <c r="GQ29" i="15"/>
  <c r="GQ12" i="15"/>
  <c r="GQ27" i="15"/>
  <c r="GQ28" i="15"/>
  <c r="GQ30" i="15"/>
  <c r="GQ31" i="15"/>
  <c r="AE153" i="3" l="1"/>
  <c r="U42" i="30"/>
  <c r="AH53" i="15"/>
  <c r="AI54" i="15"/>
  <c r="AE152" i="3"/>
  <c r="U41" i="30"/>
  <c r="FA12" i="15"/>
  <c r="FA11" i="15"/>
  <c r="FA17" i="15"/>
  <c r="FA15" i="15"/>
  <c r="FA13" i="15"/>
  <c r="FA18" i="15"/>
  <c r="FA16" i="15"/>
  <c r="FC87" i="15"/>
  <c r="HS9" i="15"/>
  <c r="HS8" i="15"/>
  <c r="GT8" i="15" s="1"/>
  <c r="AG52" i="15"/>
  <c r="FA21" i="15"/>
  <c r="FA22" i="15"/>
  <c r="FA28" i="15"/>
  <c r="FA27" i="15"/>
  <c r="FA20" i="15"/>
  <c r="FA25" i="15"/>
  <c r="FA29" i="15"/>
  <c r="FA23" i="15"/>
  <c r="FA19" i="15"/>
  <c r="FA26" i="15"/>
  <c r="FA24" i="15"/>
  <c r="GR14" i="15"/>
  <c r="GR10" i="15"/>
  <c r="GR20" i="15"/>
  <c r="GV26" i="15" s="1"/>
  <c r="GR15" i="15"/>
  <c r="GR12" i="15"/>
  <c r="GV21" i="15" s="1"/>
  <c r="GR13" i="15"/>
  <c r="GR22" i="15"/>
  <c r="GR19" i="15"/>
  <c r="GV22" i="15" s="1"/>
  <c r="GR17" i="15"/>
  <c r="GV20" i="15" s="1"/>
  <c r="GR11" i="15"/>
  <c r="GV23" i="15" s="1"/>
  <c r="GR21" i="15"/>
  <c r="GV28" i="15" s="1"/>
  <c r="GR18" i="15"/>
  <c r="GV24" i="15" s="1"/>
  <c r="GR34" i="15"/>
  <c r="GR33" i="15"/>
  <c r="GR32" i="15"/>
  <c r="GR35" i="15"/>
  <c r="GR31" i="15"/>
  <c r="L183" i="3"/>
  <c r="AE183" i="3" s="1"/>
  <c r="L184" i="3"/>
  <c r="AE184" i="3" s="1"/>
  <c r="K124" i="3"/>
  <c r="T15" i="30" s="1"/>
  <c r="AN125" i="12"/>
  <c r="O123" i="3"/>
  <c r="BW29" i="16"/>
  <c r="BW28" i="16"/>
  <c r="J31" i="9"/>
  <c r="J20" i="17"/>
  <c r="GW24" i="15" l="1"/>
  <c r="GW20" i="15"/>
  <c r="GW22" i="15"/>
  <c r="AI53" i="15"/>
  <c r="AH52" i="15"/>
  <c r="GW23" i="15"/>
  <c r="J31" i="3"/>
  <c r="J125" i="3" s="1"/>
  <c r="S16" i="30" s="1"/>
  <c r="GW21" i="15"/>
  <c r="AG51" i="15"/>
  <c r="JK9" i="15"/>
  <c r="JK8" i="15"/>
  <c r="IL8" i="15" s="1"/>
  <c r="GW28" i="15"/>
  <c r="GW26" i="15"/>
  <c r="GT9" i="15"/>
  <c r="GV27" i="15"/>
  <c r="GW27" i="15" s="1"/>
  <c r="GV25" i="15"/>
  <c r="GW25" i="15" s="1"/>
  <c r="GV19" i="15"/>
  <c r="GW19" i="15" s="1"/>
  <c r="GR36" i="15"/>
  <c r="K126" i="3"/>
  <c r="K157" i="3"/>
  <c r="H31" i="9"/>
  <c r="AH51" i="15" l="1"/>
  <c r="AI52" i="15"/>
  <c r="AE188" i="3"/>
  <c r="T18" i="30"/>
  <c r="AI12" i="30" s="1"/>
  <c r="IL9" i="15"/>
  <c r="IO16" i="15" s="1"/>
  <c r="J158" i="3"/>
  <c r="GW16" i="15"/>
  <c r="GW15" i="15"/>
  <c r="GW12" i="15"/>
  <c r="GW18" i="15"/>
  <c r="GW11" i="15"/>
  <c r="GW14" i="15"/>
  <c r="GW17" i="15"/>
  <c r="GW13" i="15"/>
  <c r="AG50" i="15"/>
  <c r="LB9" i="15"/>
  <c r="K188" i="3"/>
  <c r="K156" i="3"/>
  <c r="S162" i="3"/>
  <c r="R162" i="3"/>
  <c r="S167" i="3"/>
  <c r="AI21" i="30" l="1"/>
  <c r="AH50" i="15"/>
  <c r="AI51" i="15"/>
  <c r="GW31" i="15"/>
  <c r="GW30" i="15"/>
  <c r="AG49" i="15"/>
  <c r="OH9" i="15" s="1"/>
  <c r="MR9" i="15"/>
  <c r="D100" i="16"/>
  <c r="CG13" i="16" s="1"/>
  <c r="AL93" i="12"/>
  <c r="S90" i="12"/>
  <c r="S89" i="12"/>
  <c r="S88" i="12"/>
  <c r="S87" i="12"/>
  <c r="R94" i="12"/>
  <c r="W107" i="12" s="1"/>
  <c r="R81" i="12"/>
  <c r="R91" i="12"/>
  <c r="R78" i="12"/>
  <c r="G91" i="12"/>
  <c r="G94" i="12"/>
  <c r="JQ37" i="15"/>
  <c r="IH21" i="15"/>
  <c r="JZ20" i="15"/>
  <c r="G63" i="12"/>
  <c r="BO45" i="11"/>
  <c r="AJ90" i="12"/>
  <c r="AO103" i="12" s="1"/>
  <c r="AL98" i="12"/>
  <c r="AN111" i="12" s="1"/>
  <c r="AJ98" i="12"/>
  <c r="AO111" i="12" s="1"/>
  <c r="AH98" i="12"/>
  <c r="AG98" i="12"/>
  <c r="AF98" i="12"/>
  <c r="AL97" i="12"/>
  <c r="AN110" i="12" s="1"/>
  <c r="AJ97" i="12"/>
  <c r="AO110" i="12" s="1"/>
  <c r="AH97" i="12"/>
  <c r="AG97" i="12"/>
  <c r="AF97" i="12"/>
  <c r="AL96" i="12"/>
  <c r="AN109" i="12" s="1"/>
  <c r="AJ96" i="12"/>
  <c r="AO109" i="12" s="1"/>
  <c r="AH96" i="12"/>
  <c r="AG96" i="12"/>
  <c r="AF96" i="12"/>
  <c r="AH95" i="12"/>
  <c r="AG95" i="12"/>
  <c r="AH94" i="12"/>
  <c r="AG94" i="12"/>
  <c r="AJ93" i="12"/>
  <c r="AO106" i="12" s="1"/>
  <c r="AH93" i="12"/>
  <c r="AG93" i="12"/>
  <c r="AF93" i="12"/>
  <c r="AL92" i="12"/>
  <c r="AN105" i="12" s="1"/>
  <c r="AJ92" i="12"/>
  <c r="AO105" i="12" s="1"/>
  <c r="AH92" i="12"/>
  <c r="AG92" i="12"/>
  <c r="AF92" i="12"/>
  <c r="AH91" i="12"/>
  <c r="AG91" i="12"/>
  <c r="AL90" i="12"/>
  <c r="AN103" i="12" s="1"/>
  <c r="AH90" i="12"/>
  <c r="AG90" i="12"/>
  <c r="AF90" i="12"/>
  <c r="AL89" i="12"/>
  <c r="AN102" i="12" s="1"/>
  <c r="AJ89" i="12"/>
  <c r="AO102" i="12" s="1"/>
  <c r="AH89" i="12"/>
  <c r="AG89" i="12"/>
  <c r="AF89" i="12"/>
  <c r="AL88" i="12"/>
  <c r="AN101" i="12" s="1"/>
  <c r="AJ88" i="12"/>
  <c r="AO101" i="12" s="1"/>
  <c r="AH88" i="12"/>
  <c r="AG88" i="12"/>
  <c r="AF88" i="12"/>
  <c r="AM87" i="12"/>
  <c r="AL87" i="12"/>
  <c r="AN100" i="12" s="1"/>
  <c r="AJ87" i="12"/>
  <c r="AO100" i="12" s="1"/>
  <c r="AH87" i="12"/>
  <c r="AG87" i="12"/>
  <c r="K92" i="12"/>
  <c r="I94" i="12"/>
  <c r="I91" i="12"/>
  <c r="K104" i="12" s="1"/>
  <c r="L98" i="12"/>
  <c r="L97" i="12"/>
  <c r="L93" i="12"/>
  <c r="L92" i="12"/>
  <c r="C94" i="12"/>
  <c r="C95" i="12" s="1"/>
  <c r="W97" i="12"/>
  <c r="W92" i="12"/>
  <c r="W89" i="12"/>
  <c r="R49" i="12"/>
  <c r="R48" i="12"/>
  <c r="T94" i="12"/>
  <c r="V107" i="12" s="1"/>
  <c r="N91" i="12"/>
  <c r="AF91" i="12" s="1"/>
  <c r="N78" i="12"/>
  <c r="N81" i="12"/>
  <c r="P99" i="12"/>
  <c r="O99" i="12"/>
  <c r="E99" i="12"/>
  <c r="D99" i="12"/>
  <c r="B99" i="12"/>
  <c r="W98" i="12"/>
  <c r="V98" i="12"/>
  <c r="K98" i="12"/>
  <c r="V97" i="12"/>
  <c r="K97" i="12"/>
  <c r="W96" i="12"/>
  <c r="V96" i="12"/>
  <c r="L96" i="12"/>
  <c r="K96" i="12"/>
  <c r="W93" i="12"/>
  <c r="V93" i="12"/>
  <c r="K93" i="12"/>
  <c r="V92" i="12"/>
  <c r="W90" i="12"/>
  <c r="V90" i="12"/>
  <c r="L90" i="12"/>
  <c r="K90" i="12"/>
  <c r="V89" i="12"/>
  <c r="K89" i="12"/>
  <c r="W88" i="12"/>
  <c r="V88" i="12"/>
  <c r="L88" i="12"/>
  <c r="K88" i="12"/>
  <c r="W87" i="12"/>
  <c r="V87" i="12"/>
  <c r="U87" i="12"/>
  <c r="L87" i="12"/>
  <c r="J87" i="12"/>
  <c r="AH49" i="15" l="1"/>
  <c r="AI50" i="15"/>
  <c r="JW31" i="15"/>
  <c r="IE30" i="15"/>
  <c r="I18" i="9"/>
  <c r="J18" i="9" s="1"/>
  <c r="K18" i="9" s="1"/>
  <c r="I95" i="12"/>
  <c r="K108" i="12" s="1"/>
  <c r="K107" i="12"/>
  <c r="L107" i="12"/>
  <c r="G95" i="12"/>
  <c r="L108" i="12" s="1"/>
  <c r="H91" i="12"/>
  <c r="H92" i="12"/>
  <c r="L104" i="12"/>
  <c r="AS25" i="12"/>
  <c r="AT25" i="12" s="1"/>
  <c r="AN106" i="12"/>
  <c r="S91" i="12"/>
  <c r="W104" i="12"/>
  <c r="CH13" i="16"/>
  <c r="CG20" i="16"/>
  <c r="AF94" i="12"/>
  <c r="AH99" i="12"/>
  <c r="H94" i="12"/>
  <c r="AL91" i="12"/>
  <c r="AN104" i="12" s="1"/>
  <c r="AG99" i="12"/>
  <c r="C99" i="12"/>
  <c r="AL94" i="12"/>
  <c r="AN107" i="12" s="1"/>
  <c r="AJ91" i="12"/>
  <c r="S92" i="12"/>
  <c r="N82" i="12"/>
  <c r="R82" i="12"/>
  <c r="S93" i="12"/>
  <c r="AJ94" i="12"/>
  <c r="AO107" i="12" s="1"/>
  <c r="H93" i="12"/>
  <c r="N95" i="12"/>
  <c r="T95" i="12"/>
  <c r="V108" i="12" s="1"/>
  <c r="R95" i="12"/>
  <c r="W108" i="12" s="1"/>
  <c r="S94" i="12"/>
  <c r="JW33" i="15"/>
  <c r="AK89" i="12"/>
  <c r="AK87" i="12"/>
  <c r="AK88" i="12"/>
  <c r="AK90" i="12"/>
  <c r="L89" i="12"/>
  <c r="W91" i="12"/>
  <c r="W94" i="12"/>
  <c r="AI49" i="15" l="1"/>
  <c r="K26" i="3"/>
  <c r="J25" i="3"/>
  <c r="J124" i="3" s="1"/>
  <c r="S15" i="30" s="1"/>
  <c r="H96" i="12"/>
  <c r="AK91" i="12"/>
  <c r="AO104" i="12"/>
  <c r="I99" i="12"/>
  <c r="K112" i="12" s="1"/>
  <c r="CH20" i="16"/>
  <c r="CH23" i="16"/>
  <c r="G99" i="12"/>
  <c r="L112" i="12" s="1"/>
  <c r="AL95" i="12"/>
  <c r="AN108" i="12" s="1"/>
  <c r="T99" i="12"/>
  <c r="H97" i="12"/>
  <c r="AK93" i="12"/>
  <c r="AK92" i="12"/>
  <c r="AK94" i="12"/>
  <c r="H98" i="12"/>
  <c r="H99" i="12" s="1"/>
  <c r="H95" i="12"/>
  <c r="S98" i="12"/>
  <c r="S99" i="12" s="1"/>
  <c r="W95" i="12"/>
  <c r="S97" i="12"/>
  <c r="S96" i="12"/>
  <c r="S95" i="12"/>
  <c r="N99" i="12"/>
  <c r="AF99" i="12" s="1"/>
  <c r="AF95" i="12"/>
  <c r="AJ95" i="12"/>
  <c r="AO108" i="12" s="1"/>
  <c r="R99" i="12"/>
  <c r="W112" i="12" s="1"/>
  <c r="K153" i="3" l="1"/>
  <c r="T42" i="30" s="1"/>
  <c r="K152" i="3"/>
  <c r="T41" i="30" s="1"/>
  <c r="J157" i="3"/>
  <c r="J126" i="3"/>
  <c r="S18" i="30" s="1"/>
  <c r="AH12" i="30" s="1"/>
  <c r="AL99" i="12"/>
  <c r="AN112" i="12" s="1"/>
  <c r="V112" i="12"/>
  <c r="AJ99" i="12"/>
  <c r="AO112" i="12" s="1"/>
  <c r="AK95" i="12"/>
  <c r="AK98" i="12"/>
  <c r="AK99" i="12" s="1"/>
  <c r="AK96" i="12"/>
  <c r="AK97" i="12"/>
  <c r="N95" i="11"/>
  <c r="O93" i="11"/>
  <c r="O89" i="11"/>
  <c r="N89" i="11"/>
  <c r="M89" i="11"/>
  <c r="AQ82" i="11" s="1"/>
  <c r="L89" i="11"/>
  <c r="AP82" i="11" s="1"/>
  <c r="AL2" i="11"/>
  <c r="BE82" i="11"/>
  <c r="BE66" i="11"/>
  <c r="BB71" i="11"/>
  <c r="BB69" i="11"/>
  <c r="BB82" i="11"/>
  <c r="BH93" i="11" s="1"/>
  <c r="AZ77" i="11"/>
  <c r="AY85" i="11"/>
  <c r="AY84" i="11"/>
  <c r="BB84" i="11" s="1"/>
  <c r="AY86" i="11"/>
  <c r="AY75" i="11"/>
  <c r="AY72" i="11"/>
  <c r="AY80" i="11"/>
  <c r="BE91" i="11" s="1"/>
  <c r="AH21" i="30" l="1"/>
  <c r="K183" i="3"/>
  <c r="K184" i="3"/>
  <c r="J188" i="3"/>
  <c r="J156" i="3"/>
  <c r="AR61" i="12"/>
  <c r="E113" i="13"/>
  <c r="E111" i="13"/>
  <c r="I39" i="17"/>
  <c r="J21" i="17"/>
  <c r="J33" i="17"/>
  <c r="H75" i="16"/>
  <c r="E89" i="16"/>
  <c r="G75" i="16"/>
  <c r="G88" i="16"/>
  <c r="G49" i="16"/>
  <c r="G62" i="16"/>
  <c r="G36" i="16"/>
  <c r="G23" i="16"/>
  <c r="H26" i="16"/>
  <c r="BD77" i="11"/>
  <c r="J100" i="16"/>
  <c r="C100" i="16"/>
  <c r="J99" i="16"/>
  <c r="H99" i="16"/>
  <c r="E99" i="16"/>
  <c r="J98" i="16"/>
  <c r="H98" i="16"/>
  <c r="E98" i="16"/>
  <c r="J97" i="16"/>
  <c r="H97" i="16"/>
  <c r="E97" i="16"/>
  <c r="J96" i="16"/>
  <c r="H96" i="16"/>
  <c r="E96" i="16"/>
  <c r="J95" i="16"/>
  <c r="H95" i="16"/>
  <c r="E95" i="16"/>
  <c r="J94" i="16"/>
  <c r="H94" i="16"/>
  <c r="E94" i="16"/>
  <c r="E100" i="16" s="1"/>
  <c r="J93" i="16"/>
  <c r="H93" i="16"/>
  <c r="E93" i="16"/>
  <c r="J92" i="16"/>
  <c r="H92" i="16"/>
  <c r="E92" i="16"/>
  <c r="J91" i="16"/>
  <c r="H91" i="16"/>
  <c r="E91" i="16"/>
  <c r="J90" i="16"/>
  <c r="H90" i="16"/>
  <c r="E90" i="16"/>
  <c r="J89" i="16"/>
  <c r="H89" i="16"/>
  <c r="J88" i="16"/>
  <c r="H88" i="16"/>
  <c r="E88" i="16"/>
  <c r="E27" i="16"/>
  <c r="J80" i="16"/>
  <c r="J39" i="17" l="1"/>
  <c r="K39" i="17" s="1"/>
  <c r="J35" i="17"/>
  <c r="J24" i="17"/>
  <c r="L39" i="17" l="1"/>
  <c r="M39" i="17" s="1"/>
  <c r="J36" i="17"/>
  <c r="J60" i="3" s="1"/>
  <c r="CG23" i="16"/>
  <c r="CK9" i="16"/>
  <c r="CG35" i="16"/>
  <c r="CG28" i="16"/>
  <c r="CG29" i="16"/>
  <c r="CG36" i="16"/>
  <c r="CG30" i="16"/>
  <c r="C122" i="13"/>
  <c r="C123" i="13" s="1"/>
  <c r="C127" i="13" s="1"/>
  <c r="C119" i="13"/>
  <c r="B127" i="13"/>
  <c r="K126" i="13"/>
  <c r="E126" i="13"/>
  <c r="K125" i="13"/>
  <c r="E125" i="13"/>
  <c r="K124" i="13"/>
  <c r="E124" i="13"/>
  <c r="D123" i="13"/>
  <c r="K122" i="13"/>
  <c r="E122" i="13"/>
  <c r="E121" i="13"/>
  <c r="E120" i="13"/>
  <c r="D119" i="13"/>
  <c r="E118" i="13"/>
  <c r="E117" i="13"/>
  <c r="E116" i="13"/>
  <c r="C115" i="13"/>
  <c r="D114" i="13"/>
  <c r="D115" i="13" s="1"/>
  <c r="E112" i="13"/>
  <c r="J111" i="13"/>
  <c r="H76" i="16"/>
  <c r="J37" i="16"/>
  <c r="E18" i="9"/>
  <c r="E19" i="9"/>
  <c r="D18" i="9"/>
  <c r="D19" i="9"/>
  <c r="K89" i="11"/>
  <c r="B101" i="11"/>
  <c r="AX87" i="11"/>
  <c r="AY87" i="11"/>
  <c r="BE86" i="11"/>
  <c r="BB86" i="11"/>
  <c r="AZ86" i="11"/>
  <c r="BB85" i="11"/>
  <c r="AZ85" i="11"/>
  <c r="AZ84" i="11"/>
  <c r="BE83" i="11"/>
  <c r="BB83" i="11"/>
  <c r="BH94" i="11" s="1"/>
  <c r="BH82" i="11"/>
  <c r="AZ82" i="11"/>
  <c r="BE81" i="11"/>
  <c r="BB81" i="11"/>
  <c r="AZ81" i="11"/>
  <c r="BB80" i="11"/>
  <c r="BE79" i="11"/>
  <c r="BB79" i="11"/>
  <c r="AZ79" i="11"/>
  <c r="BE78" i="11"/>
  <c r="BB78" i="11"/>
  <c r="AZ78" i="11"/>
  <c r="BE77" i="11"/>
  <c r="BB77" i="11"/>
  <c r="H92" i="11"/>
  <c r="G89" i="11"/>
  <c r="P102" i="11" s="1"/>
  <c r="M98" i="11"/>
  <c r="AQ91" i="11" s="1"/>
  <c r="F101" i="11"/>
  <c r="O114" i="11" s="1"/>
  <c r="E101" i="11"/>
  <c r="N114" i="11" s="1"/>
  <c r="D101" i="11"/>
  <c r="M114" i="11" s="1"/>
  <c r="C101" i="11"/>
  <c r="O100" i="11"/>
  <c r="N100" i="11"/>
  <c r="M100" i="11"/>
  <c r="AQ93" i="11" s="1"/>
  <c r="L100" i="11"/>
  <c r="AP93" i="11" s="1"/>
  <c r="J100" i="11"/>
  <c r="S113" i="11" s="1"/>
  <c r="I100" i="11"/>
  <c r="R113" i="11" s="1"/>
  <c r="H100" i="11"/>
  <c r="Q113" i="11" s="1"/>
  <c r="G100" i="11"/>
  <c r="P113" i="11" s="1"/>
  <c r="O99" i="11"/>
  <c r="N99" i="11"/>
  <c r="M99" i="11"/>
  <c r="AQ92" i="11" s="1"/>
  <c r="L99" i="11"/>
  <c r="AP92" i="11" s="1"/>
  <c r="J99" i="11"/>
  <c r="S112" i="11" s="1"/>
  <c r="I99" i="11"/>
  <c r="R112" i="11" s="1"/>
  <c r="H99" i="11"/>
  <c r="Q112" i="11" s="1"/>
  <c r="G99" i="11"/>
  <c r="P112" i="11" s="1"/>
  <c r="O98" i="11"/>
  <c r="N98" i="11"/>
  <c r="L98" i="11"/>
  <c r="AP91" i="11" s="1"/>
  <c r="J98" i="11"/>
  <c r="S111" i="11" s="1"/>
  <c r="I98" i="11"/>
  <c r="R111" i="11" s="1"/>
  <c r="H98" i="11"/>
  <c r="Q111" i="11" s="1"/>
  <c r="G98" i="11"/>
  <c r="P111" i="11" s="1"/>
  <c r="O97" i="11"/>
  <c r="N97" i="11"/>
  <c r="M97" i="11"/>
  <c r="AQ90" i="11" s="1"/>
  <c r="L97" i="11"/>
  <c r="AP90" i="11" s="1"/>
  <c r="J97" i="11"/>
  <c r="S110" i="11" s="1"/>
  <c r="I97" i="11"/>
  <c r="R110" i="11" s="1"/>
  <c r="H97" i="11"/>
  <c r="Q110" i="11" s="1"/>
  <c r="G97" i="11"/>
  <c r="P110" i="11" s="1"/>
  <c r="O96" i="11"/>
  <c r="N96" i="11"/>
  <c r="M96" i="11"/>
  <c r="AQ89" i="11" s="1"/>
  <c r="L96" i="11"/>
  <c r="AP89" i="11" s="1"/>
  <c r="J96" i="11"/>
  <c r="S109" i="11" s="1"/>
  <c r="I96" i="11"/>
  <c r="R109" i="11" s="1"/>
  <c r="H96" i="11"/>
  <c r="Q109" i="11" s="1"/>
  <c r="G96" i="11"/>
  <c r="P109" i="11" s="1"/>
  <c r="O95" i="11"/>
  <c r="M95" i="11"/>
  <c r="AQ88" i="11" s="1"/>
  <c r="L95" i="11"/>
  <c r="AP88" i="11" s="1"/>
  <c r="J95" i="11"/>
  <c r="S108" i="11" s="1"/>
  <c r="I95" i="11"/>
  <c r="R108" i="11" s="1"/>
  <c r="H95" i="11"/>
  <c r="Q108" i="11" s="1"/>
  <c r="G95" i="11"/>
  <c r="P108" i="11" s="1"/>
  <c r="O94" i="11"/>
  <c r="N94" i="11"/>
  <c r="M94" i="11"/>
  <c r="AQ87" i="11" s="1"/>
  <c r="L94" i="11"/>
  <c r="AP87" i="11" s="1"/>
  <c r="J94" i="11"/>
  <c r="S107" i="11" s="1"/>
  <c r="I94" i="11"/>
  <c r="R107" i="11" s="1"/>
  <c r="H94" i="11"/>
  <c r="Q107" i="11" s="1"/>
  <c r="G94" i="11"/>
  <c r="P107" i="11" s="1"/>
  <c r="N93" i="11"/>
  <c r="M93" i="11"/>
  <c r="AQ86" i="11" s="1"/>
  <c r="L93" i="11"/>
  <c r="AP86" i="11" s="1"/>
  <c r="J93" i="11"/>
  <c r="I93" i="11"/>
  <c r="H93" i="11"/>
  <c r="G93" i="11"/>
  <c r="O92" i="11"/>
  <c r="N92" i="11"/>
  <c r="M92" i="11"/>
  <c r="AQ85" i="11" s="1"/>
  <c r="L92" i="11"/>
  <c r="AP85" i="11" s="1"/>
  <c r="J92" i="11"/>
  <c r="I92" i="11"/>
  <c r="G92" i="11"/>
  <c r="O91" i="11"/>
  <c r="N91" i="11"/>
  <c r="M91" i="11"/>
  <c r="AQ84" i="11" s="1"/>
  <c r="L91" i="11"/>
  <c r="AP84" i="11" s="1"/>
  <c r="J91" i="11"/>
  <c r="I91" i="11"/>
  <c r="H91" i="11"/>
  <c r="G91" i="11"/>
  <c r="O90" i="11"/>
  <c r="N90" i="11"/>
  <c r="M90" i="11"/>
  <c r="AQ83" i="11" s="1"/>
  <c r="L90" i="11"/>
  <c r="AP83" i="11" s="1"/>
  <c r="J90" i="11"/>
  <c r="I90" i="11"/>
  <c r="H90" i="11"/>
  <c r="G90" i="11"/>
  <c r="J89" i="11"/>
  <c r="I89" i="11"/>
  <c r="R102" i="11" s="1"/>
  <c r="H89" i="11"/>
  <c r="IH25" i="15"/>
  <c r="IF26" i="15"/>
  <c r="IE26" i="15"/>
  <c r="L114" i="11" l="1"/>
  <c r="U101" i="11"/>
  <c r="BE107" i="11"/>
  <c r="Q102" i="11"/>
  <c r="S102" i="11"/>
  <c r="P106" i="11"/>
  <c r="BH89" i="11"/>
  <c r="BE98" i="11"/>
  <c r="P104" i="11"/>
  <c r="Q106" i="11"/>
  <c r="P105" i="11"/>
  <c r="R105" i="11"/>
  <c r="Q104" i="11"/>
  <c r="R103" i="11"/>
  <c r="R104" i="11"/>
  <c r="S105" i="11"/>
  <c r="S106" i="11"/>
  <c r="BH90" i="11"/>
  <c r="BH92" i="11"/>
  <c r="Q103" i="11"/>
  <c r="R106" i="11"/>
  <c r="S103" i="11"/>
  <c r="Q105" i="11"/>
  <c r="P103" i="11"/>
  <c r="S104" i="11"/>
  <c r="BH88" i="11"/>
  <c r="BH80" i="11"/>
  <c r="BH91" i="11"/>
  <c r="K132" i="13"/>
  <c r="K140" i="13"/>
  <c r="K136" i="13"/>
  <c r="E114" i="13"/>
  <c r="E115" i="13" s="1"/>
  <c r="F18" i="9"/>
  <c r="F46" i="9" s="1"/>
  <c r="V85" i="11"/>
  <c r="E119" i="13"/>
  <c r="E123" i="13"/>
  <c r="I115" i="13"/>
  <c r="I119" i="13" s="1"/>
  <c r="I123" i="13" s="1"/>
  <c r="U15" i="9"/>
  <c r="U16" i="9" s="1"/>
  <c r="U19" i="9" s="1"/>
  <c r="U20" i="9" s="1"/>
  <c r="BB87" i="11"/>
  <c r="H101" i="11"/>
  <c r="Q114" i="11" s="1"/>
  <c r="I101" i="11"/>
  <c r="R114" i="11" s="1"/>
  <c r="G101" i="11"/>
  <c r="P114" i="11" s="1"/>
  <c r="J101" i="11"/>
  <c r="S114" i="11" s="1"/>
  <c r="BB108" i="11" l="1"/>
  <c r="BH119" i="11" s="1"/>
  <c r="BE108" i="11"/>
  <c r="BE106" i="11"/>
  <c r="BB106" i="11"/>
  <c r="BH117" i="11" s="1"/>
  <c r="BB107" i="11"/>
  <c r="BH118" i="11" s="1"/>
  <c r="BB96" i="11"/>
  <c r="BH96" i="11" s="1"/>
  <c r="BB95" i="11"/>
  <c r="BH95" i="11" s="1"/>
  <c r="BE95" i="11"/>
  <c r="BB97" i="11"/>
  <c r="BE96" i="11"/>
  <c r="BE97" i="11"/>
  <c r="I124" i="13"/>
  <c r="I125" i="13" s="1"/>
  <c r="I126" i="13" s="1"/>
  <c r="E127" i="13"/>
  <c r="BH106" i="11" l="1"/>
  <c r="BH107" i="11"/>
  <c r="BH108" i="11"/>
  <c r="BB109" i="11"/>
  <c r="BH97" i="11"/>
  <c r="BB98" i="11"/>
  <c r="BH98" i="11" s="1"/>
  <c r="I127" i="13"/>
  <c r="BH120" i="11" l="1"/>
  <c r="BH109" i="11"/>
  <c r="K144" i="13"/>
  <c r="A200" i="3"/>
  <c r="A192" i="3"/>
  <c r="D11" i="2" l="1"/>
  <c r="D11" i="19"/>
  <c r="O192" i="3" l="1"/>
  <c r="O200" i="3"/>
  <c r="F19" i="9"/>
  <c r="T15" i="9"/>
  <c r="T16" i="9" s="1"/>
  <c r="T19" i="9" l="1"/>
  <c r="T20" i="9" l="1"/>
  <c r="G19" i="9"/>
  <c r="I23" i="3" s="1"/>
  <c r="C42" i="17"/>
  <c r="C43" i="17" s="1"/>
  <c r="C61" i="3" s="1"/>
  <c r="J26" i="3" l="1"/>
  <c r="I19" i="9"/>
  <c r="J19" i="9" s="1"/>
  <c r="K19" i="9" s="1"/>
  <c r="I21" i="17"/>
  <c r="J153" i="3" l="1"/>
  <c r="J152" i="3"/>
  <c r="S41" i="30" s="1"/>
  <c r="I25" i="3"/>
  <c r="I124" i="3" s="1"/>
  <c r="R15" i="30" s="1"/>
  <c r="I24" i="17"/>
  <c r="H52" i="4"/>
  <c r="H53" i="4"/>
  <c r="H54" i="4"/>
  <c r="H55" i="4"/>
  <c r="H57" i="4"/>
  <c r="H59" i="4"/>
  <c r="H60" i="4"/>
  <c r="H61" i="4"/>
  <c r="H62" i="4"/>
  <c r="H44" i="4"/>
  <c r="H37" i="4"/>
  <c r="J26" i="13"/>
  <c r="J43" i="13"/>
  <c r="J60" i="13"/>
  <c r="J77" i="13"/>
  <c r="J94" i="13"/>
  <c r="C108" i="13"/>
  <c r="B110" i="13"/>
  <c r="K109" i="13"/>
  <c r="E109" i="13"/>
  <c r="K108" i="13"/>
  <c r="E108" i="13"/>
  <c r="K107" i="13"/>
  <c r="E107" i="13"/>
  <c r="D106" i="13"/>
  <c r="K123" i="13" s="1"/>
  <c r="C106" i="13"/>
  <c r="K105" i="13"/>
  <c r="E105" i="13"/>
  <c r="E104" i="13"/>
  <c r="E103" i="13"/>
  <c r="D102" i="13"/>
  <c r="K119" i="13" s="1"/>
  <c r="C102" i="13"/>
  <c r="E101" i="13"/>
  <c r="E100" i="13"/>
  <c r="E99" i="13"/>
  <c r="C98" i="13"/>
  <c r="D97" i="13"/>
  <c r="D96" i="13"/>
  <c r="E95" i="13"/>
  <c r="E94" i="13"/>
  <c r="S16" i="16"/>
  <c r="S55" i="16"/>
  <c r="D87" i="16"/>
  <c r="CF13" i="16" s="1"/>
  <c r="CF20" i="16" s="1"/>
  <c r="O77" i="16"/>
  <c r="BK24" i="12"/>
  <c r="BJ24" i="12"/>
  <c r="BG24" i="12"/>
  <c r="BH24" i="12"/>
  <c r="BF23" i="12"/>
  <c r="BF24" i="12"/>
  <c r="BB18" i="12"/>
  <c r="BC18" i="12" s="1"/>
  <c r="BB24" i="12"/>
  <c r="BC24" i="12" s="1"/>
  <c r="AY19" i="12"/>
  <c r="AY20" i="12"/>
  <c r="AY21" i="12"/>
  <c r="AY22" i="12"/>
  <c r="AY23" i="12"/>
  <c r="AY24" i="12"/>
  <c r="AY18" i="12"/>
  <c r="AJ74" i="12"/>
  <c r="AO87" i="12" s="1"/>
  <c r="AJ75" i="12"/>
  <c r="AO88" i="12" s="1"/>
  <c r="AJ76" i="12"/>
  <c r="AO89" i="12" s="1"/>
  <c r="AJ77" i="12"/>
  <c r="AO90" i="12" s="1"/>
  <c r="AJ79" i="12"/>
  <c r="AO92" i="12" s="1"/>
  <c r="AJ80" i="12"/>
  <c r="AO93" i="12" s="1"/>
  <c r="AJ83" i="12"/>
  <c r="AO96" i="12" s="1"/>
  <c r="AJ84" i="12"/>
  <c r="AO97" i="12" s="1"/>
  <c r="AO98" i="12"/>
  <c r="K58" i="12"/>
  <c r="K84" i="12"/>
  <c r="G81" i="12"/>
  <c r="L94" i="12" s="1"/>
  <c r="G78" i="12"/>
  <c r="L91" i="12" s="1"/>
  <c r="V76" i="12"/>
  <c r="AG74" i="12"/>
  <c r="P144" i="12"/>
  <c r="P147" i="12"/>
  <c r="P148" i="12"/>
  <c r="P149" i="12"/>
  <c r="J87" i="16"/>
  <c r="C87" i="16"/>
  <c r="H100" i="16" s="1"/>
  <c r="J86" i="16"/>
  <c r="H86" i="16"/>
  <c r="E86" i="16"/>
  <c r="I99" i="16" s="1"/>
  <c r="J85" i="16"/>
  <c r="H85" i="16"/>
  <c r="E85" i="16"/>
  <c r="I98" i="16" s="1"/>
  <c r="J84" i="16"/>
  <c r="H84" i="16"/>
  <c r="E84" i="16"/>
  <c r="I97" i="16" s="1"/>
  <c r="J83" i="16"/>
  <c r="H83" i="16"/>
  <c r="E83" i="16"/>
  <c r="I96" i="16" s="1"/>
  <c r="J82" i="16"/>
  <c r="H82" i="16"/>
  <c r="E82" i="16"/>
  <c r="I95" i="16" s="1"/>
  <c r="J81" i="16"/>
  <c r="H81" i="16"/>
  <c r="E81" i="16"/>
  <c r="I94" i="16" s="1"/>
  <c r="H80" i="16"/>
  <c r="E80" i="16"/>
  <c r="I93" i="16" s="1"/>
  <c r="J79" i="16"/>
  <c r="H79" i="16"/>
  <c r="E79" i="16"/>
  <c r="I92" i="16" s="1"/>
  <c r="J78" i="16"/>
  <c r="H78" i="16"/>
  <c r="E78" i="16"/>
  <c r="I91" i="16" s="1"/>
  <c r="J77" i="16"/>
  <c r="H77" i="16"/>
  <c r="E77" i="16"/>
  <c r="I90" i="16" s="1"/>
  <c r="J76" i="16"/>
  <c r="E76" i="16"/>
  <c r="I89" i="16" s="1"/>
  <c r="J75" i="16"/>
  <c r="E75" i="16"/>
  <c r="I88" i="16" s="1"/>
  <c r="IH9" i="15"/>
  <c r="IH23" i="15"/>
  <c r="JZ23" i="15"/>
  <c r="JW23" i="15"/>
  <c r="ID22" i="15"/>
  <c r="ID15" i="15"/>
  <c r="JV15" i="15"/>
  <c r="IG35" i="15"/>
  <c r="IG34" i="15"/>
  <c r="IG33" i="15"/>
  <c r="IG32" i="15"/>
  <c r="IG31" i="15"/>
  <c r="IG30" i="15"/>
  <c r="IH29" i="15"/>
  <c r="IQ28" i="15"/>
  <c r="IS28" i="15" s="1"/>
  <c r="IU28" i="15" s="1"/>
  <c r="IH28" i="15"/>
  <c r="IF28" i="15"/>
  <c r="IE28" i="15"/>
  <c r="IQ27" i="15"/>
  <c r="IS27" i="15" s="1"/>
  <c r="IU27" i="15" s="1"/>
  <c r="IL27" i="15"/>
  <c r="IH27" i="15"/>
  <c r="IF27" i="15"/>
  <c r="IE27" i="15"/>
  <c r="IQ26" i="15"/>
  <c r="IS26" i="15" s="1"/>
  <c r="IU26" i="15" s="1"/>
  <c r="IQ25" i="15"/>
  <c r="IS25" i="15" s="1"/>
  <c r="IU25" i="15" s="1"/>
  <c r="IL25" i="15"/>
  <c r="IF25" i="15"/>
  <c r="IE25" i="15"/>
  <c r="IQ24" i="15"/>
  <c r="IS24" i="15" s="1"/>
  <c r="IU24" i="15" s="1"/>
  <c r="IH24" i="15"/>
  <c r="IF24" i="15"/>
  <c r="IQ23" i="15"/>
  <c r="IQ22" i="15"/>
  <c r="IS22" i="15" s="1"/>
  <c r="IU22" i="15" s="1"/>
  <c r="IH22" i="15"/>
  <c r="IQ21" i="15"/>
  <c r="IS21" i="15" s="1"/>
  <c r="IU21" i="15" s="1"/>
  <c r="IF21" i="15"/>
  <c r="IE21" i="15"/>
  <c r="IQ20" i="15"/>
  <c r="IS20" i="15" s="1"/>
  <c r="IU20" i="15" s="1"/>
  <c r="IH20" i="15"/>
  <c r="IF20" i="15"/>
  <c r="IE20" i="15"/>
  <c r="IQ19" i="15"/>
  <c r="IH19" i="15"/>
  <c r="IF19" i="15"/>
  <c r="IE19" i="15"/>
  <c r="IQ18" i="15"/>
  <c r="IS18" i="15" s="1"/>
  <c r="IU18" i="15" s="1"/>
  <c r="IH18" i="15"/>
  <c r="IF18" i="15"/>
  <c r="IE18" i="15"/>
  <c r="IQ17" i="15"/>
  <c r="IH17" i="15"/>
  <c r="IF17" i="15"/>
  <c r="IE17" i="15"/>
  <c r="IQ16" i="15"/>
  <c r="IS16" i="15" s="1"/>
  <c r="IU16" i="15" s="1"/>
  <c r="IH16" i="15"/>
  <c r="IE16" i="15"/>
  <c r="IQ15" i="15"/>
  <c r="IS15" i="15" s="1"/>
  <c r="IU15" i="15" s="1"/>
  <c r="IH15" i="15"/>
  <c r="IQ14" i="15"/>
  <c r="IF14" i="15"/>
  <c r="IE14" i="15"/>
  <c r="IQ13" i="15"/>
  <c r="IS13" i="15" s="1"/>
  <c r="IU13" i="15" s="1"/>
  <c r="IH13" i="15"/>
  <c r="IF13" i="15"/>
  <c r="IE13" i="15"/>
  <c r="IQ12" i="15"/>
  <c r="IS12" i="15" s="1"/>
  <c r="IU12" i="15" s="1"/>
  <c r="IH12" i="15"/>
  <c r="IF12" i="15"/>
  <c r="IE12" i="15"/>
  <c r="IQ11" i="15"/>
  <c r="IS11" i="15" s="1"/>
  <c r="IU11" i="15" s="1"/>
  <c r="IH11" i="15"/>
  <c r="IF11" i="15"/>
  <c r="IE11" i="15"/>
  <c r="IH10" i="15"/>
  <c r="IF10" i="15"/>
  <c r="IE10" i="15"/>
  <c r="IF9" i="15"/>
  <c r="AL85" i="12"/>
  <c r="AN98" i="12" s="1"/>
  <c r="AH85" i="12"/>
  <c r="AG85" i="12"/>
  <c r="AF85" i="12"/>
  <c r="AL84" i="12"/>
  <c r="AN97" i="12" s="1"/>
  <c r="AH84" i="12"/>
  <c r="AG84" i="12"/>
  <c r="AF84" i="12"/>
  <c r="AL83" i="12"/>
  <c r="AN96" i="12" s="1"/>
  <c r="AH83" i="12"/>
  <c r="AG83" i="12"/>
  <c r="AF83" i="12"/>
  <c r="AH81" i="12"/>
  <c r="AL80" i="12"/>
  <c r="AH80" i="12"/>
  <c r="AG80" i="12"/>
  <c r="AF80" i="12"/>
  <c r="AL79" i="12"/>
  <c r="AN92" i="12" s="1"/>
  <c r="AH79" i="12"/>
  <c r="AG79" i="12"/>
  <c r="AF79" i="12"/>
  <c r="AL77" i="12"/>
  <c r="AN90" i="12" s="1"/>
  <c r="AH77" i="12"/>
  <c r="AG77" i="12"/>
  <c r="AF77" i="12"/>
  <c r="AL76" i="12"/>
  <c r="AN89" i="12" s="1"/>
  <c r="AH76" i="12"/>
  <c r="AG76" i="12"/>
  <c r="AF76" i="12"/>
  <c r="AL75" i="12"/>
  <c r="AN88" i="12" s="1"/>
  <c r="AH75" i="12"/>
  <c r="AG75" i="12"/>
  <c r="AF75" i="12"/>
  <c r="AM74" i="12"/>
  <c r="AL74" i="12"/>
  <c r="AN87" i="12" s="1"/>
  <c r="AF74" i="12"/>
  <c r="B86" i="12"/>
  <c r="V85" i="12"/>
  <c r="K85" i="12"/>
  <c r="V84" i="12"/>
  <c r="V83" i="12"/>
  <c r="K83" i="12"/>
  <c r="T81" i="12"/>
  <c r="V94" i="12" s="1"/>
  <c r="I81" i="12"/>
  <c r="K94" i="12" s="1"/>
  <c r="E86" i="12"/>
  <c r="D86" i="12"/>
  <c r="C81" i="12"/>
  <c r="V80" i="12"/>
  <c r="K80" i="12"/>
  <c r="V79" i="12"/>
  <c r="K79" i="12"/>
  <c r="T78" i="12"/>
  <c r="V91" i="12" s="1"/>
  <c r="I78" i="12"/>
  <c r="K91" i="12" s="1"/>
  <c r="AG78" i="12"/>
  <c r="C78" i="12"/>
  <c r="V77" i="12"/>
  <c r="K77" i="12"/>
  <c r="K76" i="12"/>
  <c r="V75" i="12"/>
  <c r="K75" i="12"/>
  <c r="V74" i="12"/>
  <c r="U74" i="12"/>
  <c r="K74" i="12"/>
  <c r="J74" i="12"/>
  <c r="H74" i="12"/>
  <c r="AY73" i="11"/>
  <c r="BE84" i="11" s="1"/>
  <c r="AZ67" i="11"/>
  <c r="AZ66" i="11"/>
  <c r="AX76" i="11"/>
  <c r="AZ75" i="11"/>
  <c r="AZ74" i="11"/>
  <c r="AY74" i="11"/>
  <c r="BE85" i="11" s="1"/>
  <c r="AZ73" i="11"/>
  <c r="BE71" i="11"/>
  <c r="AZ71" i="11"/>
  <c r="BE70" i="11"/>
  <c r="BB70" i="11"/>
  <c r="AZ70" i="11"/>
  <c r="AY69" i="11"/>
  <c r="BE68" i="11"/>
  <c r="BB68" i="11"/>
  <c r="AZ68" i="11"/>
  <c r="BE67" i="11"/>
  <c r="BB67" i="11"/>
  <c r="BD66" i="11"/>
  <c r="BB66" i="11"/>
  <c r="F32" i="9"/>
  <c r="A32" i="9" s="1"/>
  <c r="J32" i="9"/>
  <c r="J184" i="3" l="1"/>
  <c r="S42" i="30"/>
  <c r="I31" i="3"/>
  <c r="I125" i="3" s="1"/>
  <c r="R16" i="30" s="1"/>
  <c r="IH35" i="15"/>
  <c r="IH34" i="15"/>
  <c r="H32" i="9"/>
  <c r="F53" i="9"/>
  <c r="J183" i="3"/>
  <c r="BH78" i="11"/>
  <c r="AY76" i="11"/>
  <c r="BE87" i="11" s="1"/>
  <c r="BH79" i="11"/>
  <c r="BH81" i="11"/>
  <c r="BE80" i="11"/>
  <c r="BH77" i="11"/>
  <c r="I157" i="3"/>
  <c r="F33" i="19"/>
  <c r="C110" i="13"/>
  <c r="E106" i="13"/>
  <c r="AS24" i="12"/>
  <c r="AT24" i="12" s="1"/>
  <c r="AN93" i="12"/>
  <c r="AJ78" i="12"/>
  <c r="AO91" i="12" s="1"/>
  <c r="AR38" i="12" s="1"/>
  <c r="IH31" i="15"/>
  <c r="E87" i="16"/>
  <c r="I100" i="16" s="1"/>
  <c r="IH32" i="15"/>
  <c r="H51" i="4"/>
  <c r="IH30" i="15"/>
  <c r="IJ16" i="15" s="1"/>
  <c r="IN12" i="15" s="1"/>
  <c r="D98" i="13"/>
  <c r="E102" i="13"/>
  <c r="E97" i="13"/>
  <c r="E96" i="13"/>
  <c r="AJ81" i="12"/>
  <c r="AO94" i="12" s="1"/>
  <c r="AS38" i="12" s="1"/>
  <c r="R86" i="12"/>
  <c r="W99" i="12" s="1"/>
  <c r="G82" i="12"/>
  <c r="AF81" i="12"/>
  <c r="H76" i="12"/>
  <c r="AG81" i="12"/>
  <c r="AL81" i="12"/>
  <c r="AN94" i="12" s="1"/>
  <c r="AS48" i="12" s="1"/>
  <c r="AL78" i="12"/>
  <c r="AN91" i="12" s="1"/>
  <c r="AR48" i="12" s="1"/>
  <c r="AH78" i="12"/>
  <c r="AH74" i="12"/>
  <c r="S77" i="12"/>
  <c r="AF78" i="12"/>
  <c r="IH33" i="15"/>
  <c r="IG36" i="15"/>
  <c r="IS14" i="15"/>
  <c r="IU14" i="15" s="1"/>
  <c r="IS17" i="15"/>
  <c r="IU17" i="15" s="1"/>
  <c r="IS23" i="15"/>
  <c r="IU23" i="15" s="1"/>
  <c r="IS19" i="15"/>
  <c r="IU19" i="15" s="1"/>
  <c r="H80" i="12"/>
  <c r="H78" i="12"/>
  <c r="H79" i="12"/>
  <c r="H81" i="12"/>
  <c r="C82" i="12"/>
  <c r="N86" i="12"/>
  <c r="H75" i="12"/>
  <c r="H77" i="12"/>
  <c r="S74" i="12"/>
  <c r="I82" i="12"/>
  <c r="K95" i="12" s="1"/>
  <c r="T82" i="12"/>
  <c r="V95" i="12" s="1"/>
  <c r="BB72" i="11"/>
  <c r="BB73" i="11"/>
  <c r="BB75" i="11"/>
  <c r="BH86" i="11" s="1"/>
  <c r="BB74" i="11"/>
  <c r="M18" i="4"/>
  <c r="H4" i="4"/>
  <c r="H11" i="4"/>
  <c r="I126" i="3" l="1"/>
  <c r="R18" i="30" s="1"/>
  <c r="AG12" i="30" s="1"/>
  <c r="I158" i="3"/>
  <c r="IO12" i="15"/>
  <c r="IJ26" i="15"/>
  <c r="IJ25" i="15"/>
  <c r="IN15" i="15" s="1"/>
  <c r="IO15" i="15" s="1"/>
  <c r="IJ27" i="15"/>
  <c r="IN17" i="15" s="1"/>
  <c r="IO17" i="15" s="1"/>
  <c r="IJ28" i="15"/>
  <c r="IN18" i="15" s="1"/>
  <c r="IO18" i="15" s="1"/>
  <c r="IJ24" i="15"/>
  <c r="IN14" i="15" s="1"/>
  <c r="IO14" i="15" s="1"/>
  <c r="IJ23" i="15"/>
  <c r="IN13" i="15" s="1"/>
  <c r="IO13" i="15" s="1"/>
  <c r="IJ9" i="15"/>
  <c r="IN11" i="15" s="1"/>
  <c r="IO11" i="15" s="1"/>
  <c r="BH84" i="11"/>
  <c r="BH85" i="11"/>
  <c r="I188" i="3"/>
  <c r="I156" i="3"/>
  <c r="I98" i="13"/>
  <c r="I102" i="13" s="1"/>
  <c r="I106" i="13" s="1"/>
  <c r="K115" i="13"/>
  <c r="G86" i="12"/>
  <c r="L99" i="12" s="1"/>
  <c r="L95" i="12"/>
  <c r="IH36" i="15"/>
  <c r="BH83" i="11"/>
  <c r="CF23" i="16"/>
  <c r="E98" i="13"/>
  <c r="AJ82" i="12"/>
  <c r="AL82" i="12"/>
  <c r="AN95" i="12" s="1"/>
  <c r="AT48" i="12" s="1"/>
  <c r="AF82" i="12"/>
  <c r="AK80" i="12"/>
  <c r="S81" i="12"/>
  <c r="S79" i="12"/>
  <c r="S78" i="12"/>
  <c r="AK75" i="12"/>
  <c r="AK76" i="12"/>
  <c r="S80" i="12"/>
  <c r="S75" i="12"/>
  <c r="S76" i="12"/>
  <c r="AK74" i="12"/>
  <c r="O86" i="12"/>
  <c r="AG86" i="12" s="1"/>
  <c r="AG82" i="12"/>
  <c r="AK77" i="12"/>
  <c r="P86" i="12"/>
  <c r="AH86" i="12" s="1"/>
  <c r="AH82" i="12"/>
  <c r="T86" i="12"/>
  <c r="V99" i="12" s="1"/>
  <c r="C86" i="12"/>
  <c r="I86" i="12"/>
  <c r="K99" i="12" s="1"/>
  <c r="BB76" i="11"/>
  <c r="AY64" i="11"/>
  <c r="BE75" i="11" s="1"/>
  <c r="AY63" i="11"/>
  <c r="BE74" i="11" s="1"/>
  <c r="AY62" i="11"/>
  <c r="KO22" i="15"/>
  <c r="KN22" i="15"/>
  <c r="KO21" i="15"/>
  <c r="KN21" i="15"/>
  <c r="KO20" i="15"/>
  <c r="KN20" i="15"/>
  <c r="KO19" i="15"/>
  <c r="KN19" i="15"/>
  <c r="KN11" i="15"/>
  <c r="KO17" i="15"/>
  <c r="KN17" i="15"/>
  <c r="KO16" i="15"/>
  <c r="KN16" i="15"/>
  <c r="KO15" i="15"/>
  <c r="KN15" i="15"/>
  <c r="KO14" i="15"/>
  <c r="KN14" i="15"/>
  <c r="AG21" i="30" l="1"/>
  <c r="IH37" i="15"/>
  <c r="II10" i="15"/>
  <c r="BE73" i="11"/>
  <c r="BH87" i="11"/>
  <c r="CF35" i="16"/>
  <c r="CF28" i="16"/>
  <c r="CF36" i="16"/>
  <c r="CF29" i="16"/>
  <c r="CF30" i="16"/>
  <c r="E110" i="13"/>
  <c r="AJ86" i="12"/>
  <c r="AO95" i="12"/>
  <c r="AT38" i="12" s="1"/>
  <c r="I20" i="17"/>
  <c r="I33" i="17" s="1"/>
  <c r="I35" i="17" s="1"/>
  <c r="CL19" i="16"/>
  <c r="CL20" i="16" s="1"/>
  <c r="CL22" i="16"/>
  <c r="CL23" i="16" s="1"/>
  <c r="I107" i="13"/>
  <c r="I108" i="13" s="1"/>
  <c r="I109" i="13" s="1"/>
  <c r="I110" i="13" s="1"/>
  <c r="AL86" i="12"/>
  <c r="AN99" i="12" s="1"/>
  <c r="AU48" i="12" s="1"/>
  <c r="AK78" i="12"/>
  <c r="AK81" i="12"/>
  <c r="AK79" i="12"/>
  <c r="AK82" i="12"/>
  <c r="AF86" i="12"/>
  <c r="S84" i="12"/>
  <c r="S85" i="12"/>
  <c r="S86" i="12" s="1"/>
  <c r="S83" i="12"/>
  <c r="S82" i="12"/>
  <c r="H82" i="12"/>
  <c r="H85" i="12"/>
  <c r="H86" i="12" s="1"/>
  <c r="H84" i="12"/>
  <c r="H83" i="12"/>
  <c r="IJ14" i="15" l="1"/>
  <c r="IJ21" i="15"/>
  <c r="IN28" i="15" s="1"/>
  <c r="IO28" i="15" s="1"/>
  <c r="IJ10" i="15"/>
  <c r="IN19" i="15" s="1"/>
  <c r="IJ18" i="15"/>
  <c r="IN24" i="15" s="1"/>
  <c r="IO24" i="15" s="1"/>
  <c r="IJ22" i="15"/>
  <c r="IJ12" i="15"/>
  <c r="IN21" i="15" s="1"/>
  <c r="IO21" i="15" s="1"/>
  <c r="IJ17" i="15"/>
  <c r="IN20" i="15" s="1"/>
  <c r="IO20" i="15" s="1"/>
  <c r="IJ11" i="15"/>
  <c r="IN23" i="15" s="1"/>
  <c r="IO23" i="15" s="1"/>
  <c r="IJ19" i="15"/>
  <c r="IN22" i="15" s="1"/>
  <c r="IO22" i="15" s="1"/>
  <c r="IJ13" i="15"/>
  <c r="IJ15" i="15"/>
  <c r="IJ20" i="15"/>
  <c r="IN26" i="15" s="1"/>
  <c r="IO26" i="15" s="1"/>
  <c r="I36" i="17"/>
  <c r="I60" i="3" s="1"/>
  <c r="K127" i="13"/>
  <c r="AR60" i="12"/>
  <c r="AO99" i="12"/>
  <c r="AU38" i="12" s="1"/>
  <c r="AK85" i="12"/>
  <c r="AK86" i="12" s="1"/>
  <c r="AK84" i="12"/>
  <c r="AK83" i="12"/>
  <c r="IN25" i="15" l="1"/>
  <c r="IO25" i="15" s="1"/>
  <c r="IN27" i="15"/>
  <c r="IO27" i="15" s="1"/>
  <c r="IO19" i="15"/>
  <c r="IN31" i="15"/>
  <c r="O187" i="3"/>
  <c r="A204" i="3"/>
  <c r="A203" i="3"/>
  <c r="A202" i="3"/>
  <c r="A201" i="3"/>
  <c r="A196" i="3"/>
  <c r="A199" i="3"/>
  <c r="A195" i="3"/>
  <c r="A190" i="3"/>
  <c r="A191" i="3"/>
  <c r="A193" i="3"/>
  <c r="A194" i="3"/>
  <c r="A189" i="3"/>
  <c r="A188" i="3"/>
  <c r="IO31" i="15" l="1"/>
  <c r="S128" i="3"/>
  <c r="R128" i="3"/>
  <c r="S123" i="3"/>
  <c r="R123" i="3"/>
  <c r="D74" i="16" l="1"/>
  <c r="P23" i="17"/>
  <c r="M25" i="17" s="1"/>
  <c r="M26" i="17" s="1"/>
  <c r="D42" i="17"/>
  <c r="D43" i="17" s="1"/>
  <c r="D61" i="3" s="1"/>
  <c r="E42" i="17"/>
  <c r="E43" i="17" s="1"/>
  <c r="E61" i="3" s="1"/>
  <c r="F42" i="17"/>
  <c r="F43" i="17" s="1"/>
  <c r="F61" i="3" s="1"/>
  <c r="G42" i="17"/>
  <c r="G43" i="17" s="1"/>
  <c r="G61" i="3" s="1"/>
  <c r="M59" i="3" l="1"/>
  <c r="K25" i="17"/>
  <c r="K26" i="17" s="1"/>
  <c r="K59" i="3" s="1"/>
  <c r="L25" i="17"/>
  <c r="L26" i="17" s="1"/>
  <c r="CE13" i="16"/>
  <c r="CE20" i="16" s="1"/>
  <c r="J25" i="17"/>
  <c r="J26" i="17" s="1"/>
  <c r="I25" i="17"/>
  <c r="I26" i="17" s="1"/>
  <c r="I59" i="3" s="1"/>
  <c r="C41" i="17"/>
  <c r="D20" i="17"/>
  <c r="D33" i="17" s="1"/>
  <c r="E20" i="17"/>
  <c r="E33" i="17" s="1"/>
  <c r="F20" i="17"/>
  <c r="F33" i="17" s="1"/>
  <c r="G20" i="17"/>
  <c r="G33" i="17" s="1"/>
  <c r="H20" i="17"/>
  <c r="C15" i="17"/>
  <c r="C20" i="17" s="1"/>
  <c r="C33" i="17" s="1"/>
  <c r="L59" i="3" l="1"/>
  <c r="J59" i="3"/>
  <c r="H33" i="17"/>
  <c r="D41" i="17"/>
  <c r="E41" i="17"/>
  <c r="F41" i="17"/>
  <c r="G41" i="17"/>
  <c r="H41" i="17" l="1"/>
  <c r="BX10" i="16"/>
  <c r="D22" i="16"/>
  <c r="CA13" i="16" s="1"/>
  <c r="BY9" i="16" s="1"/>
  <c r="D48" i="16"/>
  <c r="H49" i="16"/>
  <c r="D61" i="16"/>
  <c r="J74" i="16"/>
  <c r="C74" i="16"/>
  <c r="H87" i="16" s="1"/>
  <c r="J73" i="16"/>
  <c r="H73" i="16"/>
  <c r="E73" i="16"/>
  <c r="I86" i="16" s="1"/>
  <c r="J72" i="16"/>
  <c r="H72" i="16"/>
  <c r="E72" i="16"/>
  <c r="I85" i="16" s="1"/>
  <c r="J71" i="16"/>
  <c r="H71" i="16"/>
  <c r="E71" i="16"/>
  <c r="I84" i="16" s="1"/>
  <c r="J70" i="16"/>
  <c r="H70" i="16"/>
  <c r="E70" i="16"/>
  <c r="I83" i="16" s="1"/>
  <c r="J69" i="16"/>
  <c r="H69" i="16"/>
  <c r="E69" i="16"/>
  <c r="I82" i="16" s="1"/>
  <c r="J68" i="16"/>
  <c r="H68" i="16"/>
  <c r="E68" i="16"/>
  <c r="I81" i="16" s="1"/>
  <c r="J67" i="16"/>
  <c r="H67" i="16"/>
  <c r="E67" i="16"/>
  <c r="I80" i="16" s="1"/>
  <c r="J66" i="16"/>
  <c r="H66" i="16"/>
  <c r="E66" i="16"/>
  <c r="I79" i="16" s="1"/>
  <c r="J65" i="16"/>
  <c r="H65" i="16"/>
  <c r="E65" i="16"/>
  <c r="I78" i="16" s="1"/>
  <c r="J64" i="16"/>
  <c r="H64" i="16"/>
  <c r="E64" i="16"/>
  <c r="I77" i="16" s="1"/>
  <c r="J63" i="16"/>
  <c r="H63" i="16"/>
  <c r="E63" i="16"/>
  <c r="I76" i="16" s="1"/>
  <c r="J62" i="16"/>
  <c r="H62" i="16"/>
  <c r="E62" i="16"/>
  <c r="I75" i="16" s="1"/>
  <c r="H40" i="17" l="1"/>
  <c r="H42" i="17" s="1"/>
  <c r="H43" i="17" s="1"/>
  <c r="H61" i="3" s="1"/>
  <c r="I41" i="17"/>
  <c r="I40" i="17" s="1"/>
  <c r="I42" i="17" s="1"/>
  <c r="I43" i="17" s="1"/>
  <c r="I61" i="3" s="1"/>
  <c r="I62" i="3" s="1"/>
  <c r="CI14" i="16"/>
  <c r="BZ9" i="16"/>
  <c r="CH14" i="16"/>
  <c r="CA20" i="16"/>
  <c r="E74" i="16"/>
  <c r="I87" i="16" s="1"/>
  <c r="I46" i="17" l="1"/>
  <c r="J41" i="17"/>
  <c r="J40" i="17" s="1"/>
  <c r="J42" i="17" s="1"/>
  <c r="J43" i="17" s="1"/>
  <c r="N43" i="17" s="1"/>
  <c r="I136" i="3"/>
  <c r="I63" i="3"/>
  <c r="I137" i="3" s="1"/>
  <c r="R29" i="30" s="1"/>
  <c r="AG14" i="30" s="1"/>
  <c r="AG23" i="30" s="1"/>
  <c r="CI16" i="16"/>
  <c r="CI15" i="16"/>
  <c r="CH16" i="16"/>
  <c r="CH15" i="16"/>
  <c r="CG14" i="16"/>
  <c r="CE14" i="16"/>
  <c r="CF14" i="16"/>
  <c r="CD9" i="16"/>
  <c r="CC14" i="16"/>
  <c r="CD10" i="16"/>
  <c r="I169" i="3" l="1"/>
  <c r="R28" i="30"/>
  <c r="J61" i="3"/>
  <c r="J62" i="3" s="1"/>
  <c r="K41" i="17"/>
  <c r="K40" i="17" s="1"/>
  <c r="K42" i="17" s="1"/>
  <c r="K43" i="17" s="1"/>
  <c r="K61" i="3" s="1"/>
  <c r="K62" i="3" s="1"/>
  <c r="K63" i="3" s="1"/>
  <c r="J46" i="17"/>
  <c r="L41" i="17"/>
  <c r="L40" i="17" s="1"/>
  <c r="L42" i="17" s="1"/>
  <c r="L43" i="17" s="1"/>
  <c r="CI17" i="16"/>
  <c r="K46" i="17"/>
  <c r="I195" i="3"/>
  <c r="I165" i="3"/>
  <c r="J63" i="3"/>
  <c r="J137" i="3" s="1"/>
  <c r="S29" i="30" s="1"/>
  <c r="AH14" i="30" s="1"/>
  <c r="AH23" i="30" s="1"/>
  <c r="J136" i="3"/>
  <c r="S28" i="30" s="1"/>
  <c r="CG24" i="16"/>
  <c r="CG16" i="16"/>
  <c r="CG15" i="16"/>
  <c r="CG31" i="16"/>
  <c r="CH17" i="16"/>
  <c r="CM16" i="16"/>
  <c r="CE16" i="16"/>
  <c r="CK17" i="16" s="1"/>
  <c r="CE15" i="16"/>
  <c r="CK15" i="16" s="1"/>
  <c r="CK16" i="16" s="1"/>
  <c r="CF16" i="16"/>
  <c r="CF15" i="16"/>
  <c r="CK13" i="16" s="1"/>
  <c r="CF24" i="16"/>
  <c r="CF31" i="16"/>
  <c r="CC15" i="16"/>
  <c r="CC16" i="16"/>
  <c r="M41" i="17" l="1"/>
  <c r="M40" i="17" s="1"/>
  <c r="M42" i="17" s="1"/>
  <c r="M43" i="17" s="1"/>
  <c r="L61" i="3"/>
  <c r="L62" i="3" s="1"/>
  <c r="L46" i="17"/>
  <c r="J195" i="3"/>
  <c r="J165" i="3"/>
  <c r="J169" i="3"/>
  <c r="CM18" i="16"/>
  <c r="K136" i="3"/>
  <c r="T28" i="30" s="1"/>
  <c r="K137" i="3"/>
  <c r="T29" i="30" s="1"/>
  <c r="AI14" i="30" s="1"/>
  <c r="AI23" i="30" s="1"/>
  <c r="CG25" i="16"/>
  <c r="CG32" i="16"/>
  <c r="CG17" i="16"/>
  <c r="CG26" i="16"/>
  <c r="CG33" i="16"/>
  <c r="CE17" i="16"/>
  <c r="CF32" i="16"/>
  <c r="CF25" i="16"/>
  <c r="CF26" i="16"/>
  <c r="CF33" i="16"/>
  <c r="CF17" i="16"/>
  <c r="CC17" i="16"/>
  <c r="M61" i="3" l="1"/>
  <c r="M62" i="3" s="1"/>
  <c r="C29" i="30" s="1"/>
  <c r="M46" i="17"/>
  <c r="CM15" i="16"/>
  <c r="L136" i="3"/>
  <c r="U28" i="30" s="1"/>
  <c r="L63" i="3"/>
  <c r="L137" i="3" s="1"/>
  <c r="U29" i="30" s="1"/>
  <c r="AJ14" i="30" s="1"/>
  <c r="AJ23" i="30" s="1"/>
  <c r="K169" i="3"/>
  <c r="K195" i="3"/>
  <c r="K165" i="3"/>
  <c r="CG27" i="16"/>
  <c r="CG34" i="16"/>
  <c r="CF34" i="16"/>
  <c r="CF27" i="16"/>
  <c r="P25" i="16"/>
  <c r="O25" i="16"/>
  <c r="N25" i="16"/>
  <c r="M24" i="16"/>
  <c r="M23" i="16"/>
  <c r="S13" i="17"/>
  <c r="R13" i="17"/>
  <c r="Q13" i="17"/>
  <c r="S12" i="17"/>
  <c r="R12" i="17"/>
  <c r="Q12" i="17"/>
  <c r="C21" i="30" l="1"/>
  <c r="D21" i="30"/>
  <c r="C29" i="2"/>
  <c r="M136" i="3"/>
  <c r="V28" i="30" s="1"/>
  <c r="C29" i="19"/>
  <c r="C21" i="19" s="1"/>
  <c r="D21" i="19" s="1"/>
  <c r="M63" i="3"/>
  <c r="M137" i="3" s="1"/>
  <c r="L165" i="3"/>
  <c r="L195" i="3"/>
  <c r="L169" i="3"/>
  <c r="M25" i="16"/>
  <c r="CM17" i="16"/>
  <c r="S26" i="16"/>
  <c r="S12" i="16"/>
  <c r="S11" i="16"/>
  <c r="V29" i="30" l="1"/>
  <c r="M195" i="3"/>
  <c r="O137" i="3"/>
  <c r="AE137" i="3"/>
  <c r="M165" i="3"/>
  <c r="M169" i="3"/>
  <c r="O136" i="3"/>
  <c r="AE136" i="3"/>
  <c r="J61" i="16"/>
  <c r="C61" i="16"/>
  <c r="H74" i="16" s="1"/>
  <c r="J60" i="16"/>
  <c r="H60" i="16"/>
  <c r="E60" i="16"/>
  <c r="I73" i="16" s="1"/>
  <c r="J59" i="16"/>
  <c r="H59" i="16"/>
  <c r="E59" i="16"/>
  <c r="J58" i="16"/>
  <c r="H58" i="16"/>
  <c r="E58" i="16"/>
  <c r="I71" i="16" s="1"/>
  <c r="J57" i="16"/>
  <c r="H57" i="16"/>
  <c r="E57" i="16"/>
  <c r="I70" i="16" s="1"/>
  <c r="J56" i="16"/>
  <c r="H56" i="16"/>
  <c r="E56" i="16"/>
  <c r="I69" i="16" s="1"/>
  <c r="J55" i="16"/>
  <c r="H55" i="16"/>
  <c r="E55" i="16"/>
  <c r="S54" i="16"/>
  <c r="J54" i="16"/>
  <c r="H54" i="16"/>
  <c r="E54" i="16"/>
  <c r="I67" i="16" s="1"/>
  <c r="S53" i="16"/>
  <c r="J53" i="16"/>
  <c r="H53" i="16"/>
  <c r="E53" i="16"/>
  <c r="I66" i="16" s="1"/>
  <c r="S52" i="16"/>
  <c r="J52" i="16"/>
  <c r="H52" i="16"/>
  <c r="E52" i="16"/>
  <c r="I65" i="16" s="1"/>
  <c r="S51" i="16"/>
  <c r="J51" i="16"/>
  <c r="H51" i="16"/>
  <c r="E51" i="16"/>
  <c r="I64" i="16" s="1"/>
  <c r="S50" i="16"/>
  <c r="J50" i="16"/>
  <c r="H50" i="16"/>
  <c r="E50" i="16"/>
  <c r="I63" i="16" s="1"/>
  <c r="S49" i="16"/>
  <c r="J49" i="16"/>
  <c r="E49" i="16"/>
  <c r="I62" i="16" s="1"/>
  <c r="S48" i="16"/>
  <c r="J48" i="16"/>
  <c r="C48" i="16"/>
  <c r="S47" i="16"/>
  <c r="J47" i="16"/>
  <c r="H47" i="16"/>
  <c r="E47" i="16"/>
  <c r="S46" i="16"/>
  <c r="J46" i="16"/>
  <c r="H46" i="16"/>
  <c r="E46" i="16"/>
  <c r="S45" i="16"/>
  <c r="J45" i="16"/>
  <c r="H45" i="16"/>
  <c r="E45" i="16"/>
  <c r="S44" i="16"/>
  <c r="J44" i="16"/>
  <c r="H44" i="16"/>
  <c r="E44" i="16"/>
  <c r="S43" i="16"/>
  <c r="J43" i="16"/>
  <c r="H43" i="16"/>
  <c r="E43" i="16"/>
  <c r="S42" i="16"/>
  <c r="J42" i="16"/>
  <c r="H42" i="16"/>
  <c r="E42" i="16"/>
  <c r="E48" i="16" s="1"/>
  <c r="S41" i="16"/>
  <c r="J41" i="16"/>
  <c r="H41" i="16"/>
  <c r="E41" i="16"/>
  <c r="S40" i="16"/>
  <c r="J40" i="16"/>
  <c r="H40" i="16"/>
  <c r="E40" i="16"/>
  <c r="S39" i="16"/>
  <c r="J39" i="16"/>
  <c r="H39" i="16"/>
  <c r="E39" i="16"/>
  <c r="S38" i="16"/>
  <c r="J38" i="16"/>
  <c r="H38" i="16"/>
  <c r="E38" i="16"/>
  <c r="S37" i="16"/>
  <c r="H37" i="16"/>
  <c r="E37" i="16"/>
  <c r="S36" i="16"/>
  <c r="J36" i="16"/>
  <c r="H36" i="16"/>
  <c r="E36" i="16"/>
  <c r="S35" i="16"/>
  <c r="J35" i="16"/>
  <c r="C35" i="16"/>
  <c r="S34" i="16"/>
  <c r="J34" i="16"/>
  <c r="H34" i="16"/>
  <c r="E34" i="16"/>
  <c r="S33" i="16"/>
  <c r="J33" i="16"/>
  <c r="H33" i="16"/>
  <c r="E33" i="16"/>
  <c r="S32" i="16"/>
  <c r="J32" i="16"/>
  <c r="H32" i="16"/>
  <c r="E32" i="16"/>
  <c r="S31" i="16"/>
  <c r="J31" i="16"/>
  <c r="H31" i="16"/>
  <c r="E31" i="16"/>
  <c r="S30" i="16"/>
  <c r="J30" i="16"/>
  <c r="H30" i="16"/>
  <c r="E30" i="16"/>
  <c r="S29" i="16"/>
  <c r="J29" i="16"/>
  <c r="H29" i="16"/>
  <c r="E29" i="16"/>
  <c r="S28" i="16"/>
  <c r="J28" i="16"/>
  <c r="H28" i="16"/>
  <c r="E28" i="16"/>
  <c r="S27" i="16"/>
  <c r="J27" i="16"/>
  <c r="H27" i="16"/>
  <c r="J26" i="16"/>
  <c r="E26" i="16"/>
  <c r="S25" i="16"/>
  <c r="J25" i="16"/>
  <c r="H25" i="16"/>
  <c r="E25" i="16"/>
  <c r="S24" i="16"/>
  <c r="J24" i="16"/>
  <c r="H24" i="16"/>
  <c r="E24" i="16"/>
  <c r="S23" i="16"/>
  <c r="J23" i="16"/>
  <c r="H23" i="16"/>
  <c r="E23" i="16"/>
  <c r="S22" i="16"/>
  <c r="C22" i="16"/>
  <c r="S21" i="16"/>
  <c r="E21" i="16"/>
  <c r="S20" i="16"/>
  <c r="E20" i="16"/>
  <c r="S19" i="16"/>
  <c r="E19" i="16"/>
  <c r="S18" i="16"/>
  <c r="E18" i="16"/>
  <c r="S17" i="16"/>
  <c r="E17" i="16"/>
  <c r="E22" i="16" s="1"/>
  <c r="E16" i="16"/>
  <c r="S15" i="16"/>
  <c r="E15" i="16"/>
  <c r="S14" i="16"/>
  <c r="E14" i="16"/>
  <c r="S13" i="16"/>
  <c r="E13" i="16"/>
  <c r="E12" i="16"/>
  <c r="E11" i="16"/>
  <c r="E10" i="16"/>
  <c r="R9" i="16"/>
  <c r="R12" i="16" s="1"/>
  <c r="R13" i="16" s="1"/>
  <c r="R14" i="16" s="1"/>
  <c r="R15" i="16" s="1"/>
  <c r="R16" i="16" s="1"/>
  <c r="R17" i="16" s="1"/>
  <c r="R18" i="16" s="1"/>
  <c r="R19" i="16" s="1"/>
  <c r="R20" i="16" s="1"/>
  <c r="R21" i="16" s="1"/>
  <c r="R22" i="16" s="1"/>
  <c r="R23" i="16" s="1"/>
  <c r="R24" i="16" s="1"/>
  <c r="R25" i="16" s="1"/>
  <c r="R26" i="16" s="1"/>
  <c r="R27" i="16" s="1"/>
  <c r="R28" i="16" s="1"/>
  <c r="R29" i="16" s="1"/>
  <c r="R30" i="16" s="1"/>
  <c r="R31" i="16" s="1"/>
  <c r="R32" i="16" s="1"/>
  <c r="R33" i="16" s="1"/>
  <c r="R34" i="16" s="1"/>
  <c r="R35" i="16" s="1"/>
  <c r="R36" i="16" s="1"/>
  <c r="R37" i="16" s="1"/>
  <c r="R38" i="16" s="1"/>
  <c r="R39" i="16" s="1"/>
  <c r="R40" i="16" s="1"/>
  <c r="R41" i="16" s="1"/>
  <c r="R42" i="16" s="1"/>
  <c r="R43" i="16" s="1"/>
  <c r="R44" i="16" s="1"/>
  <c r="R45" i="16" s="1"/>
  <c r="R46" i="16" s="1"/>
  <c r="R47" i="16" s="1"/>
  <c r="R48" i="16" s="1"/>
  <c r="R49" i="16" s="1"/>
  <c r="R50" i="16" s="1"/>
  <c r="R51" i="16" s="1"/>
  <c r="R52" i="16" s="1"/>
  <c r="R53" i="16" s="1"/>
  <c r="R54" i="16" s="1"/>
  <c r="R55" i="16" s="1"/>
  <c r="Y17" i="13"/>
  <c r="Y16" i="13"/>
  <c r="Y19" i="13"/>
  <c r="F52" i="13" s="1"/>
  <c r="C79" i="13"/>
  <c r="C80" i="13"/>
  <c r="D80" i="13"/>
  <c r="D79" i="13"/>
  <c r="E79" i="13" s="1"/>
  <c r="D62" i="13"/>
  <c r="E62" i="13" s="1"/>
  <c r="D63" i="13"/>
  <c r="E63" i="13" s="1"/>
  <c r="C63" i="13"/>
  <c r="C62" i="13"/>
  <c r="D46" i="13"/>
  <c r="E46" i="13" s="1"/>
  <c r="D45" i="13"/>
  <c r="C46" i="13"/>
  <c r="C45" i="13"/>
  <c r="D28" i="13"/>
  <c r="E28" i="13" s="1"/>
  <c r="D29" i="13"/>
  <c r="C29" i="13"/>
  <c r="C28" i="13"/>
  <c r="C12" i="13"/>
  <c r="C11" i="13"/>
  <c r="D12" i="13"/>
  <c r="E12" i="13" s="1"/>
  <c r="D11" i="13"/>
  <c r="E11" i="13" s="1"/>
  <c r="K88" i="13"/>
  <c r="K92" i="13"/>
  <c r="K91" i="13"/>
  <c r="K90" i="13"/>
  <c r="K75" i="13"/>
  <c r="K74" i="13"/>
  <c r="K73" i="13"/>
  <c r="K58" i="13"/>
  <c r="K57" i="13"/>
  <c r="K56" i="13"/>
  <c r="E77" i="13"/>
  <c r="E92" i="13"/>
  <c r="E91" i="13"/>
  <c r="E90" i="13"/>
  <c r="E88" i="13"/>
  <c r="E87" i="13"/>
  <c r="E86" i="13"/>
  <c r="E84" i="13"/>
  <c r="E83" i="13"/>
  <c r="E82" i="13"/>
  <c r="E78" i="13"/>
  <c r="E75" i="13"/>
  <c r="E74" i="13"/>
  <c r="E73" i="13"/>
  <c r="E71" i="13"/>
  <c r="E70" i="13"/>
  <c r="E69" i="13"/>
  <c r="E67" i="13"/>
  <c r="E66" i="13"/>
  <c r="E65" i="13"/>
  <c r="E61" i="13"/>
  <c r="E60" i="13"/>
  <c r="E58" i="13"/>
  <c r="E57" i="13"/>
  <c r="E56" i="13"/>
  <c r="E54" i="13"/>
  <c r="E53" i="13"/>
  <c r="E52" i="13"/>
  <c r="E50" i="13"/>
  <c r="E49" i="13"/>
  <c r="E48" i="13"/>
  <c r="E44" i="13"/>
  <c r="E43" i="13"/>
  <c r="E24" i="13"/>
  <c r="E23" i="13"/>
  <c r="E22" i="13"/>
  <c r="E20" i="13"/>
  <c r="E19" i="13"/>
  <c r="E18" i="13"/>
  <c r="E16" i="13"/>
  <c r="E15" i="13"/>
  <c r="E14" i="13"/>
  <c r="E10" i="13"/>
  <c r="E9" i="13"/>
  <c r="K41" i="13"/>
  <c r="K40" i="13"/>
  <c r="K39" i="13"/>
  <c r="Y40" i="13"/>
  <c r="E41" i="13"/>
  <c r="E40" i="13"/>
  <c r="E39" i="13"/>
  <c r="E37" i="13"/>
  <c r="E36" i="13"/>
  <c r="E35" i="13"/>
  <c r="E33" i="13"/>
  <c r="E32" i="13"/>
  <c r="E31" i="13"/>
  <c r="E27" i="13"/>
  <c r="E26" i="13"/>
  <c r="P50" i="13"/>
  <c r="P49" i="13"/>
  <c r="D68" i="13"/>
  <c r="C68" i="13"/>
  <c r="D51" i="13"/>
  <c r="C51" i="13"/>
  <c r="D34" i="13"/>
  <c r="C34" i="13"/>
  <c r="D17" i="13"/>
  <c r="C17" i="13"/>
  <c r="D85" i="13"/>
  <c r="C85" i="13"/>
  <c r="D89" i="13"/>
  <c r="K106" i="13" s="1"/>
  <c r="C89" i="13"/>
  <c r="C93" i="13" s="1"/>
  <c r="D72" i="13"/>
  <c r="C72" i="13"/>
  <c r="C76" i="13" s="1"/>
  <c r="D55" i="13"/>
  <c r="C55" i="13"/>
  <c r="C59" i="13" s="1"/>
  <c r="D38" i="13"/>
  <c r="C38" i="13"/>
  <c r="C21" i="13"/>
  <c r="D21" i="13"/>
  <c r="B93" i="13"/>
  <c r="B76" i="13"/>
  <c r="B59" i="13"/>
  <c r="NF23" i="15"/>
  <c r="MX35" i="15"/>
  <c r="MW35" i="15"/>
  <c r="MZ35" i="15" s="1"/>
  <c r="MV35" i="15"/>
  <c r="MX34" i="15"/>
  <c r="MW34" i="15"/>
  <c r="MZ34" i="15" s="1"/>
  <c r="MV34" i="15"/>
  <c r="MX33" i="15"/>
  <c r="MW33" i="15"/>
  <c r="MZ33" i="15" s="1"/>
  <c r="MV33" i="15"/>
  <c r="MX32" i="15"/>
  <c r="MW32" i="15"/>
  <c r="MZ32" i="15" s="1"/>
  <c r="MV32" i="15"/>
  <c r="MX31" i="15"/>
  <c r="MW31" i="15"/>
  <c r="MZ31" i="15" s="1"/>
  <c r="MV31" i="15"/>
  <c r="MX30" i="15"/>
  <c r="MW30" i="15"/>
  <c r="MZ30" i="15" s="1"/>
  <c r="MV30" i="15"/>
  <c r="MW29" i="15"/>
  <c r="NU28" i="15"/>
  <c r="NT28" i="15"/>
  <c r="NN28" i="15"/>
  <c r="NF28" i="15"/>
  <c r="ND28" i="15"/>
  <c r="NC28" i="15"/>
  <c r="NU27" i="15"/>
  <c r="NT27" i="15"/>
  <c r="NN27" i="15"/>
  <c r="NI27" i="15"/>
  <c r="NF27" i="15"/>
  <c r="ND27" i="15"/>
  <c r="NC27" i="15"/>
  <c r="NU26" i="15"/>
  <c r="NT26" i="15"/>
  <c r="NN26" i="15"/>
  <c r="NP26" i="15" s="1"/>
  <c r="NR26" i="15" s="1"/>
  <c r="NF26" i="15"/>
  <c r="ND26" i="15"/>
  <c r="NC26" i="15"/>
  <c r="NU25" i="15"/>
  <c r="NT25" i="15"/>
  <c r="NN25" i="15"/>
  <c r="NP25" i="15" s="1"/>
  <c r="NR25" i="15" s="1"/>
  <c r="NI25" i="15"/>
  <c r="NF25" i="15"/>
  <c r="ND25" i="15"/>
  <c r="NC25" i="15"/>
  <c r="NU24" i="15"/>
  <c r="NT24" i="15"/>
  <c r="NN24" i="15"/>
  <c r="NP24" i="15" s="1"/>
  <c r="NR24" i="15" s="1"/>
  <c r="NF24" i="15"/>
  <c r="ND24" i="15"/>
  <c r="NC24" i="15"/>
  <c r="NU23" i="15"/>
  <c r="NT23" i="15"/>
  <c r="NN23" i="15"/>
  <c r="NP23" i="15" s="1"/>
  <c r="NR23" i="15" s="1"/>
  <c r="ND23" i="15"/>
  <c r="NC23" i="15"/>
  <c r="NU22" i="15"/>
  <c r="NT22" i="15"/>
  <c r="NN22" i="15"/>
  <c r="NP22" i="15" s="1"/>
  <c r="NR22" i="15" s="1"/>
  <c r="NF22" i="15"/>
  <c r="NU21" i="15"/>
  <c r="NT21" i="15"/>
  <c r="NN21" i="15"/>
  <c r="NF21" i="15"/>
  <c r="ND21" i="15"/>
  <c r="NC21" i="15"/>
  <c r="NU20" i="15"/>
  <c r="NT20" i="15"/>
  <c r="NN20" i="15"/>
  <c r="NP20" i="15" s="1"/>
  <c r="NR20" i="15" s="1"/>
  <c r="NF20" i="15"/>
  <c r="ND20" i="15"/>
  <c r="NC20" i="15"/>
  <c r="NU19" i="15"/>
  <c r="NT19" i="15"/>
  <c r="NN19" i="15"/>
  <c r="NP19" i="15" s="1"/>
  <c r="NR19" i="15" s="1"/>
  <c r="NF19" i="15"/>
  <c r="ND19" i="15"/>
  <c r="NC19" i="15"/>
  <c r="NU18" i="15"/>
  <c r="NT18" i="15"/>
  <c r="NN18" i="15"/>
  <c r="NF18" i="15"/>
  <c r="ND18" i="15"/>
  <c r="NC18" i="15"/>
  <c r="NU17" i="15"/>
  <c r="NT17" i="15"/>
  <c r="NN17" i="15"/>
  <c r="NP17" i="15" s="1"/>
  <c r="NR17" i="15" s="1"/>
  <c r="NF17" i="15"/>
  <c r="ND17" i="15"/>
  <c r="NC17" i="15"/>
  <c r="NU16" i="15"/>
  <c r="NT16" i="15"/>
  <c r="NN16" i="15"/>
  <c r="NF16" i="15"/>
  <c r="ND16" i="15"/>
  <c r="NC16" i="15"/>
  <c r="NU15" i="15"/>
  <c r="NT15" i="15"/>
  <c r="NN15" i="15"/>
  <c r="NP15" i="15" s="1"/>
  <c r="NR15" i="15" s="1"/>
  <c r="NF15" i="15"/>
  <c r="NB15" i="15"/>
  <c r="NU14" i="15"/>
  <c r="NT14" i="15"/>
  <c r="NN14" i="15"/>
  <c r="NF14" i="15"/>
  <c r="ND14" i="15"/>
  <c r="NC14" i="15"/>
  <c r="NU13" i="15"/>
  <c r="NT13" i="15"/>
  <c r="NN13" i="15"/>
  <c r="NP13" i="15" s="1"/>
  <c r="NR13" i="15" s="1"/>
  <c r="NF13" i="15"/>
  <c r="ND13" i="15"/>
  <c r="NC13" i="15"/>
  <c r="NU12" i="15"/>
  <c r="NT12" i="15"/>
  <c r="NN12" i="15"/>
  <c r="NF12" i="15"/>
  <c r="ND12" i="15"/>
  <c r="NC12" i="15"/>
  <c r="NU11" i="15"/>
  <c r="NT11" i="15"/>
  <c r="NN11" i="15"/>
  <c r="NF11" i="15"/>
  <c r="ND11" i="15"/>
  <c r="NC11" i="15"/>
  <c r="NF10" i="15"/>
  <c r="ND10" i="15"/>
  <c r="NC10" i="15"/>
  <c r="NF9" i="15"/>
  <c r="ND9" i="15"/>
  <c r="NC9" i="15"/>
  <c r="LP26" i="15"/>
  <c r="LP24" i="15"/>
  <c r="LP25" i="15"/>
  <c r="LP27" i="15"/>
  <c r="LP28" i="15"/>
  <c r="LP23" i="15"/>
  <c r="LN23" i="15"/>
  <c r="LM23" i="15"/>
  <c r="JY30" i="15"/>
  <c r="LP9" i="15"/>
  <c r="ME28" i="15"/>
  <c r="MD28" i="15"/>
  <c r="LX28" i="15"/>
  <c r="ME27" i="15"/>
  <c r="MD27" i="15"/>
  <c r="LX27" i="15"/>
  <c r="LZ27" i="15" s="1"/>
  <c r="MB27" i="15" s="1"/>
  <c r="LS27" i="15"/>
  <c r="ME26" i="15"/>
  <c r="MD26" i="15"/>
  <c r="LX26" i="15"/>
  <c r="LZ26" i="15" s="1"/>
  <c r="MB26" i="15" s="1"/>
  <c r="ME25" i="15"/>
  <c r="MD25" i="15"/>
  <c r="LX25" i="15"/>
  <c r="LS25" i="15"/>
  <c r="ME24" i="15"/>
  <c r="MD24" i="15"/>
  <c r="LX24" i="15"/>
  <c r="LZ24" i="15" s="1"/>
  <c r="MB24" i="15" s="1"/>
  <c r="ME23" i="15"/>
  <c r="MD23" i="15"/>
  <c r="LX23" i="15"/>
  <c r="LZ23" i="15" s="1"/>
  <c r="MB23" i="15" s="1"/>
  <c r="ME22" i="15"/>
  <c r="MD22" i="15"/>
  <c r="LX22" i="15"/>
  <c r="LP22" i="15"/>
  <c r="ME21" i="15"/>
  <c r="MD21" i="15"/>
  <c r="LX21" i="15"/>
  <c r="LP21" i="15"/>
  <c r="ME20" i="15"/>
  <c r="MD20" i="15"/>
  <c r="LX20" i="15"/>
  <c r="LZ20" i="15" s="1"/>
  <c r="MB20" i="15" s="1"/>
  <c r="LP20" i="15"/>
  <c r="ME19" i="15"/>
  <c r="MD19" i="15"/>
  <c r="LX19" i="15"/>
  <c r="LZ19" i="15" s="1"/>
  <c r="MB19" i="15" s="1"/>
  <c r="LP19" i="15"/>
  <c r="ME18" i="15"/>
  <c r="MD18" i="15"/>
  <c r="LX18" i="15"/>
  <c r="LZ18" i="15" s="1"/>
  <c r="MB18" i="15" s="1"/>
  <c r="LP18" i="15"/>
  <c r="ME17" i="15"/>
  <c r="MD17" i="15"/>
  <c r="LX17" i="15"/>
  <c r="LP17" i="15"/>
  <c r="ME16" i="15"/>
  <c r="MD16" i="15"/>
  <c r="LX16" i="15"/>
  <c r="LZ16" i="15" s="1"/>
  <c r="MB16" i="15" s="1"/>
  <c r="LP16" i="15"/>
  <c r="ME15" i="15"/>
  <c r="MD15" i="15"/>
  <c r="LX15" i="15"/>
  <c r="LZ15" i="15" s="1"/>
  <c r="MB15" i="15" s="1"/>
  <c r="LP15" i="15"/>
  <c r="ME14" i="15"/>
  <c r="MD14" i="15"/>
  <c r="LX14" i="15"/>
  <c r="LZ14" i="15" s="1"/>
  <c r="MB14" i="15" s="1"/>
  <c r="LP14" i="15"/>
  <c r="ME13" i="15"/>
  <c r="MD13" i="15"/>
  <c r="LX13" i="15"/>
  <c r="LP13" i="15"/>
  <c r="ME12" i="15"/>
  <c r="MD12" i="15"/>
  <c r="LX12" i="15"/>
  <c r="LZ12" i="15" s="1"/>
  <c r="MB12" i="15" s="1"/>
  <c r="LP12" i="15"/>
  <c r="ME11" i="15"/>
  <c r="MD11" i="15"/>
  <c r="LX11" i="15"/>
  <c r="LZ11" i="15" s="1"/>
  <c r="MB11" i="15" s="1"/>
  <c r="LP11" i="15"/>
  <c r="LP10" i="15"/>
  <c r="LN9" i="15"/>
  <c r="LM26" i="15"/>
  <c r="LM25" i="15"/>
  <c r="LM24" i="15"/>
  <c r="LM27" i="15"/>
  <c r="LM28" i="15"/>
  <c r="LN24" i="15"/>
  <c r="LN25" i="15"/>
  <c r="LN26" i="15"/>
  <c r="LN27" i="15"/>
  <c r="LN28" i="15"/>
  <c r="LM9" i="15"/>
  <c r="LH35" i="15"/>
  <c r="LG35" i="15"/>
  <c r="LJ35" i="15" s="1"/>
  <c r="LF35" i="15"/>
  <c r="LH34" i="15"/>
  <c r="LG34" i="15"/>
  <c r="LJ34" i="15" s="1"/>
  <c r="LF34" i="15"/>
  <c r="LH33" i="15"/>
  <c r="LG33" i="15"/>
  <c r="LJ33" i="15" s="1"/>
  <c r="LF33" i="15"/>
  <c r="LH32" i="15"/>
  <c r="LG32" i="15"/>
  <c r="LJ32" i="15" s="1"/>
  <c r="LF32" i="15"/>
  <c r="LH31" i="15"/>
  <c r="LG31" i="15"/>
  <c r="LJ31" i="15" s="1"/>
  <c r="LF31" i="15"/>
  <c r="LH30" i="15"/>
  <c r="LG30" i="15"/>
  <c r="LJ30" i="15" s="1"/>
  <c r="LF30" i="15"/>
  <c r="LG29" i="15"/>
  <c r="LL28" i="15" s="1"/>
  <c r="LN21" i="15"/>
  <c r="LM21" i="15"/>
  <c r="LN20" i="15"/>
  <c r="LM20" i="15"/>
  <c r="LN19" i="15"/>
  <c r="LM19" i="15"/>
  <c r="LN18" i="15"/>
  <c r="LM18" i="15"/>
  <c r="LN17" i="15"/>
  <c r="LM17" i="15"/>
  <c r="LN16" i="15"/>
  <c r="LM16" i="15"/>
  <c r="LL15" i="15"/>
  <c r="LN14" i="15"/>
  <c r="LM14" i="15"/>
  <c r="LN13" i="15"/>
  <c r="LM13" i="15"/>
  <c r="LN12" i="15"/>
  <c r="LM12" i="15"/>
  <c r="LN11" i="15"/>
  <c r="LM11" i="15"/>
  <c r="LN10" i="15"/>
  <c r="LM10" i="15"/>
  <c r="Z25" i="15"/>
  <c r="AF13" i="15" s="1"/>
  <c r="W18" i="15"/>
  <c r="X18" i="15" s="1"/>
  <c r="AC26" i="15"/>
  <c r="AC24" i="15"/>
  <c r="D192" i="15"/>
  <c r="J192" i="15" s="1"/>
  <c r="E192" i="15"/>
  <c r="L192" i="15" s="1"/>
  <c r="F192" i="15"/>
  <c r="M192" i="15" s="1"/>
  <c r="G192" i="15"/>
  <c r="C192" i="15"/>
  <c r="I192" i="15" s="1"/>
  <c r="R179" i="15"/>
  <c r="U19" i="15"/>
  <c r="V18" i="15"/>
  <c r="AK14" i="30" l="1"/>
  <c r="AK23" i="30" s="1"/>
  <c r="AE169" i="3"/>
  <c r="O169" i="3"/>
  <c r="AE165" i="3"/>
  <c r="O165" i="3"/>
  <c r="T24" i="15"/>
  <c r="AC23" i="15" s="1"/>
  <c r="T49" i="15"/>
  <c r="AH48" i="15" s="1"/>
  <c r="F69" i="13"/>
  <c r="G69" i="13" s="1"/>
  <c r="F154" i="13"/>
  <c r="G154" i="13" s="1"/>
  <c r="F171" i="13"/>
  <c r="F35" i="13"/>
  <c r="G35" i="13" s="1"/>
  <c r="C30" i="13"/>
  <c r="F151" i="13"/>
  <c r="G151" i="13" s="1"/>
  <c r="F168" i="13"/>
  <c r="G168" i="13" s="1"/>
  <c r="F152" i="13"/>
  <c r="G152" i="13" s="1"/>
  <c r="F169" i="13"/>
  <c r="G169" i="13" s="1"/>
  <c r="F86" i="13"/>
  <c r="G86" i="13" s="1"/>
  <c r="C13" i="13"/>
  <c r="D47" i="13"/>
  <c r="I47" i="13" s="1"/>
  <c r="C81" i="13"/>
  <c r="G52" i="13"/>
  <c r="F18" i="13"/>
  <c r="G18" i="13" s="1"/>
  <c r="AA25" i="15"/>
  <c r="AB25" i="15" s="1"/>
  <c r="I50" i="16"/>
  <c r="AD24" i="15"/>
  <c r="AE24" i="15" s="1"/>
  <c r="AF24" i="15" s="1"/>
  <c r="AD26" i="15"/>
  <c r="AE26" i="15" s="1"/>
  <c r="AF26" i="15" s="1"/>
  <c r="AC27" i="15"/>
  <c r="AC28" i="15" s="1"/>
  <c r="X14" i="15"/>
  <c r="C64" i="13"/>
  <c r="F84" i="13"/>
  <c r="G84" i="13" s="1"/>
  <c r="F135" i="13"/>
  <c r="G135" i="13" s="1"/>
  <c r="F118" i="13"/>
  <c r="G118" i="13" s="1"/>
  <c r="F101" i="13"/>
  <c r="G101" i="13" s="1"/>
  <c r="K85" i="13"/>
  <c r="K102" i="13"/>
  <c r="E72" i="13"/>
  <c r="E85" i="13"/>
  <c r="F137" i="13"/>
  <c r="F120" i="13"/>
  <c r="F103" i="13"/>
  <c r="F134" i="13"/>
  <c r="G134" i="13" s="1"/>
  <c r="F117" i="13"/>
  <c r="G117" i="13" s="1"/>
  <c r="F100" i="13"/>
  <c r="G100" i="13" s="1"/>
  <c r="I60" i="16"/>
  <c r="I29" i="16"/>
  <c r="Y18" i="15"/>
  <c r="W63" i="15" s="1"/>
  <c r="V63" i="15" s="1"/>
  <c r="X63" i="15"/>
  <c r="Y63" i="15" s="1"/>
  <c r="I33" i="16"/>
  <c r="I52" i="16"/>
  <c r="E17" i="13"/>
  <c r="K68" i="13"/>
  <c r="D13" i="13"/>
  <c r="I13" i="13" s="1"/>
  <c r="I17" i="13" s="1"/>
  <c r="I21" i="13" s="1"/>
  <c r="I22" i="13" s="1"/>
  <c r="I23" i="13" s="1"/>
  <c r="I24" i="13" s="1"/>
  <c r="C47" i="13"/>
  <c r="F16" i="13"/>
  <c r="G16" i="13" s="1"/>
  <c r="F33" i="13"/>
  <c r="G33" i="13" s="1"/>
  <c r="K55" i="13"/>
  <c r="F50" i="13"/>
  <c r="G50" i="13" s="1"/>
  <c r="NB25" i="15"/>
  <c r="I51" i="13"/>
  <c r="I55" i="13" s="1"/>
  <c r="I56" i="13" s="1"/>
  <c r="F67" i="13"/>
  <c r="G67" i="13" s="1"/>
  <c r="K34" i="13"/>
  <c r="I27" i="16"/>
  <c r="I31" i="16"/>
  <c r="E51" i="13"/>
  <c r="D81" i="13"/>
  <c r="Z26" i="15"/>
  <c r="Z27" i="15" s="1"/>
  <c r="K72" i="13"/>
  <c r="K38" i="13"/>
  <c r="K89" i="13"/>
  <c r="K51" i="13"/>
  <c r="D30" i="13"/>
  <c r="I30" i="13" s="1"/>
  <c r="I34" i="13" s="1"/>
  <c r="I38" i="13" s="1"/>
  <c r="I39" i="13" s="1"/>
  <c r="I40" i="13" s="1"/>
  <c r="I41" i="13" s="1"/>
  <c r="D64" i="13"/>
  <c r="I64" i="13" s="1"/>
  <c r="I68" i="13" s="1"/>
  <c r="I72" i="13" s="1"/>
  <c r="I40" i="16"/>
  <c r="I42" i="16"/>
  <c r="E45" i="13"/>
  <c r="E47" i="13" s="1"/>
  <c r="E89" i="13"/>
  <c r="I25" i="16"/>
  <c r="H48" i="16"/>
  <c r="I23" i="16"/>
  <c r="I59" i="16"/>
  <c r="I72" i="16"/>
  <c r="E61" i="16"/>
  <c r="I74" i="16" s="1"/>
  <c r="I68" i="16"/>
  <c r="H35" i="16"/>
  <c r="I36" i="16"/>
  <c r="I38" i="16"/>
  <c r="H61" i="16"/>
  <c r="E35" i="16"/>
  <c r="I35" i="16" s="1"/>
  <c r="I43" i="16"/>
  <c r="I44" i="16"/>
  <c r="I46" i="16"/>
  <c r="I57" i="16"/>
  <c r="I45" i="16"/>
  <c r="I24" i="16"/>
  <c r="I26" i="16"/>
  <c r="I28" i="16"/>
  <c r="I30" i="16"/>
  <c r="I32" i="16"/>
  <c r="I34" i="16"/>
  <c r="I41" i="16"/>
  <c r="I49" i="16"/>
  <c r="I51" i="16"/>
  <c r="I53" i="16"/>
  <c r="I55" i="16"/>
  <c r="I54" i="16"/>
  <c r="I56" i="16"/>
  <c r="I58" i="16"/>
  <c r="I37" i="16"/>
  <c r="I39" i="16"/>
  <c r="I47" i="16"/>
  <c r="E29" i="13"/>
  <c r="E30" i="13" s="1"/>
  <c r="E21" i="13"/>
  <c r="E68" i="13"/>
  <c r="E55" i="13"/>
  <c r="E80" i="13"/>
  <c r="E81" i="13" s="1"/>
  <c r="E64" i="13"/>
  <c r="E13" i="13"/>
  <c r="E34" i="13"/>
  <c r="E38" i="13"/>
  <c r="LP34" i="15"/>
  <c r="LP31" i="15"/>
  <c r="Z24" i="15"/>
  <c r="LP32" i="15"/>
  <c r="LP33" i="15"/>
  <c r="K192" i="15"/>
  <c r="NB24" i="15"/>
  <c r="LL23" i="15"/>
  <c r="LL26" i="15"/>
  <c r="NB28" i="15"/>
  <c r="NB27" i="15"/>
  <c r="NB26" i="15"/>
  <c r="NB23" i="15"/>
  <c r="LL27" i="15"/>
  <c r="LP29" i="15"/>
  <c r="LL25" i="15"/>
  <c r="LP37" i="15"/>
  <c r="NF33" i="15"/>
  <c r="LL24" i="15"/>
  <c r="LP30" i="15"/>
  <c r="NP16" i="15"/>
  <c r="NR16" i="15" s="1"/>
  <c r="NF32" i="15"/>
  <c r="NP11" i="15"/>
  <c r="NR11" i="15" s="1"/>
  <c r="NP14" i="15"/>
  <c r="NR14" i="15" s="1"/>
  <c r="NP12" i="15"/>
  <c r="NR12" i="15" s="1"/>
  <c r="NP18" i="15"/>
  <c r="NR18" i="15" s="1"/>
  <c r="NP27" i="15"/>
  <c r="NR27" i="15" s="1"/>
  <c r="NF30" i="15"/>
  <c r="NF37" i="15"/>
  <c r="NF29" i="15"/>
  <c r="NF31" i="15"/>
  <c r="NP21" i="15"/>
  <c r="NR21" i="15" s="1"/>
  <c r="NP28" i="15"/>
  <c r="NR28" i="15" s="1"/>
  <c r="NF34" i="15"/>
  <c r="LZ21" i="15"/>
  <c r="MB21" i="15" s="1"/>
  <c r="LZ25" i="15"/>
  <c r="MB25" i="15" s="1"/>
  <c r="LZ13" i="15"/>
  <c r="MB13" i="15" s="1"/>
  <c r="LZ17" i="15"/>
  <c r="MB17" i="15" s="1"/>
  <c r="LZ28" i="15"/>
  <c r="MB28" i="15" s="1"/>
  <c r="LZ22" i="15"/>
  <c r="MB22" i="15" s="1"/>
  <c r="V19" i="15"/>
  <c r="U20" i="15"/>
  <c r="W19" i="15"/>
  <c r="X19" i="15" s="1"/>
  <c r="AH47" i="15" l="1"/>
  <c r="Z23" i="15"/>
  <c r="Z48" i="15"/>
  <c r="AC48" i="15"/>
  <c r="U49" i="15"/>
  <c r="AG48" i="15"/>
  <c r="AG47" i="15" s="1"/>
  <c r="AG46" i="15" s="1"/>
  <c r="AG45" i="15" s="1"/>
  <c r="AG44" i="15" s="1"/>
  <c r="AG43" i="15" s="1"/>
  <c r="L168" i="13"/>
  <c r="L169" i="13"/>
  <c r="L69" i="13"/>
  <c r="L151" i="13"/>
  <c r="G171" i="13"/>
  <c r="L171" i="13" s="1"/>
  <c r="L152" i="13"/>
  <c r="K47" i="13"/>
  <c r="K64" i="13"/>
  <c r="F34" i="3"/>
  <c r="H34" i="3"/>
  <c r="AD27" i="15"/>
  <c r="AE27" i="15" s="1"/>
  <c r="AF27" i="15" s="1"/>
  <c r="AC22" i="15"/>
  <c r="AD23" i="15"/>
  <c r="AE23" i="15" s="1"/>
  <c r="AF23" i="15" s="1"/>
  <c r="E34" i="3" s="1"/>
  <c r="L135" i="13"/>
  <c r="E25" i="13"/>
  <c r="L35" i="13"/>
  <c r="L134" i="13"/>
  <c r="G103" i="13"/>
  <c r="L103" i="13" s="1"/>
  <c r="G120" i="13"/>
  <c r="I81" i="13"/>
  <c r="I85" i="13" s="1"/>
  <c r="I89" i="13" s="1"/>
  <c r="I90" i="13" s="1"/>
  <c r="I91" i="13" s="1"/>
  <c r="I92" i="13" s="1"/>
  <c r="K98" i="13"/>
  <c r="G137" i="13"/>
  <c r="L154" i="13" s="1"/>
  <c r="L101" i="13"/>
  <c r="L117" i="13"/>
  <c r="K30" i="13"/>
  <c r="L118" i="13"/>
  <c r="LV18" i="15"/>
  <c r="MO18" i="15" s="1"/>
  <c r="LV14" i="15"/>
  <c r="LV16" i="15"/>
  <c r="MO16" i="15" s="1"/>
  <c r="LV15" i="15"/>
  <c r="MO15" i="15" s="1"/>
  <c r="LV17" i="15"/>
  <c r="MO17" i="15" s="1"/>
  <c r="Y19" i="15"/>
  <c r="W64" i="15" s="1"/>
  <c r="V64" i="15" s="1"/>
  <c r="X64" i="15"/>
  <c r="Y64" i="15" s="1"/>
  <c r="AA27" i="15"/>
  <c r="AB27" i="15" s="1"/>
  <c r="Z28" i="15"/>
  <c r="AA26" i="15"/>
  <c r="AB26" i="15" s="1"/>
  <c r="L86" i="13"/>
  <c r="E93" i="13"/>
  <c r="L33" i="13"/>
  <c r="E59" i="13"/>
  <c r="K81" i="13"/>
  <c r="E76" i="13"/>
  <c r="E42" i="13"/>
  <c r="I48" i="16"/>
  <c r="I61" i="16"/>
  <c r="L67" i="13"/>
  <c r="L50" i="13"/>
  <c r="L52" i="13"/>
  <c r="L84" i="13"/>
  <c r="I73" i="13"/>
  <c r="I57" i="13"/>
  <c r="I25" i="13"/>
  <c r="AA24" i="15"/>
  <c r="AB24" i="15" s="1"/>
  <c r="LP36" i="15"/>
  <c r="Z22" i="15"/>
  <c r="AA23" i="15"/>
  <c r="AB23" i="15" s="1"/>
  <c r="NF36" i="15"/>
  <c r="U21" i="15"/>
  <c r="W20" i="15"/>
  <c r="X20" i="15" s="1"/>
  <c r="V20" i="15"/>
  <c r="AH46" i="15" l="1"/>
  <c r="V49" i="15"/>
  <c r="U50" i="15"/>
  <c r="W49" i="15"/>
  <c r="X49" i="15" s="1"/>
  <c r="Y49" i="15" s="1"/>
  <c r="AD48" i="15"/>
  <c r="AE48" i="15" s="1"/>
  <c r="AF48" i="15" s="1"/>
  <c r="AI48" i="15" s="1"/>
  <c r="AC47" i="15"/>
  <c r="Z47" i="15"/>
  <c r="AA48" i="15"/>
  <c r="AB48" i="15" s="1"/>
  <c r="L120" i="13"/>
  <c r="NL18" i="15"/>
  <c r="NV18" i="15" s="1"/>
  <c r="NW18" i="15" s="1"/>
  <c r="I34" i="3"/>
  <c r="ML15" i="15"/>
  <c r="MM15" i="15" s="1"/>
  <c r="MF18" i="15"/>
  <c r="MG18" i="15" s="1"/>
  <c r="AC21" i="15"/>
  <c r="AD22" i="15"/>
  <c r="AE22" i="15" s="1"/>
  <c r="AF22" i="15" s="1"/>
  <c r="D34" i="3" s="1"/>
  <c r="AC29" i="15"/>
  <c r="AD28" i="15"/>
  <c r="AE28" i="15" s="1"/>
  <c r="AF28" i="15" s="1"/>
  <c r="ML18" i="15"/>
  <c r="MM18" i="15" s="1"/>
  <c r="L137" i="13"/>
  <c r="MF15" i="15"/>
  <c r="MI15" i="15" s="1"/>
  <c r="ML16" i="15"/>
  <c r="MM16" i="15" s="1"/>
  <c r="MF16" i="15"/>
  <c r="MG16" i="15" s="1"/>
  <c r="ML17" i="15"/>
  <c r="MM17" i="15" s="1"/>
  <c r="MF17" i="15"/>
  <c r="MH17" i="15" s="1"/>
  <c r="AA28" i="15"/>
  <c r="AB28" i="15" s="1"/>
  <c r="Z29" i="15"/>
  <c r="Y20" i="15"/>
  <c r="W65" i="15" s="1"/>
  <c r="V65" i="15" s="1"/>
  <c r="X65" i="15"/>
  <c r="Y65" i="15" s="1"/>
  <c r="NL17" i="15"/>
  <c r="OE17" i="15" s="1"/>
  <c r="NL16" i="15"/>
  <c r="NV16" i="15" s="1"/>
  <c r="NW16" i="15" s="1"/>
  <c r="OM9" i="15"/>
  <c r="NL15" i="15"/>
  <c r="OE15" i="15" s="1"/>
  <c r="NL14" i="15"/>
  <c r="OE14" i="15" s="1"/>
  <c r="I93" i="13"/>
  <c r="K110" i="13" s="1"/>
  <c r="I74" i="13"/>
  <c r="I58" i="13"/>
  <c r="I59" i="13" s="1"/>
  <c r="LQ14" i="15"/>
  <c r="LQ28" i="15"/>
  <c r="NG17" i="15"/>
  <c r="NK20" i="15" s="1"/>
  <c r="NL20" i="15" s="1"/>
  <c r="NG25" i="15"/>
  <c r="LQ31" i="15"/>
  <c r="LQ20" i="15"/>
  <c r="LU26" i="15" s="1"/>
  <c r="LV26" i="15" s="1"/>
  <c r="NG19" i="15"/>
  <c r="NK22" i="15" s="1"/>
  <c r="NL22" i="15" s="1"/>
  <c r="LQ27" i="15"/>
  <c r="NG26" i="15"/>
  <c r="NG16" i="15"/>
  <c r="NK12" i="15" s="1"/>
  <c r="NL12" i="15" s="1"/>
  <c r="LQ19" i="15"/>
  <c r="LU22" i="15" s="1"/>
  <c r="LV22" i="15" s="1"/>
  <c r="LQ22" i="15"/>
  <c r="LQ10" i="15"/>
  <c r="LQ24" i="15"/>
  <c r="NG23" i="15"/>
  <c r="NK13" i="15" s="1"/>
  <c r="AA115" i="15" s="1"/>
  <c r="LQ25" i="15"/>
  <c r="LQ16" i="15"/>
  <c r="LU12" i="15" s="1"/>
  <c r="LV12" i="15" s="1"/>
  <c r="NG21" i="15"/>
  <c r="NK28" i="15" s="1"/>
  <c r="NG10" i="15"/>
  <c r="NK19" i="15" s="1"/>
  <c r="NL19" i="15" s="1"/>
  <c r="NG12" i="15"/>
  <c r="NK21" i="15" s="1"/>
  <c r="LQ15" i="15"/>
  <c r="LQ18" i="15"/>
  <c r="LU24" i="15" s="1"/>
  <c r="LV24" i="15" s="1"/>
  <c r="LQ17" i="15"/>
  <c r="LU20" i="15" s="1"/>
  <c r="LV20" i="15" s="1"/>
  <c r="NG14" i="15"/>
  <c r="LQ23" i="15"/>
  <c r="LU13" i="15" s="1"/>
  <c r="LV13" i="15" s="1"/>
  <c r="NG22" i="15"/>
  <c r="LQ12" i="15"/>
  <c r="LU21" i="15" s="1"/>
  <c r="LV21" i="15" s="1"/>
  <c r="NG18" i="15"/>
  <c r="NK24" i="15" s="1"/>
  <c r="NL24" i="15" s="1"/>
  <c r="NG15" i="15"/>
  <c r="NG11" i="15"/>
  <c r="NK23" i="15" s="1"/>
  <c r="NL23" i="15" s="1"/>
  <c r="LQ9" i="15"/>
  <c r="LU11" i="15" s="1"/>
  <c r="LV11" i="15" s="1"/>
  <c r="LQ13" i="15"/>
  <c r="LQ34" i="15"/>
  <c r="LQ32" i="15"/>
  <c r="LQ21" i="15"/>
  <c r="LU28" i="15" s="1"/>
  <c r="NG28" i="15"/>
  <c r="NG27" i="15"/>
  <c r="NG20" i="15"/>
  <c r="NK26" i="15" s="1"/>
  <c r="NL26" i="15" s="1"/>
  <c r="NG24" i="15"/>
  <c r="NG13" i="15"/>
  <c r="NG9" i="15"/>
  <c r="NK11" i="15" s="1"/>
  <c r="LQ26" i="15"/>
  <c r="LQ11" i="15"/>
  <c r="LU23" i="15" s="1"/>
  <c r="LV23" i="15" s="1"/>
  <c r="LQ33" i="15"/>
  <c r="NG32" i="15"/>
  <c r="Z21" i="15"/>
  <c r="AA22" i="15"/>
  <c r="AB22" i="15" s="1"/>
  <c r="NG30" i="15"/>
  <c r="NG31" i="15"/>
  <c r="NG29" i="15"/>
  <c r="NG33" i="15"/>
  <c r="LQ30" i="15"/>
  <c r="LQ29" i="15"/>
  <c r="NG34" i="15"/>
  <c r="MO14" i="15"/>
  <c r="MF14" i="15"/>
  <c r="ML14" i="15"/>
  <c r="MM14" i="15" s="1"/>
  <c r="V21" i="15"/>
  <c r="U22" i="15"/>
  <c r="W21" i="15"/>
  <c r="X21" i="15" s="1"/>
  <c r="AH45" i="15" l="1"/>
  <c r="AC46" i="15"/>
  <c r="AD47" i="15"/>
  <c r="AE47" i="15" s="1"/>
  <c r="AF47" i="15" s="1"/>
  <c r="AI47" i="15" s="1"/>
  <c r="Z46" i="15"/>
  <c r="AA47" i="15"/>
  <c r="AB47" i="15" s="1"/>
  <c r="V50" i="15"/>
  <c r="V57" i="15" s="1"/>
  <c r="U51" i="15"/>
  <c r="U57" i="15"/>
  <c r="W50" i="15"/>
  <c r="NL13" i="15"/>
  <c r="OB13" i="15" s="1"/>
  <c r="OC13" i="15" s="1"/>
  <c r="AA29" i="15"/>
  <c r="AB29" i="15" s="1"/>
  <c r="Z30" i="15"/>
  <c r="HU63" i="15"/>
  <c r="AD29" i="15"/>
  <c r="AE29" i="15" s="1"/>
  <c r="AF29" i="15" s="1"/>
  <c r="AC30" i="15"/>
  <c r="NX18" i="15"/>
  <c r="OB18" i="15"/>
  <c r="OC18" i="15" s="1"/>
  <c r="NY18" i="15"/>
  <c r="OE18" i="15"/>
  <c r="MI18" i="15"/>
  <c r="MH18" i="15"/>
  <c r="J34" i="3"/>
  <c r="AC20" i="15"/>
  <c r="AD21" i="15"/>
  <c r="AE21" i="15" s="1"/>
  <c r="AF21" i="15" s="1"/>
  <c r="C34" i="3" s="1"/>
  <c r="MH15" i="15"/>
  <c r="MG17" i="15"/>
  <c r="MI17" i="15"/>
  <c r="MG15" i="15"/>
  <c r="MI16" i="15"/>
  <c r="MH16" i="15"/>
  <c r="OE16" i="15"/>
  <c r="NV14" i="15"/>
  <c r="NW14" i="15" s="1"/>
  <c r="Y21" i="15"/>
  <c r="W66" i="15" s="1"/>
  <c r="V66" i="15" s="1"/>
  <c r="X66" i="15"/>
  <c r="Y66" i="15" s="1"/>
  <c r="OB16" i="15"/>
  <c r="OC16" i="15" s="1"/>
  <c r="NY16" i="15"/>
  <c r="OB17" i="15"/>
  <c r="OC17" i="15" s="1"/>
  <c r="OB15" i="15"/>
  <c r="OC15" i="15" s="1"/>
  <c r="NV15" i="15"/>
  <c r="NY15" i="15" s="1"/>
  <c r="JH16" i="15"/>
  <c r="JE16" i="15"/>
  <c r="JF16" i="15" s="1"/>
  <c r="IY16" i="15"/>
  <c r="NV17" i="15"/>
  <c r="NX17" i="15" s="1"/>
  <c r="NX16" i="15"/>
  <c r="OB14" i="15"/>
  <c r="OC14" i="15" s="1"/>
  <c r="OR9" i="15"/>
  <c r="I75" i="13"/>
  <c r="MH14" i="15"/>
  <c r="MG14" i="15"/>
  <c r="MI14" i="15"/>
  <c r="Z20" i="15"/>
  <c r="AA21" i="15"/>
  <c r="AB21" i="15" s="1"/>
  <c r="NV23" i="15"/>
  <c r="OB23" i="15"/>
  <c r="OC23" i="15" s="1"/>
  <c r="OE23" i="15"/>
  <c r="OE12" i="15"/>
  <c r="OB12" i="15"/>
  <c r="OC12" i="15" s="1"/>
  <c r="NV12" i="15"/>
  <c r="LU19" i="15"/>
  <c r="LV19" i="15" s="1"/>
  <c r="NK27" i="15"/>
  <c r="NK25" i="15"/>
  <c r="LU25" i="15"/>
  <c r="LV25" i="15" s="1"/>
  <c r="LU27" i="15"/>
  <c r="NV24" i="15"/>
  <c r="OE24" i="15"/>
  <c r="OB24" i="15"/>
  <c r="OC24" i="15" s="1"/>
  <c r="NL21" i="15"/>
  <c r="OB26" i="15"/>
  <c r="OC26" i="15" s="1"/>
  <c r="NV26" i="15"/>
  <c r="OE26" i="15"/>
  <c r="MO24" i="15"/>
  <c r="ML24" i="15"/>
  <c r="MM24" i="15" s="1"/>
  <c r="MF24" i="15"/>
  <c r="NL28" i="15"/>
  <c r="OE28" i="15" s="1"/>
  <c r="ML26" i="15"/>
  <c r="MM26" i="15" s="1"/>
  <c r="MF26" i="15"/>
  <c r="MO26" i="15"/>
  <c r="NL11" i="15"/>
  <c r="MO13" i="15"/>
  <c r="MF13" i="15"/>
  <c r="ML13" i="15"/>
  <c r="MM13" i="15" s="1"/>
  <c r="MO12" i="15"/>
  <c r="ML12" i="15"/>
  <c r="MM12" i="15" s="1"/>
  <c r="MF12" i="15"/>
  <c r="ML23" i="15"/>
  <c r="MM23" i="15" s="1"/>
  <c r="MO23" i="15"/>
  <c r="MF23" i="15"/>
  <c r="LV28" i="15"/>
  <c r="MO28" i="15" s="1"/>
  <c r="ML11" i="15"/>
  <c r="MM11" i="15" s="1"/>
  <c r="MO11" i="15"/>
  <c r="MF11" i="15"/>
  <c r="MO21" i="15"/>
  <c r="MF21" i="15"/>
  <c r="ML21" i="15"/>
  <c r="MM21" i="15" s="1"/>
  <c r="ML20" i="15"/>
  <c r="MM20" i="15" s="1"/>
  <c r="MO20" i="15"/>
  <c r="MF20" i="15"/>
  <c r="NV19" i="15"/>
  <c r="OE19" i="15"/>
  <c r="OB19" i="15"/>
  <c r="OC19" i="15" s="1"/>
  <c r="OE13" i="15"/>
  <c r="MO22" i="15"/>
  <c r="ML22" i="15"/>
  <c r="MM22" i="15" s="1"/>
  <c r="MF22" i="15"/>
  <c r="OB22" i="15"/>
  <c r="OC22" i="15" s="1"/>
  <c r="NV22" i="15"/>
  <c r="OE22" i="15"/>
  <c r="OB20" i="15"/>
  <c r="OC20" i="15" s="1"/>
  <c r="NV20" i="15"/>
  <c r="OE20" i="15"/>
  <c r="U23" i="15"/>
  <c r="W22" i="15"/>
  <c r="X22" i="15" s="1"/>
  <c r="V22" i="15"/>
  <c r="AH44" i="15" l="1"/>
  <c r="W57" i="15"/>
  <c r="X50" i="15"/>
  <c r="U52" i="15"/>
  <c r="W51" i="15"/>
  <c r="X51" i="15" s="1"/>
  <c r="Y51" i="15" s="1"/>
  <c r="V51" i="15"/>
  <c r="Z45" i="15"/>
  <c r="AA46" i="15"/>
  <c r="AB46" i="15" s="1"/>
  <c r="AD46" i="15"/>
  <c r="AE46" i="15" s="1"/>
  <c r="AF46" i="15" s="1"/>
  <c r="AI46" i="15" s="1"/>
  <c r="AC45" i="15"/>
  <c r="AD30" i="15"/>
  <c r="AE30" i="15" s="1"/>
  <c r="AF30" i="15" s="1"/>
  <c r="AG70" i="15" s="1"/>
  <c r="AG71" i="15" s="1"/>
  <c r="AC31" i="15"/>
  <c r="AD31" i="15" s="1"/>
  <c r="AE31" i="15" s="1"/>
  <c r="AF31" i="15" s="1"/>
  <c r="AA30" i="15"/>
  <c r="AB30" i="15" s="1"/>
  <c r="Z31" i="15"/>
  <c r="AA31" i="15" s="1"/>
  <c r="AB31" i="15" s="1"/>
  <c r="K34" i="3"/>
  <c r="N34" i="3" s="1"/>
  <c r="FT25" i="15"/>
  <c r="NV13" i="15"/>
  <c r="NY13" i="15" s="1"/>
  <c r="FS80" i="15"/>
  <c r="FT80" i="15" s="1"/>
  <c r="GY77" i="15"/>
  <c r="GY81" i="15"/>
  <c r="GY74" i="15"/>
  <c r="GY70" i="15"/>
  <c r="GY78" i="15"/>
  <c r="GY80" i="15"/>
  <c r="GY66" i="15"/>
  <c r="GY68" i="15"/>
  <c r="GY82" i="15"/>
  <c r="GY71" i="15"/>
  <c r="GY67" i="15"/>
  <c r="GY65" i="15"/>
  <c r="GY69" i="15"/>
  <c r="GY79" i="15"/>
  <c r="GY72" i="15"/>
  <c r="GY76" i="15"/>
  <c r="GY75" i="15"/>
  <c r="GY73" i="15"/>
  <c r="AC19" i="15"/>
  <c r="AD20" i="15"/>
  <c r="AE20" i="15" s="1"/>
  <c r="AF20" i="15" s="1"/>
  <c r="FK14" i="15"/>
  <c r="FQ14" i="15"/>
  <c r="FR14" i="15" s="1"/>
  <c r="FT14" i="15"/>
  <c r="HG21" i="15"/>
  <c r="HJ21" i="15" s="1"/>
  <c r="HG19" i="15"/>
  <c r="HG27" i="15"/>
  <c r="HG24" i="15"/>
  <c r="HG18" i="15"/>
  <c r="HG28" i="15"/>
  <c r="HG15" i="15"/>
  <c r="HG23" i="15"/>
  <c r="HG25" i="15"/>
  <c r="HG35" i="15" s="1"/>
  <c r="HG16" i="15"/>
  <c r="HG26" i="15"/>
  <c r="HG17" i="15"/>
  <c r="HG22" i="15"/>
  <c r="HH22" i="15" s="1"/>
  <c r="HG20" i="15"/>
  <c r="HG12" i="15"/>
  <c r="HG13" i="15"/>
  <c r="HG11" i="15"/>
  <c r="HI11" i="15" s="1"/>
  <c r="HG14" i="15"/>
  <c r="HJ14" i="15" s="1"/>
  <c r="NY14" i="15"/>
  <c r="NX14" i="15"/>
  <c r="Y22" i="15"/>
  <c r="W67" i="15" s="1"/>
  <c r="V67" i="15" s="1"/>
  <c r="X67" i="15"/>
  <c r="Y67" i="15" s="1"/>
  <c r="NX15" i="15"/>
  <c r="JA16" i="15"/>
  <c r="JB16" i="15"/>
  <c r="IZ16" i="15"/>
  <c r="NW15" i="15"/>
  <c r="NW17" i="15"/>
  <c r="NY17" i="15"/>
  <c r="MT16" i="15"/>
  <c r="MT13" i="15"/>
  <c r="MT21" i="15" s="1"/>
  <c r="MS16" i="15"/>
  <c r="I76" i="13"/>
  <c r="NY12" i="15"/>
  <c r="NW12" i="15"/>
  <c r="NX12" i="15"/>
  <c r="NY22" i="15"/>
  <c r="NX22" i="15"/>
  <c r="NW22" i="15"/>
  <c r="NY26" i="15"/>
  <c r="NX26" i="15"/>
  <c r="NW26" i="15"/>
  <c r="NW23" i="15"/>
  <c r="NX23" i="15"/>
  <c r="NY23" i="15"/>
  <c r="NY20" i="15"/>
  <c r="NW20" i="15"/>
  <c r="NX20" i="15"/>
  <c r="NY24" i="15"/>
  <c r="NW24" i="15"/>
  <c r="NX24" i="15"/>
  <c r="NW19" i="15"/>
  <c r="NX19" i="15"/>
  <c r="NY19" i="15"/>
  <c r="MG22" i="15"/>
  <c r="MH22" i="15"/>
  <c r="MI22" i="15"/>
  <c r="MG20" i="15"/>
  <c r="MI20" i="15"/>
  <c r="MH20" i="15"/>
  <c r="MH21" i="15"/>
  <c r="MI21" i="15"/>
  <c r="MG21" i="15"/>
  <c r="MG12" i="15"/>
  <c r="MI12" i="15"/>
  <c r="MH12" i="15"/>
  <c r="MH13" i="15"/>
  <c r="MI13" i="15"/>
  <c r="MG13" i="15"/>
  <c r="MH26" i="15"/>
  <c r="MG26" i="15"/>
  <c r="MI26" i="15"/>
  <c r="MG24" i="15"/>
  <c r="MH24" i="15"/>
  <c r="MI24" i="15"/>
  <c r="MH11" i="15"/>
  <c r="MI11" i="15"/>
  <c r="MG11" i="15"/>
  <c r="MH23" i="15"/>
  <c r="MI23" i="15"/>
  <c r="MG23" i="15"/>
  <c r="MS15" i="15"/>
  <c r="OI16" i="15"/>
  <c r="ON16" i="15" s="1"/>
  <c r="OS16" i="15" s="1"/>
  <c r="OJ14" i="15"/>
  <c r="OO14" i="15" s="1"/>
  <c r="OT14" i="15" s="1"/>
  <c r="MS13" i="15"/>
  <c r="MS21" i="15" s="1"/>
  <c r="NV21" i="15"/>
  <c r="OB21" i="15"/>
  <c r="OC21" i="15" s="1"/>
  <c r="OI15" i="15" s="1"/>
  <c r="ON15" i="15" s="1"/>
  <c r="OS15" i="15" s="1"/>
  <c r="NL27" i="15"/>
  <c r="OE21" i="15"/>
  <c r="OB11" i="15"/>
  <c r="NV11" i="15"/>
  <c r="MO25" i="15"/>
  <c r="MT17" i="15" s="1"/>
  <c r="MF25" i="15"/>
  <c r="ML25" i="15"/>
  <c r="MM25" i="15" s="1"/>
  <c r="MS17" i="15" s="1"/>
  <c r="ML19" i="15"/>
  <c r="MM19" i="15" s="1"/>
  <c r="MS14" i="15" s="1"/>
  <c r="MO19" i="15"/>
  <c r="MT14" i="15" s="1"/>
  <c r="LV27" i="15"/>
  <c r="OI14" i="15"/>
  <c r="MT15" i="15"/>
  <c r="MF28" i="15"/>
  <c r="ML28" i="15"/>
  <c r="MM28" i="15" s="1"/>
  <c r="OE11" i="15"/>
  <c r="OJ13" i="15" s="1"/>
  <c r="OO13" i="15" s="1"/>
  <c r="OT13" i="15" s="1"/>
  <c r="OT21" i="15" s="1"/>
  <c r="OB28" i="15"/>
  <c r="OC28" i="15" s="1"/>
  <c r="NV28" i="15"/>
  <c r="NL25" i="15"/>
  <c r="MF19" i="15"/>
  <c r="OJ16" i="15"/>
  <c r="OO16" i="15" s="1"/>
  <c r="OT16" i="15" s="1"/>
  <c r="Z19" i="15"/>
  <c r="AA20" i="15"/>
  <c r="AB20" i="15" s="1"/>
  <c r="V23" i="15"/>
  <c r="U24" i="15"/>
  <c r="W23" i="15"/>
  <c r="X23" i="15" s="1"/>
  <c r="EB9" i="15" l="1"/>
  <c r="L34" i="3"/>
  <c r="AH43" i="15"/>
  <c r="NW13" i="15"/>
  <c r="Z44" i="15"/>
  <c r="AA45" i="15"/>
  <c r="AB45" i="15" s="1"/>
  <c r="V52" i="15"/>
  <c r="U53" i="15"/>
  <c r="W52" i="15"/>
  <c r="X52" i="15" s="1"/>
  <c r="Y52" i="15" s="1"/>
  <c r="X57" i="15"/>
  <c r="Y50" i="15"/>
  <c r="AD45" i="15"/>
  <c r="AE45" i="15" s="1"/>
  <c r="AF45" i="15" s="1"/>
  <c r="AI45" i="15" s="1"/>
  <c r="AC44" i="15"/>
  <c r="M34" i="3"/>
  <c r="CD9" i="15"/>
  <c r="FK18" i="15"/>
  <c r="FN18" i="15" s="1"/>
  <c r="FQ12" i="15"/>
  <c r="FR12" i="15" s="1"/>
  <c r="FT26" i="15"/>
  <c r="FT29" i="15"/>
  <c r="FK13" i="15"/>
  <c r="FN13" i="15" s="1"/>
  <c r="FQ19" i="15"/>
  <c r="FR19" i="15" s="1"/>
  <c r="FK15" i="15"/>
  <c r="FL15" i="15" s="1"/>
  <c r="FK16" i="15"/>
  <c r="FM16" i="15" s="1"/>
  <c r="FT22" i="15"/>
  <c r="FT28" i="15"/>
  <c r="FK17" i="15"/>
  <c r="FL17" i="15" s="1"/>
  <c r="FT24" i="15"/>
  <c r="FZ16" i="15" s="1"/>
  <c r="NX13" i="15"/>
  <c r="DE17" i="15"/>
  <c r="DX17" i="15" s="1"/>
  <c r="BG14" i="15"/>
  <c r="BG29" i="15"/>
  <c r="BG23" i="15"/>
  <c r="BG19" i="15"/>
  <c r="BG25" i="15"/>
  <c r="BG17" i="15"/>
  <c r="BG20" i="15"/>
  <c r="BG21" i="15"/>
  <c r="BG13" i="15"/>
  <c r="BG18" i="15"/>
  <c r="BG11" i="15"/>
  <c r="BG15" i="15"/>
  <c r="BG24" i="15"/>
  <c r="BG22" i="15"/>
  <c r="BG16" i="15"/>
  <c r="BG12" i="15"/>
  <c r="BG27" i="15"/>
  <c r="BG28" i="15"/>
  <c r="BG26" i="15"/>
  <c r="FT27" i="15"/>
  <c r="FT20" i="15"/>
  <c r="FQ23" i="15"/>
  <c r="FR23" i="15" s="1"/>
  <c r="FT21" i="15"/>
  <c r="FQ11" i="15"/>
  <c r="FM70" i="15"/>
  <c r="FN70" i="15" s="1"/>
  <c r="FV80" i="15"/>
  <c r="FM81" i="15"/>
  <c r="FM93" i="15" s="1"/>
  <c r="FM69" i="15"/>
  <c r="FO69" i="15" s="1"/>
  <c r="FV68" i="15"/>
  <c r="FM74" i="15"/>
  <c r="FO74" i="15" s="1"/>
  <c r="FV71" i="15"/>
  <c r="FV73" i="15"/>
  <c r="FS67" i="15"/>
  <c r="FT67" i="15" s="1"/>
  <c r="DE14" i="15"/>
  <c r="DX14" i="15" s="1"/>
  <c r="FV82" i="15"/>
  <c r="FV78" i="15"/>
  <c r="FV72" i="15"/>
  <c r="FV84" i="15"/>
  <c r="FM80" i="15"/>
  <c r="FO80" i="15" s="1"/>
  <c r="FV75" i="15"/>
  <c r="FT15" i="15"/>
  <c r="DE28" i="15"/>
  <c r="DX28" i="15" s="1"/>
  <c r="FV79" i="15"/>
  <c r="FS76" i="15"/>
  <c r="FT76" i="15" s="1"/>
  <c r="DE22" i="15"/>
  <c r="DX22" i="15" s="1"/>
  <c r="DE16" i="15"/>
  <c r="DU16" i="15" s="1"/>
  <c r="DV16" i="15" s="1"/>
  <c r="FS83" i="15"/>
  <c r="FT83" i="15" s="1"/>
  <c r="FV77" i="15"/>
  <c r="DE15" i="15"/>
  <c r="DX15" i="15" s="1"/>
  <c r="DE20" i="15"/>
  <c r="DO20" i="15" s="1"/>
  <c r="DE21" i="15"/>
  <c r="DX21" i="15" s="1"/>
  <c r="DE26" i="15"/>
  <c r="DX26" i="15" s="1"/>
  <c r="DE24" i="15"/>
  <c r="DU24" i="15" s="1"/>
  <c r="DV24" i="15" s="1"/>
  <c r="DE29" i="15"/>
  <c r="DX29" i="15" s="1"/>
  <c r="DE18" i="15"/>
  <c r="DO18" i="15" s="1"/>
  <c r="DE19" i="15"/>
  <c r="DU19" i="15" s="1"/>
  <c r="DV19" i="15" s="1"/>
  <c r="DE12" i="15"/>
  <c r="DX12" i="15" s="1"/>
  <c r="DE13" i="15"/>
  <c r="DO13" i="15" s="1"/>
  <c r="DE27" i="15"/>
  <c r="DO27" i="15" s="1"/>
  <c r="DE23" i="15"/>
  <c r="DX23" i="15" s="1"/>
  <c r="DE25" i="15"/>
  <c r="DO25" i="15" s="1"/>
  <c r="DE11" i="15"/>
  <c r="DO11" i="15" s="1"/>
  <c r="FK11" i="15"/>
  <c r="FL11" i="15" s="1"/>
  <c r="FQ22" i="15"/>
  <c r="FR22" i="15" s="1"/>
  <c r="FK22" i="15"/>
  <c r="FM22" i="15" s="1"/>
  <c r="FS72" i="15"/>
  <c r="FT72" i="15" s="1"/>
  <c r="HR77" i="15"/>
  <c r="HI77" i="15"/>
  <c r="HO77" i="15"/>
  <c r="HP77" i="15" s="1"/>
  <c r="HR71" i="15"/>
  <c r="HO71" i="15"/>
  <c r="HP71" i="15" s="1"/>
  <c r="HI71" i="15"/>
  <c r="HR70" i="15"/>
  <c r="HO70" i="15"/>
  <c r="HP70" i="15" s="1"/>
  <c r="HI70" i="15"/>
  <c r="HR69" i="15"/>
  <c r="HO69" i="15"/>
  <c r="HP69" i="15" s="1"/>
  <c r="HI69" i="15"/>
  <c r="HR72" i="15"/>
  <c r="HO72" i="15"/>
  <c r="HP72" i="15" s="1"/>
  <c r="HI72" i="15"/>
  <c r="HR74" i="15"/>
  <c r="HI74" i="15"/>
  <c r="HO74" i="15"/>
  <c r="HP74" i="15" s="1"/>
  <c r="HR82" i="15"/>
  <c r="HO82" i="15"/>
  <c r="HP82" i="15" s="1"/>
  <c r="HI82" i="15"/>
  <c r="HR73" i="15"/>
  <c r="HO73" i="15"/>
  <c r="HP73" i="15" s="1"/>
  <c r="HI73" i="15"/>
  <c r="FM15" i="15"/>
  <c r="FN14" i="15"/>
  <c r="FL14" i="15"/>
  <c r="FM14" i="15"/>
  <c r="HR67" i="15"/>
  <c r="HO67" i="15"/>
  <c r="HP67" i="15" s="1"/>
  <c r="HI67" i="15"/>
  <c r="HR81" i="15"/>
  <c r="HI81" i="15"/>
  <c r="HO81" i="15"/>
  <c r="HP81" i="15" s="1"/>
  <c r="HR75" i="15"/>
  <c r="HO75" i="15"/>
  <c r="HP75" i="15" s="1"/>
  <c r="HI75" i="15"/>
  <c r="HR66" i="15"/>
  <c r="HO66" i="15"/>
  <c r="HP66" i="15" s="1"/>
  <c r="HI66" i="15"/>
  <c r="HR76" i="15"/>
  <c r="HO76" i="15"/>
  <c r="HP76" i="15" s="1"/>
  <c r="HI76" i="15"/>
  <c r="HR78" i="15"/>
  <c r="HO78" i="15"/>
  <c r="HP78" i="15" s="1"/>
  <c r="HI78" i="15"/>
  <c r="HR79" i="15"/>
  <c r="HI79" i="15"/>
  <c r="HO79" i="15"/>
  <c r="HP79" i="15" s="1"/>
  <c r="HR80" i="15"/>
  <c r="HO80" i="15"/>
  <c r="HP80" i="15" s="1"/>
  <c r="HI80" i="15"/>
  <c r="HH25" i="15"/>
  <c r="HH35" i="15" s="1"/>
  <c r="HR68" i="15"/>
  <c r="HI68" i="15"/>
  <c r="HO68" i="15"/>
  <c r="HP68" i="15" s="1"/>
  <c r="HR65" i="15"/>
  <c r="HI65" i="15"/>
  <c r="HK65" i="15" s="1"/>
  <c r="HO65" i="15"/>
  <c r="AC18" i="15"/>
  <c r="AD18" i="15" s="1"/>
  <c r="AE18" i="15" s="1"/>
  <c r="AF18" i="15" s="1"/>
  <c r="AD19" i="15"/>
  <c r="AE19" i="15" s="1"/>
  <c r="AF19" i="15" s="1"/>
  <c r="HI21" i="15"/>
  <c r="HH21" i="15"/>
  <c r="HG36" i="15"/>
  <c r="HH26" i="15"/>
  <c r="HH36" i="15" s="1"/>
  <c r="HJ15" i="15"/>
  <c r="HH20" i="15"/>
  <c r="HJ28" i="15"/>
  <c r="HI16" i="15"/>
  <c r="HH28" i="15"/>
  <c r="HJ20" i="15"/>
  <c r="HI25" i="15"/>
  <c r="HI35" i="15" s="1"/>
  <c r="HI20" i="15"/>
  <c r="HH14" i="15"/>
  <c r="HJ22" i="15"/>
  <c r="HH11" i="15"/>
  <c r="HJ16" i="15"/>
  <c r="HJ11" i="15"/>
  <c r="HI14" i="15"/>
  <c r="HI28" i="15"/>
  <c r="HH16" i="15"/>
  <c r="HI22" i="15"/>
  <c r="HP16" i="15"/>
  <c r="HJ25" i="15"/>
  <c r="HJ35" i="15" s="1"/>
  <c r="HJ23" i="15"/>
  <c r="HJ19" i="15"/>
  <c r="HI23" i="15"/>
  <c r="HI19" i="15"/>
  <c r="HJ17" i="15"/>
  <c r="HH19" i="15"/>
  <c r="HI17" i="15"/>
  <c r="HH17" i="15"/>
  <c r="HI15" i="15"/>
  <c r="HH15" i="15"/>
  <c r="HI18" i="15"/>
  <c r="HJ13" i="15"/>
  <c r="HI26" i="15"/>
  <c r="HI36" i="15" s="1"/>
  <c r="FQ15" i="15"/>
  <c r="FR15" i="15" s="1"/>
  <c r="HJ26" i="15"/>
  <c r="HJ36" i="15" s="1"/>
  <c r="HJ24" i="15"/>
  <c r="HG33" i="15"/>
  <c r="HG37" i="15"/>
  <c r="HI12" i="15"/>
  <c r="HH18" i="15"/>
  <c r="HH27" i="15"/>
  <c r="HH12" i="15"/>
  <c r="HJ18" i="15"/>
  <c r="HJ27" i="15"/>
  <c r="HG34" i="15"/>
  <c r="GQ38" i="15"/>
  <c r="HI27" i="15"/>
  <c r="HH23" i="15"/>
  <c r="HI13" i="15"/>
  <c r="HH24" i="15"/>
  <c r="HH13" i="15"/>
  <c r="HI24" i="15"/>
  <c r="HG30" i="15"/>
  <c r="HJ12" i="15"/>
  <c r="FK25" i="15"/>
  <c r="FQ25" i="15"/>
  <c r="FR25" i="15" s="1"/>
  <c r="FQ18" i="15"/>
  <c r="FR18" i="15" s="1"/>
  <c r="HM16" i="15"/>
  <c r="HN16" i="15" s="1"/>
  <c r="MT22" i="15"/>
  <c r="MS22" i="15"/>
  <c r="Y23" i="15"/>
  <c r="W68" i="15" s="1"/>
  <c r="V68" i="15" s="1"/>
  <c r="X68" i="15"/>
  <c r="Y68" i="15" s="1"/>
  <c r="JC16" i="15"/>
  <c r="OI22" i="15"/>
  <c r="ON14" i="15"/>
  <c r="OS14" i="15" s="1"/>
  <c r="OS22" i="15" s="1"/>
  <c r="OT22" i="15"/>
  <c r="K93" i="13"/>
  <c r="K76" i="13"/>
  <c r="NX11" i="15"/>
  <c r="NY11" i="15"/>
  <c r="NW11" i="15"/>
  <c r="NY28" i="15"/>
  <c r="NW28" i="15"/>
  <c r="NX28" i="15"/>
  <c r="NX21" i="15"/>
  <c r="NY21" i="15"/>
  <c r="NW21" i="15"/>
  <c r="OJ22" i="15"/>
  <c r="OJ15" i="15"/>
  <c r="OO15" i="15" s="1"/>
  <c r="OT15" i="15" s="1"/>
  <c r="MG28" i="15"/>
  <c r="MI28" i="15"/>
  <c r="MH28" i="15"/>
  <c r="MH25" i="15"/>
  <c r="MI25" i="15"/>
  <c r="MG25" i="15"/>
  <c r="MJ11" i="15"/>
  <c r="MH19" i="15"/>
  <c r="MI19" i="15"/>
  <c r="MG19" i="15"/>
  <c r="OJ21" i="15"/>
  <c r="MF27" i="15"/>
  <c r="ML27" i="15"/>
  <c r="OB27" i="15"/>
  <c r="OC27" i="15" s="1"/>
  <c r="OI18" i="15" s="1"/>
  <c r="ON18" i="15" s="1"/>
  <c r="OS18" i="15" s="1"/>
  <c r="NV27" i="15"/>
  <c r="AA19" i="15"/>
  <c r="AB19" i="15" s="1"/>
  <c r="Z18" i="15"/>
  <c r="AA18" i="15" s="1"/>
  <c r="AB18" i="15" s="1"/>
  <c r="OE25" i="15"/>
  <c r="OB25" i="15"/>
  <c r="OC25" i="15" s="1"/>
  <c r="OI17" i="15" s="1"/>
  <c r="ON17" i="15" s="1"/>
  <c r="OS17" i="15" s="1"/>
  <c r="NV25" i="15"/>
  <c r="MO27" i="15"/>
  <c r="MT18" i="15" s="1"/>
  <c r="MT19" i="15" s="1"/>
  <c r="OC11" i="15"/>
  <c r="OE27" i="15"/>
  <c r="U25" i="15"/>
  <c r="U32" i="15" s="1"/>
  <c r="W24" i="15"/>
  <c r="X24" i="15" s="1"/>
  <c r="V24" i="15"/>
  <c r="FL16" i="15" l="1"/>
  <c r="FM18" i="15"/>
  <c r="FZ17" i="15"/>
  <c r="FN15" i="15"/>
  <c r="FL18" i="15"/>
  <c r="FO18" i="15" s="1"/>
  <c r="FT18" i="15"/>
  <c r="FM84" i="15"/>
  <c r="FO84" i="15" s="1"/>
  <c r="FO94" i="15" s="1"/>
  <c r="FM72" i="15"/>
  <c r="FO72" i="15" s="1"/>
  <c r="V40" i="15"/>
  <c r="Y57" i="15"/>
  <c r="W53" i="15"/>
  <c r="X53" i="15" s="1"/>
  <c r="Y53" i="15" s="1"/>
  <c r="V53" i="15"/>
  <c r="U54" i="15"/>
  <c r="AD44" i="15"/>
  <c r="AE44" i="15" s="1"/>
  <c r="AF44" i="15" s="1"/>
  <c r="AI44" i="15" s="1"/>
  <c r="AC43" i="15"/>
  <c r="AD43" i="15" s="1"/>
  <c r="AE43" i="15" s="1"/>
  <c r="AF43" i="15" s="1"/>
  <c r="AI43" i="15" s="1"/>
  <c r="Z43" i="15"/>
  <c r="AA44" i="15"/>
  <c r="AB44" i="15" s="1"/>
  <c r="FM76" i="15"/>
  <c r="FP76" i="15" s="1"/>
  <c r="FK26" i="15"/>
  <c r="FL26" i="15" s="1"/>
  <c r="FL36" i="15" s="1"/>
  <c r="FV69" i="15"/>
  <c r="FN69" i="15"/>
  <c r="FQ17" i="15"/>
  <c r="FR17" i="15" s="1"/>
  <c r="FQ29" i="15"/>
  <c r="FR29" i="15" s="1"/>
  <c r="FY15" i="15"/>
  <c r="FN17" i="15"/>
  <c r="FS69" i="15"/>
  <c r="FT69" i="15" s="1"/>
  <c r="FZ18" i="15"/>
  <c r="FK23" i="15"/>
  <c r="FN23" i="15" s="1"/>
  <c r="FP69" i="15"/>
  <c r="FS84" i="15"/>
  <c r="FT84" i="15" s="1"/>
  <c r="GA74" i="15" s="1"/>
  <c r="FT12" i="15"/>
  <c r="FP81" i="15"/>
  <c r="FP93" i="15" s="1"/>
  <c r="FT13" i="15"/>
  <c r="FK12" i="15"/>
  <c r="FL12" i="15" s="1"/>
  <c r="FS79" i="15"/>
  <c r="FT79" i="15" s="1"/>
  <c r="GA72" i="15" s="1"/>
  <c r="FL13" i="15"/>
  <c r="FM13" i="15"/>
  <c r="FQ24" i="15"/>
  <c r="FR24" i="15" s="1"/>
  <c r="FY16" i="15" s="1"/>
  <c r="FT23" i="15"/>
  <c r="FZ15" i="15" s="1"/>
  <c r="DU28" i="15"/>
  <c r="DV28" i="15" s="1"/>
  <c r="FV76" i="15"/>
  <c r="GB70" i="15" s="1"/>
  <c r="FT11" i="15"/>
  <c r="FQ13" i="15"/>
  <c r="FR13" i="15" s="1"/>
  <c r="FT17" i="15"/>
  <c r="FK28" i="15"/>
  <c r="FM28" i="15" s="1"/>
  <c r="FM17" i="15"/>
  <c r="DU20" i="15"/>
  <c r="DV20" i="15" s="1"/>
  <c r="FQ28" i="15"/>
  <c r="FR28" i="15" s="1"/>
  <c r="FK29" i="15"/>
  <c r="FM29" i="15" s="1"/>
  <c r="FQ26" i="15"/>
  <c r="FR26" i="15" s="1"/>
  <c r="FK24" i="15"/>
  <c r="FN24" i="15" s="1"/>
  <c r="DX20" i="15"/>
  <c r="ED14" i="15" s="1"/>
  <c r="FN16" i="15"/>
  <c r="FO16" i="15" s="1"/>
  <c r="DO28" i="15"/>
  <c r="DQ28" i="15" s="1"/>
  <c r="FZ14" i="15"/>
  <c r="FZ22" i="15" s="1"/>
  <c r="FQ16" i="15"/>
  <c r="FR16" i="15" s="1"/>
  <c r="FQ21" i="15"/>
  <c r="FR21" i="15" s="1"/>
  <c r="FT16" i="15"/>
  <c r="FK20" i="15"/>
  <c r="FM20" i="15" s="1"/>
  <c r="GB72" i="15"/>
  <c r="FN81" i="15"/>
  <c r="FS81" i="15"/>
  <c r="FT81" i="15" s="1"/>
  <c r="FK21" i="15"/>
  <c r="FM21" i="15" s="1"/>
  <c r="FQ27" i="15"/>
  <c r="FR27" i="15" s="1"/>
  <c r="FO81" i="15"/>
  <c r="FO93" i="15" s="1"/>
  <c r="FM68" i="15"/>
  <c r="FP68" i="15" s="1"/>
  <c r="FV81" i="15"/>
  <c r="GB73" i="15" s="1"/>
  <c r="FQ20" i="15"/>
  <c r="FR20" i="15" s="1"/>
  <c r="FK19" i="15"/>
  <c r="FL19" i="15" s="1"/>
  <c r="DU17" i="15"/>
  <c r="DV17" i="15" s="1"/>
  <c r="DO14" i="15"/>
  <c r="BT14" i="15" s="1"/>
  <c r="FK27" i="15"/>
  <c r="FN27" i="15" s="1"/>
  <c r="FN37" i="15" s="1"/>
  <c r="FM79" i="15"/>
  <c r="FO79" i="15" s="1"/>
  <c r="DO17" i="15"/>
  <c r="DP17" i="15" s="1"/>
  <c r="FS68" i="15"/>
  <c r="FT68" i="15" s="1"/>
  <c r="DU14" i="15"/>
  <c r="DV14" i="15" s="1"/>
  <c r="FT19" i="15"/>
  <c r="BZ26" i="15"/>
  <c r="BW26" i="15"/>
  <c r="BX26" i="15" s="1"/>
  <c r="BQ26" i="15"/>
  <c r="BZ11" i="15"/>
  <c r="BW11" i="15"/>
  <c r="BQ11" i="15"/>
  <c r="BZ23" i="15"/>
  <c r="BW23" i="15"/>
  <c r="BX23" i="15" s="1"/>
  <c r="BQ23" i="15"/>
  <c r="BS18" i="15"/>
  <c r="BR18" i="15"/>
  <c r="BT18" i="15"/>
  <c r="BZ28" i="15"/>
  <c r="BQ28" i="15"/>
  <c r="BW28" i="15"/>
  <c r="BX28" i="15" s="1"/>
  <c r="BZ18" i="15"/>
  <c r="BW18" i="15"/>
  <c r="BX18" i="15" s="1"/>
  <c r="BQ18" i="15"/>
  <c r="BZ29" i="15"/>
  <c r="BQ29" i="15"/>
  <c r="BW29" i="15"/>
  <c r="BX29" i="15" s="1"/>
  <c r="FS70" i="15"/>
  <c r="FT70" i="15" s="1"/>
  <c r="BT25" i="15"/>
  <c r="BS25" i="15"/>
  <c r="BR25" i="15"/>
  <c r="BZ12" i="15"/>
  <c r="BW12" i="15"/>
  <c r="BX12" i="15" s="1"/>
  <c r="BQ12" i="15"/>
  <c r="BZ21" i="15"/>
  <c r="BQ21" i="15"/>
  <c r="BW21" i="15"/>
  <c r="BX21" i="15" s="1"/>
  <c r="BZ27" i="15"/>
  <c r="BW27" i="15"/>
  <c r="BX27" i="15" s="1"/>
  <c r="BQ27" i="15"/>
  <c r="FV83" i="15"/>
  <c r="GB74" i="15" s="1"/>
  <c r="BZ16" i="15"/>
  <c r="BW16" i="15"/>
  <c r="BX16" i="15" s="1"/>
  <c r="BQ16" i="15"/>
  <c r="BZ20" i="15"/>
  <c r="BW20" i="15"/>
  <c r="BX20" i="15" s="1"/>
  <c r="BQ20" i="15"/>
  <c r="BZ14" i="15"/>
  <c r="BW14" i="15"/>
  <c r="BX14" i="15" s="1"/>
  <c r="BQ14" i="15"/>
  <c r="FP70" i="15"/>
  <c r="BT27" i="15"/>
  <c r="BS27" i="15"/>
  <c r="BR27" i="15"/>
  <c r="BZ22" i="15"/>
  <c r="BQ22" i="15"/>
  <c r="BW22" i="15"/>
  <c r="BX22" i="15" s="1"/>
  <c r="BZ17" i="15"/>
  <c r="BW17" i="15"/>
  <c r="BX17" i="15" s="1"/>
  <c r="BQ17" i="15"/>
  <c r="BS11" i="15"/>
  <c r="BR11" i="15"/>
  <c r="BT11" i="15"/>
  <c r="FO70" i="15"/>
  <c r="DP13" i="15"/>
  <c r="BT13" i="15"/>
  <c r="BS13" i="15"/>
  <c r="BR13" i="15"/>
  <c r="BT20" i="15"/>
  <c r="BS20" i="15"/>
  <c r="BR20" i="15"/>
  <c r="BZ24" i="15"/>
  <c r="BW24" i="15"/>
  <c r="BX24" i="15" s="1"/>
  <c r="BQ24" i="15"/>
  <c r="BZ25" i="15"/>
  <c r="BQ25" i="15"/>
  <c r="BW25" i="15"/>
  <c r="BX25" i="15" s="1"/>
  <c r="BZ13" i="15"/>
  <c r="BW13" i="15"/>
  <c r="BX13" i="15" s="1"/>
  <c r="BQ13" i="15"/>
  <c r="FV70" i="15"/>
  <c r="BZ15" i="15"/>
  <c r="BW15" i="15"/>
  <c r="BX15" i="15" s="1"/>
  <c r="BQ15" i="15"/>
  <c r="BZ19" i="15"/>
  <c r="BQ19" i="15"/>
  <c r="BW19" i="15"/>
  <c r="BX19" i="15" s="1"/>
  <c r="FP80" i="15"/>
  <c r="FN80" i="15"/>
  <c r="FS71" i="15"/>
  <c r="FT71" i="15" s="1"/>
  <c r="FM83" i="15"/>
  <c r="FO83" i="15" s="1"/>
  <c r="FM71" i="15"/>
  <c r="FN71" i="15" s="1"/>
  <c r="FM75" i="15"/>
  <c r="FN75" i="15" s="1"/>
  <c r="DO16" i="15"/>
  <c r="DP16" i="15" s="1"/>
  <c r="FN74" i="15"/>
  <c r="FM73" i="15"/>
  <c r="FO73" i="15" s="1"/>
  <c r="FP74" i="15"/>
  <c r="FM82" i="15"/>
  <c r="FM92" i="15" s="1"/>
  <c r="FS73" i="15"/>
  <c r="FT73" i="15" s="1"/>
  <c r="FV74" i="15"/>
  <c r="FS82" i="15"/>
  <c r="FT82" i="15" s="1"/>
  <c r="FS75" i="15"/>
  <c r="FT75" i="15" s="1"/>
  <c r="GA70" i="15" s="1"/>
  <c r="FS74" i="15"/>
  <c r="FT74" i="15" s="1"/>
  <c r="DX24" i="15"/>
  <c r="DO69" i="15"/>
  <c r="DX69" i="15"/>
  <c r="DU69" i="15"/>
  <c r="DV69" i="15" s="1"/>
  <c r="DX68" i="15"/>
  <c r="DU68" i="15"/>
  <c r="DV68" i="15" s="1"/>
  <c r="DO68" i="15"/>
  <c r="FM67" i="15"/>
  <c r="FP67" i="15" s="1"/>
  <c r="DX72" i="15"/>
  <c r="DU72" i="15"/>
  <c r="DV72" i="15" s="1"/>
  <c r="DO72" i="15"/>
  <c r="DX66" i="15"/>
  <c r="DU66" i="15"/>
  <c r="DV66" i="15" s="1"/>
  <c r="DO66" i="15"/>
  <c r="DX60" i="15"/>
  <c r="DU60" i="15"/>
  <c r="DV60" i="15" s="1"/>
  <c r="DO60" i="15"/>
  <c r="DX56" i="15"/>
  <c r="DO56" i="15"/>
  <c r="DU56" i="15"/>
  <c r="DV56" i="15" s="1"/>
  <c r="DX67" i="15"/>
  <c r="DO67" i="15"/>
  <c r="DU67" i="15"/>
  <c r="DV67" i="15" s="1"/>
  <c r="FS78" i="15"/>
  <c r="FT78" i="15" s="1"/>
  <c r="DO22" i="15"/>
  <c r="DU26" i="15"/>
  <c r="DV26" i="15" s="1"/>
  <c r="DU71" i="15"/>
  <c r="DV71" i="15" s="1"/>
  <c r="DO71" i="15"/>
  <c r="DX71" i="15"/>
  <c r="DX73" i="15"/>
  <c r="DU73" i="15"/>
  <c r="DV73" i="15" s="1"/>
  <c r="DO73" i="15"/>
  <c r="DO65" i="15"/>
  <c r="DU65" i="15"/>
  <c r="DV65" i="15" s="1"/>
  <c r="DX65" i="15"/>
  <c r="FM78" i="15"/>
  <c r="FN78" i="15" s="1"/>
  <c r="DU22" i="15"/>
  <c r="DV22" i="15" s="1"/>
  <c r="DU21" i="15"/>
  <c r="DV21" i="15" s="1"/>
  <c r="GB71" i="15"/>
  <c r="DX62" i="15"/>
  <c r="DO62" i="15"/>
  <c r="DU62" i="15"/>
  <c r="DV62" i="15" s="1"/>
  <c r="DX70" i="15"/>
  <c r="DO70" i="15"/>
  <c r="DU70" i="15"/>
  <c r="DV70" i="15" s="1"/>
  <c r="DX59" i="15"/>
  <c r="DO59" i="15"/>
  <c r="DU59" i="15"/>
  <c r="DV59" i="15" s="1"/>
  <c r="FV67" i="15"/>
  <c r="DX63" i="15"/>
  <c r="DU63" i="15"/>
  <c r="DV63" i="15" s="1"/>
  <c r="DO63" i="15"/>
  <c r="DU57" i="15"/>
  <c r="DV57" i="15" s="1"/>
  <c r="DO57" i="15"/>
  <c r="DX57" i="15"/>
  <c r="DX64" i="15"/>
  <c r="DU64" i="15"/>
  <c r="DV64" i="15" s="1"/>
  <c r="DO64" i="15"/>
  <c r="DX61" i="15"/>
  <c r="DO61" i="15"/>
  <c r="DU61" i="15"/>
  <c r="DV61" i="15" s="1"/>
  <c r="DU58" i="15"/>
  <c r="DV58" i="15" s="1"/>
  <c r="DX58" i="15"/>
  <c r="DO58" i="15"/>
  <c r="DX55" i="15"/>
  <c r="DU55" i="15"/>
  <c r="DV55" i="15" s="1"/>
  <c r="DO55" i="15"/>
  <c r="DU27" i="15"/>
  <c r="DV27" i="15" s="1"/>
  <c r="DO24" i="15"/>
  <c r="DR24" i="15" s="1"/>
  <c r="DX16" i="15"/>
  <c r="FS77" i="15"/>
  <c r="FT77" i="15" s="1"/>
  <c r="DO15" i="15"/>
  <c r="FM77" i="15"/>
  <c r="FP77" i="15" s="1"/>
  <c r="DO19" i="15"/>
  <c r="DU15" i="15"/>
  <c r="DV15" i="15" s="1"/>
  <c r="DU18" i="15"/>
  <c r="DV18" i="15" s="1"/>
  <c r="DU25" i="15"/>
  <c r="DV25" i="15" s="1"/>
  <c r="EC16" i="15" s="1"/>
  <c r="DO21" i="15"/>
  <c r="DP21" i="15" s="1"/>
  <c r="DX25" i="15"/>
  <c r="DX18" i="15"/>
  <c r="DU11" i="15"/>
  <c r="DV11" i="15" s="1"/>
  <c r="DX11" i="15"/>
  <c r="DO29" i="15"/>
  <c r="DU29" i="15"/>
  <c r="DV29" i="15" s="1"/>
  <c r="DX19" i="15"/>
  <c r="DX27" i="15"/>
  <c r="ED17" i="15" s="1"/>
  <c r="DO12" i="15"/>
  <c r="DU13" i="15"/>
  <c r="DV13" i="15" s="1"/>
  <c r="DX13" i="15"/>
  <c r="DO26" i="15"/>
  <c r="DU12" i="15"/>
  <c r="DV12" i="15" s="1"/>
  <c r="DO23" i="15"/>
  <c r="DU23" i="15"/>
  <c r="DV23" i="15" s="1"/>
  <c r="FL22" i="15"/>
  <c r="FN22" i="15"/>
  <c r="FN11" i="15"/>
  <c r="FM11" i="15"/>
  <c r="ED18" i="15"/>
  <c r="ED15" i="15"/>
  <c r="DP18" i="15"/>
  <c r="DR18" i="15"/>
  <c r="DQ18" i="15"/>
  <c r="DP20" i="15"/>
  <c r="DR20" i="15"/>
  <c r="DQ20" i="15"/>
  <c r="DP25" i="15"/>
  <c r="DR25" i="15"/>
  <c r="DQ25" i="15"/>
  <c r="DQ13" i="15"/>
  <c r="DR13" i="15"/>
  <c r="DP27" i="15"/>
  <c r="DR27" i="15"/>
  <c r="DQ27" i="15"/>
  <c r="DQ11" i="15"/>
  <c r="DP11" i="15"/>
  <c r="DR11" i="15"/>
  <c r="HK21" i="15"/>
  <c r="HV72" i="15"/>
  <c r="HW71" i="15"/>
  <c r="HV68" i="15"/>
  <c r="HI89" i="15"/>
  <c r="HJ79" i="15"/>
  <c r="HK79" i="15"/>
  <c r="HK89" i="15" s="1"/>
  <c r="HL79" i="15"/>
  <c r="HL89" i="15" s="1"/>
  <c r="HL76" i="15"/>
  <c r="HJ76" i="15"/>
  <c r="HK76" i="15"/>
  <c r="HW69" i="15"/>
  <c r="HK74" i="15"/>
  <c r="HL74" i="15"/>
  <c r="HJ74" i="15"/>
  <c r="HJ70" i="15"/>
  <c r="HK70" i="15"/>
  <c r="HL70" i="15"/>
  <c r="HW70" i="15"/>
  <c r="HL68" i="15"/>
  <c r="HJ68" i="15"/>
  <c r="HK68" i="15"/>
  <c r="HL72" i="15"/>
  <c r="HJ72" i="15"/>
  <c r="HK72" i="15"/>
  <c r="HJ66" i="15"/>
  <c r="HL66" i="15"/>
  <c r="HK66" i="15"/>
  <c r="HI88" i="15"/>
  <c r="HJ73" i="15"/>
  <c r="HL73" i="15"/>
  <c r="HK73" i="15"/>
  <c r="HJ71" i="15"/>
  <c r="HK71" i="15"/>
  <c r="HL71" i="15"/>
  <c r="HL78" i="15"/>
  <c r="HK78" i="15"/>
  <c r="HJ78" i="15"/>
  <c r="HK80" i="15"/>
  <c r="HK90" i="15" s="1"/>
  <c r="HL80" i="15"/>
  <c r="HL90" i="15" s="1"/>
  <c r="HJ80" i="15"/>
  <c r="HI90" i="15"/>
  <c r="HP65" i="15"/>
  <c r="HO84" i="15"/>
  <c r="HK81" i="15"/>
  <c r="HL81" i="15"/>
  <c r="HJ81" i="15"/>
  <c r="HI91" i="15"/>
  <c r="HW68" i="15"/>
  <c r="HJ69" i="15"/>
  <c r="HL69" i="15"/>
  <c r="HK69" i="15"/>
  <c r="HI87" i="15"/>
  <c r="HI84" i="15"/>
  <c r="HJ65" i="15"/>
  <c r="HL65" i="15"/>
  <c r="HL75" i="15"/>
  <c r="HJ75" i="15"/>
  <c r="HK75" i="15"/>
  <c r="HW72" i="15"/>
  <c r="HI92" i="15"/>
  <c r="HL82" i="15"/>
  <c r="HK82" i="15"/>
  <c r="HJ82" i="15"/>
  <c r="HV70" i="15"/>
  <c r="FL25" i="15"/>
  <c r="FN25" i="15"/>
  <c r="FM25" i="15"/>
  <c r="HR84" i="15"/>
  <c r="HW67" i="15"/>
  <c r="HV71" i="15"/>
  <c r="HV69" i="15"/>
  <c r="HJ67" i="15"/>
  <c r="HL67" i="15"/>
  <c r="HK67" i="15"/>
  <c r="HL77" i="15"/>
  <c r="HK77" i="15"/>
  <c r="HJ77" i="15"/>
  <c r="GS38" i="15"/>
  <c r="HK16" i="15"/>
  <c r="HK11" i="15"/>
  <c r="HK14" i="15"/>
  <c r="HK20" i="15"/>
  <c r="HJ37" i="15"/>
  <c r="HK25" i="15"/>
  <c r="HK35" i="15" s="1"/>
  <c r="HK28" i="15"/>
  <c r="HH34" i="15"/>
  <c r="GU38" i="15"/>
  <c r="HK22" i="15"/>
  <c r="HH33" i="15"/>
  <c r="HK17" i="15"/>
  <c r="HK23" i="15"/>
  <c r="HK19" i="15"/>
  <c r="HI37" i="15"/>
  <c r="HK13" i="15"/>
  <c r="FO14" i="15"/>
  <c r="FR11" i="15"/>
  <c r="HI33" i="15"/>
  <c r="FO15" i="15"/>
  <c r="HI34" i="15"/>
  <c r="HJ33" i="15"/>
  <c r="HK15" i="15"/>
  <c r="HH37" i="15"/>
  <c r="HJ30" i="15"/>
  <c r="HK26" i="15"/>
  <c r="HK36" i="15" s="1"/>
  <c r="HH30" i="15"/>
  <c r="HK18" i="15"/>
  <c r="HK27" i="15"/>
  <c r="HI30" i="15"/>
  <c r="HJ34" i="15"/>
  <c r="HK12" i="15"/>
  <c r="HK24" i="15"/>
  <c r="GT38" i="15"/>
  <c r="Y24" i="15"/>
  <c r="W69" i="15" s="1"/>
  <c r="V69" i="15" s="1"/>
  <c r="X69" i="15"/>
  <c r="Y69" i="15" s="1"/>
  <c r="OS23" i="15"/>
  <c r="OJ18" i="15"/>
  <c r="OO18" i="15" s="1"/>
  <c r="OT18" i="15" s="1"/>
  <c r="NW27" i="15"/>
  <c r="NX27" i="15"/>
  <c r="NY27" i="15"/>
  <c r="OJ17" i="15"/>
  <c r="OO17" i="15" s="1"/>
  <c r="OT17" i="15" s="1"/>
  <c r="NV30" i="15"/>
  <c r="NX25" i="15"/>
  <c r="NY25" i="15"/>
  <c r="NW25" i="15"/>
  <c r="MF30" i="15"/>
  <c r="MH27" i="15"/>
  <c r="MI27" i="15"/>
  <c r="MG27" i="15"/>
  <c r="MT23" i="15"/>
  <c r="MT24" i="15" s="1"/>
  <c r="MO30" i="15"/>
  <c r="OI23" i="15"/>
  <c r="OC30" i="15"/>
  <c r="OI13" i="15"/>
  <c r="ON13" i="15" s="1"/>
  <c r="MM27" i="15"/>
  <c r="ML30" i="15"/>
  <c r="OE30" i="15"/>
  <c r="U26" i="15"/>
  <c r="U27" i="15" s="1"/>
  <c r="OB30" i="15"/>
  <c r="Z32" i="15"/>
  <c r="V25" i="15"/>
  <c r="W25" i="15"/>
  <c r="W32" i="15" s="1"/>
  <c r="ED51" i="15" l="1"/>
  <c r="FQ74" i="15"/>
  <c r="FQ70" i="15"/>
  <c r="FQ80" i="15"/>
  <c r="FN93" i="15"/>
  <c r="FQ81" i="15"/>
  <c r="FQ93" i="15" s="1"/>
  <c r="FT93" i="15" s="1"/>
  <c r="FQ69" i="15"/>
  <c r="FM27" i="15"/>
  <c r="FM37" i="15" s="1"/>
  <c r="FP84" i="15"/>
  <c r="FO76" i="15"/>
  <c r="FN76" i="15"/>
  <c r="FN84" i="15"/>
  <c r="FM94" i="15"/>
  <c r="FP72" i="15"/>
  <c r="FN72" i="15"/>
  <c r="FM19" i="15"/>
  <c r="FM34" i="15" s="1"/>
  <c r="FN26" i="15"/>
  <c r="FN36" i="15" s="1"/>
  <c r="FM26" i="15"/>
  <c r="FM36" i="15" s="1"/>
  <c r="DQ14" i="15"/>
  <c r="FL21" i="15"/>
  <c r="FL27" i="15"/>
  <c r="FL37" i="15" s="1"/>
  <c r="BR14" i="15"/>
  <c r="FN12" i="15"/>
  <c r="AA43" i="15"/>
  <c r="Z57" i="15"/>
  <c r="U55" i="15"/>
  <c r="W54" i="15"/>
  <c r="X54" i="15" s="1"/>
  <c r="Y54" i="15" s="1"/>
  <c r="V54" i="15"/>
  <c r="FM12" i="15"/>
  <c r="GA78" i="15"/>
  <c r="FK35" i="15"/>
  <c r="DR28" i="15"/>
  <c r="FO13" i="15"/>
  <c r="DR14" i="15"/>
  <c r="GP60" i="15"/>
  <c r="DP14" i="15"/>
  <c r="FN21" i="15"/>
  <c r="BS14" i="15"/>
  <c r="FY17" i="15"/>
  <c r="FY18" i="15"/>
  <c r="FO17" i="15"/>
  <c r="FM24" i="15"/>
  <c r="EX38" i="15" s="1"/>
  <c r="FZ23" i="15"/>
  <c r="FL23" i="15"/>
  <c r="FL29" i="15"/>
  <c r="FO95" i="15"/>
  <c r="FP73" i="15"/>
  <c r="FP91" i="15" s="1"/>
  <c r="EC14" i="15"/>
  <c r="EC22" i="15" s="1"/>
  <c r="FM23" i="15"/>
  <c r="FN29" i="15"/>
  <c r="GT60" i="15" s="1"/>
  <c r="CE14" i="15"/>
  <c r="FN79" i="15"/>
  <c r="FL24" i="15"/>
  <c r="EU38" i="15"/>
  <c r="GB79" i="15"/>
  <c r="FZ13" i="15"/>
  <c r="FZ21" i="15" s="1"/>
  <c r="FN28" i="15"/>
  <c r="EY38" i="15" s="1"/>
  <c r="FL28" i="15"/>
  <c r="BU25" i="15"/>
  <c r="FY14" i="15"/>
  <c r="FY22" i="15" s="1"/>
  <c r="DP28" i="15"/>
  <c r="FK36" i="15"/>
  <c r="DR21" i="15"/>
  <c r="FO68" i="15"/>
  <c r="FN20" i="15"/>
  <c r="FV87" i="15"/>
  <c r="BR28" i="15"/>
  <c r="ED16" i="15"/>
  <c r="ED22" i="15" s="1"/>
  <c r="EC18" i="15"/>
  <c r="FT31" i="15"/>
  <c r="FK31" i="15"/>
  <c r="FN73" i="15"/>
  <c r="FQ73" i="15" s="1"/>
  <c r="DQ16" i="15"/>
  <c r="FN19" i="15"/>
  <c r="EC53" i="15"/>
  <c r="BS28" i="15"/>
  <c r="CE18" i="15"/>
  <c r="GA73" i="15"/>
  <c r="BT28" i="15"/>
  <c r="FK37" i="15"/>
  <c r="FK34" i="15"/>
  <c r="FL20" i="15"/>
  <c r="EC17" i="15"/>
  <c r="FN68" i="15"/>
  <c r="DP24" i="15"/>
  <c r="DQ24" i="15"/>
  <c r="GB78" i="15"/>
  <c r="FN67" i="15"/>
  <c r="CF14" i="15"/>
  <c r="FQ31" i="15"/>
  <c r="FP83" i="15"/>
  <c r="BT17" i="15"/>
  <c r="FN83" i="15"/>
  <c r="FQ83" i="15" s="1"/>
  <c r="BR17" i="15"/>
  <c r="FM95" i="15"/>
  <c r="DQ17" i="15"/>
  <c r="BS17" i="15"/>
  <c r="FR31" i="15"/>
  <c r="DR17" i="15"/>
  <c r="FP79" i="15"/>
  <c r="BU20" i="15"/>
  <c r="BU27" i="15"/>
  <c r="DO82" i="15"/>
  <c r="DO83" i="15"/>
  <c r="DR19" i="15"/>
  <c r="BT19" i="15"/>
  <c r="BS19" i="15"/>
  <c r="BR19" i="15"/>
  <c r="DQ21" i="15"/>
  <c r="BR21" i="15"/>
  <c r="BT21" i="15"/>
  <c r="BS21" i="15"/>
  <c r="BU13" i="15"/>
  <c r="BW31" i="15"/>
  <c r="BX11" i="15"/>
  <c r="FP71" i="15"/>
  <c r="DP15" i="15"/>
  <c r="BT15" i="15"/>
  <c r="BS15" i="15"/>
  <c r="BR15" i="15"/>
  <c r="FO71" i="15"/>
  <c r="BU11" i="15"/>
  <c r="BU18" i="15"/>
  <c r="CF13" i="15"/>
  <c r="BZ31" i="15"/>
  <c r="BQ31" i="15"/>
  <c r="DP23" i="15"/>
  <c r="BS23" i="15"/>
  <c r="BR23" i="15"/>
  <c r="BT23" i="15"/>
  <c r="BS24" i="15"/>
  <c r="BR24" i="15"/>
  <c r="BT24" i="15"/>
  <c r="CE15" i="15"/>
  <c r="DR12" i="15"/>
  <c r="BT12" i="15"/>
  <c r="BS12" i="15"/>
  <c r="BR12" i="15"/>
  <c r="DO85" i="15"/>
  <c r="DR29" i="15"/>
  <c r="BT29" i="15"/>
  <c r="BS29" i="15"/>
  <c r="BR29" i="15"/>
  <c r="DQ22" i="15"/>
  <c r="BS22" i="15"/>
  <c r="BR22" i="15"/>
  <c r="BT22" i="15"/>
  <c r="DR16" i="15"/>
  <c r="BT16" i="15"/>
  <c r="BS16" i="15"/>
  <c r="BR16" i="15"/>
  <c r="CE16" i="15"/>
  <c r="CF18" i="15"/>
  <c r="CE17" i="15"/>
  <c r="DP26" i="15"/>
  <c r="BS26" i="15"/>
  <c r="BR26" i="15"/>
  <c r="BT26" i="15"/>
  <c r="FT87" i="15"/>
  <c r="GA69" i="15"/>
  <c r="CF16" i="15"/>
  <c r="CF15" i="15"/>
  <c r="CF17" i="15"/>
  <c r="EC51" i="15"/>
  <c r="FP75" i="15"/>
  <c r="EC49" i="15"/>
  <c r="FO75" i="15"/>
  <c r="ED50" i="15"/>
  <c r="FP82" i="15"/>
  <c r="FP92" i="15" s="1"/>
  <c r="DQ15" i="15"/>
  <c r="DP22" i="15"/>
  <c r="ED52" i="15"/>
  <c r="FO82" i="15"/>
  <c r="FO92" i="15" s="1"/>
  <c r="DP29" i="15"/>
  <c r="FO77" i="15"/>
  <c r="FN82" i="15"/>
  <c r="DR22" i="15"/>
  <c r="EC15" i="15"/>
  <c r="DO84" i="15"/>
  <c r="DP56" i="15"/>
  <c r="DR56" i="15"/>
  <c r="DQ56" i="15"/>
  <c r="FO78" i="15"/>
  <c r="EC50" i="15"/>
  <c r="FM90" i="15"/>
  <c r="DQ55" i="15"/>
  <c r="DR55" i="15"/>
  <c r="DP55" i="15"/>
  <c r="DP61" i="15"/>
  <c r="DQ61" i="15"/>
  <c r="DR61" i="15"/>
  <c r="DP59" i="15"/>
  <c r="DQ59" i="15"/>
  <c r="DR59" i="15"/>
  <c r="DR67" i="15"/>
  <c r="DQ67" i="15"/>
  <c r="DP67" i="15"/>
  <c r="DR60" i="15"/>
  <c r="DQ60" i="15"/>
  <c r="DP60" i="15"/>
  <c r="DR62" i="15"/>
  <c r="DQ62" i="15"/>
  <c r="DP62" i="15"/>
  <c r="DQ71" i="15"/>
  <c r="DQ83" i="15" s="1"/>
  <c r="DP71" i="15"/>
  <c r="DR71" i="15"/>
  <c r="DR83" i="15" s="1"/>
  <c r="GB69" i="15"/>
  <c r="GB75" i="15" s="1"/>
  <c r="DP57" i="15"/>
  <c r="DQ57" i="15"/>
  <c r="DR57" i="15"/>
  <c r="DR65" i="15"/>
  <c r="DQ65" i="15"/>
  <c r="DP65" i="15"/>
  <c r="DQ72" i="15"/>
  <c r="DQ82" i="15" s="1"/>
  <c r="DP72" i="15"/>
  <c r="DR72" i="15"/>
  <c r="DR82" i="15" s="1"/>
  <c r="FS87" i="15"/>
  <c r="FP78" i="15"/>
  <c r="GA71" i="15"/>
  <c r="ED49" i="15"/>
  <c r="ED57" i="15" s="1"/>
  <c r="DQ73" i="15"/>
  <c r="DP73" i="15"/>
  <c r="DR73" i="15"/>
  <c r="DP66" i="15"/>
  <c r="DQ66" i="15"/>
  <c r="DR66" i="15"/>
  <c r="DR58" i="15"/>
  <c r="DQ58" i="15"/>
  <c r="DP58" i="15"/>
  <c r="DQ63" i="15"/>
  <c r="DR63" i="15"/>
  <c r="DP63" i="15"/>
  <c r="DR70" i="15"/>
  <c r="DR84" i="15" s="1"/>
  <c r="DQ70" i="15"/>
  <c r="DQ84" i="15" s="1"/>
  <c r="DP70" i="15"/>
  <c r="FO67" i="15"/>
  <c r="DQ68" i="15"/>
  <c r="DP68" i="15"/>
  <c r="DR68" i="15"/>
  <c r="DR69" i="15"/>
  <c r="DQ69" i="15"/>
  <c r="DP69" i="15"/>
  <c r="DQ64" i="15"/>
  <c r="DR64" i="15"/>
  <c r="DP64" i="15"/>
  <c r="ED53" i="15"/>
  <c r="EC52" i="15"/>
  <c r="DP19" i="15"/>
  <c r="DQ29" i="15"/>
  <c r="ED13" i="15"/>
  <c r="DX31" i="15"/>
  <c r="DP12" i="15"/>
  <c r="DQ19" i="15"/>
  <c r="FN77" i="15"/>
  <c r="FM91" i="15"/>
  <c r="FM87" i="15"/>
  <c r="DR15" i="15"/>
  <c r="DQ12" i="15"/>
  <c r="DO31" i="15"/>
  <c r="DQ26" i="15"/>
  <c r="DR26" i="15"/>
  <c r="DQ23" i="15"/>
  <c r="FO22" i="15"/>
  <c r="DR23" i="15"/>
  <c r="DU31" i="15"/>
  <c r="FO11" i="15"/>
  <c r="DS18" i="15"/>
  <c r="ED23" i="15"/>
  <c r="DS20" i="15"/>
  <c r="EC13" i="15"/>
  <c r="DV31" i="15"/>
  <c r="DS11" i="15"/>
  <c r="DS25" i="15"/>
  <c r="DS27" i="15"/>
  <c r="DS13" i="15"/>
  <c r="FP94" i="15"/>
  <c r="HV76" i="15"/>
  <c r="HM80" i="15"/>
  <c r="HM90" i="15" s="1"/>
  <c r="HM77" i="15"/>
  <c r="HM81" i="15"/>
  <c r="HM76" i="15"/>
  <c r="GS60" i="15"/>
  <c r="FO25" i="15"/>
  <c r="HM82" i="15"/>
  <c r="HM74" i="15"/>
  <c r="HM65" i="15"/>
  <c r="HM79" i="15"/>
  <c r="HM75" i="15"/>
  <c r="HM66" i="15"/>
  <c r="HM71" i="15"/>
  <c r="HM72" i="15"/>
  <c r="HM78" i="15"/>
  <c r="HM73" i="15"/>
  <c r="HM67" i="15"/>
  <c r="HM69" i="15"/>
  <c r="HM70" i="15"/>
  <c r="HM68" i="15"/>
  <c r="HL92" i="15"/>
  <c r="HK88" i="15"/>
  <c r="HK91" i="15"/>
  <c r="GV38" i="15"/>
  <c r="HV77" i="15"/>
  <c r="HW77" i="15"/>
  <c r="HW73" i="15"/>
  <c r="HW75" i="15"/>
  <c r="HJ88" i="15"/>
  <c r="HJ92" i="15"/>
  <c r="HL87" i="15"/>
  <c r="HL84" i="15"/>
  <c r="HW76" i="15"/>
  <c r="HL88" i="15"/>
  <c r="HV67" i="15"/>
  <c r="HP84" i="15"/>
  <c r="HK92" i="15"/>
  <c r="HJ84" i="15"/>
  <c r="HJ87" i="15"/>
  <c r="HK87" i="15"/>
  <c r="HK84" i="15"/>
  <c r="HJ91" i="15"/>
  <c r="HJ90" i="15"/>
  <c r="HL91" i="15"/>
  <c r="HJ89" i="15"/>
  <c r="FY13" i="15"/>
  <c r="FY21" i="15" s="1"/>
  <c r="HK34" i="15"/>
  <c r="HK37" i="15"/>
  <c r="HK33" i="15"/>
  <c r="HK30" i="15"/>
  <c r="OT19" i="15"/>
  <c r="V32" i="15"/>
  <c r="U28" i="15"/>
  <c r="U29" i="15" s="1"/>
  <c r="U30" i="15" s="1"/>
  <c r="U31" i="15" s="1"/>
  <c r="W27" i="15"/>
  <c r="X27" i="15" s="1"/>
  <c r="V27" i="15"/>
  <c r="V26" i="15"/>
  <c r="ON21" i="15"/>
  <c r="OS13" i="15"/>
  <c r="OJ23" i="15"/>
  <c r="OJ24" i="15" s="1"/>
  <c r="MT26" i="15" s="1"/>
  <c r="OT23" i="15"/>
  <c r="OT24" i="15" s="1"/>
  <c r="OO21" i="15"/>
  <c r="OJ19" i="15"/>
  <c r="W26" i="15"/>
  <c r="X26" i="15" s="1"/>
  <c r="MS18" i="15"/>
  <c r="MM30" i="15"/>
  <c r="X25" i="15"/>
  <c r="X70" i="15" s="1"/>
  <c r="Y70" i="15" s="1"/>
  <c r="OI19" i="15"/>
  <c r="OI21" i="15"/>
  <c r="OI24" i="15" s="1"/>
  <c r="AB32" i="15"/>
  <c r="AA32" i="15"/>
  <c r="DS57" i="15" l="1"/>
  <c r="DS59" i="15"/>
  <c r="DS66" i="15"/>
  <c r="DS72" i="15"/>
  <c r="FQ78" i="15"/>
  <c r="FQ75" i="15"/>
  <c r="FZ70" i="15" s="1"/>
  <c r="FQ72" i="15"/>
  <c r="DS55" i="15"/>
  <c r="FQ71" i="15"/>
  <c r="DS56" i="15"/>
  <c r="DS70" i="15"/>
  <c r="DS62" i="15"/>
  <c r="FQ76" i="15"/>
  <c r="FQ77" i="15"/>
  <c r="DS68" i="15"/>
  <c r="DS73" i="15"/>
  <c r="DS64" i="15"/>
  <c r="DS58" i="15"/>
  <c r="DS65" i="15"/>
  <c r="DS71" i="15"/>
  <c r="DS67" i="15"/>
  <c r="DS61" i="15"/>
  <c r="FQ79" i="15"/>
  <c r="FZ72" i="15" s="1"/>
  <c r="FN94" i="15"/>
  <c r="FQ84" i="15"/>
  <c r="FQ94" i="15" s="1"/>
  <c r="FT94" i="15" s="1"/>
  <c r="DS69" i="15"/>
  <c r="DS83" i="15" s="1"/>
  <c r="FQ68" i="15"/>
  <c r="DS63" i="15"/>
  <c r="DS60" i="15"/>
  <c r="FN92" i="15"/>
  <c r="FQ82" i="15"/>
  <c r="FQ92" i="15" s="1"/>
  <c r="FT92" i="15" s="1"/>
  <c r="FQ67" i="15"/>
  <c r="FL35" i="15"/>
  <c r="FO19" i="15"/>
  <c r="FN90" i="15"/>
  <c r="FO26" i="15"/>
  <c r="FO36" i="15" s="1"/>
  <c r="FO12" i="15"/>
  <c r="FO27" i="15"/>
  <c r="FO37" i="15" s="1"/>
  <c r="FO21" i="15"/>
  <c r="FN35" i="15"/>
  <c r="FO24" i="15"/>
  <c r="FX16" i="15" s="1"/>
  <c r="FM31" i="15"/>
  <c r="BU14" i="15"/>
  <c r="DS28" i="15"/>
  <c r="FY23" i="15"/>
  <c r="FY24" i="15" s="1"/>
  <c r="W55" i="15"/>
  <c r="X55" i="15" s="1"/>
  <c r="Y55" i="15" s="1"/>
  <c r="V55" i="15"/>
  <c r="U56" i="15"/>
  <c r="FM35" i="15"/>
  <c r="AB43" i="15"/>
  <c r="AB57" i="15" s="1"/>
  <c r="AA57" i="15"/>
  <c r="FZ19" i="15"/>
  <c r="DS14" i="15"/>
  <c r="GA79" i="15"/>
  <c r="FO29" i="15"/>
  <c r="GU60" i="15" s="1"/>
  <c r="FZ24" i="15"/>
  <c r="FN34" i="15"/>
  <c r="BU12" i="15"/>
  <c r="EC23" i="15"/>
  <c r="CF22" i="15"/>
  <c r="DS24" i="15"/>
  <c r="EB16" i="15" s="1"/>
  <c r="FO23" i="15"/>
  <c r="FX15" i="15" s="1"/>
  <c r="GQ60" i="15"/>
  <c r="BU28" i="15"/>
  <c r="EW38" i="15"/>
  <c r="FP95" i="15"/>
  <c r="FN95" i="15"/>
  <c r="CE22" i="15"/>
  <c r="FO28" i="15"/>
  <c r="DS17" i="15"/>
  <c r="FL31" i="15"/>
  <c r="FO91" i="15"/>
  <c r="GA75" i="15"/>
  <c r="BU16" i="15"/>
  <c r="DS21" i="15"/>
  <c r="EB14" i="15" s="1"/>
  <c r="FN31" i="15"/>
  <c r="FO20" i="15"/>
  <c r="ED19" i="15"/>
  <c r="FN87" i="15"/>
  <c r="FL34" i="15"/>
  <c r="DS16" i="15"/>
  <c r="BU21" i="15"/>
  <c r="CD14" i="15" s="1"/>
  <c r="W31" i="15"/>
  <c r="X31" i="15" s="1"/>
  <c r="Y31" i="15" s="1"/>
  <c r="V31" i="15"/>
  <c r="BU29" i="15"/>
  <c r="EC57" i="15"/>
  <c r="BU24" i="15"/>
  <c r="CD16" i="15" s="1"/>
  <c r="BU17" i="15"/>
  <c r="BT31" i="15"/>
  <c r="BS31" i="15"/>
  <c r="BU19" i="15"/>
  <c r="GA77" i="15"/>
  <c r="DS19" i="15"/>
  <c r="BU15" i="15"/>
  <c r="CF23" i="15"/>
  <c r="CE23" i="15"/>
  <c r="CF19" i="15"/>
  <c r="CF21" i="15"/>
  <c r="BX31" i="15"/>
  <c r="CE13" i="15"/>
  <c r="FP90" i="15"/>
  <c r="BU22" i="15"/>
  <c r="BU23" i="15"/>
  <c r="BR31" i="15"/>
  <c r="DS29" i="15"/>
  <c r="BU26" i="15"/>
  <c r="CD17" i="15" s="1"/>
  <c r="DS22" i="15"/>
  <c r="DS15" i="15"/>
  <c r="FO87" i="15"/>
  <c r="FO90" i="15"/>
  <c r="ED21" i="15"/>
  <c r="ED24" i="15" s="1"/>
  <c r="ED58" i="15"/>
  <c r="FP87" i="15"/>
  <c r="DR85" i="15"/>
  <c r="GB77" i="15"/>
  <c r="GB80" i="15" s="1"/>
  <c r="GB82" i="15" s="1"/>
  <c r="DP82" i="15"/>
  <c r="DP83" i="15"/>
  <c r="EC58" i="15"/>
  <c r="DP84" i="15"/>
  <c r="DR80" i="15"/>
  <c r="DS26" i="15"/>
  <c r="EB17" i="15" s="1"/>
  <c r="DQ80" i="15"/>
  <c r="DP31" i="15"/>
  <c r="DP81" i="15"/>
  <c r="DP85" i="15"/>
  <c r="DP80" i="15"/>
  <c r="DQ81" i="15"/>
  <c r="DQ85" i="15"/>
  <c r="FN91" i="15"/>
  <c r="DR81" i="15"/>
  <c r="DS12" i="15"/>
  <c r="DS23" i="15"/>
  <c r="DR31" i="15"/>
  <c r="DQ31" i="15"/>
  <c r="V30" i="15"/>
  <c r="W30" i="15"/>
  <c r="X30" i="15" s="1"/>
  <c r="Y30" i="15" s="1"/>
  <c r="EC19" i="15"/>
  <c r="EC21" i="15"/>
  <c r="HU70" i="15"/>
  <c r="HU72" i="15"/>
  <c r="HU69" i="15"/>
  <c r="HM84" i="15"/>
  <c r="HU68" i="15"/>
  <c r="HM92" i="15"/>
  <c r="HM91" i="15"/>
  <c r="HV75" i="15"/>
  <c r="HV78" i="15" s="1"/>
  <c r="HV73" i="15"/>
  <c r="HM88" i="15"/>
  <c r="HM87" i="15"/>
  <c r="HU67" i="15"/>
  <c r="J36" i="3" s="1"/>
  <c r="HW78" i="15"/>
  <c r="HW80" i="15" s="1"/>
  <c r="HM89" i="15"/>
  <c r="HU71" i="15"/>
  <c r="FY19" i="15"/>
  <c r="W29" i="15"/>
  <c r="X29" i="15" s="1"/>
  <c r="Y29" i="15" s="1"/>
  <c r="V29" i="15"/>
  <c r="Y26" i="15"/>
  <c r="W71" i="15" s="1"/>
  <c r="V71" i="15" s="1"/>
  <c r="X71" i="15"/>
  <c r="Y71" i="15" s="1"/>
  <c r="Y27" i="15"/>
  <c r="W72" i="15" s="1"/>
  <c r="V72" i="15" s="1"/>
  <c r="X72" i="15"/>
  <c r="Y72" i="15" s="1"/>
  <c r="V28" i="15"/>
  <c r="W28" i="15"/>
  <c r="X28" i="15" s="1"/>
  <c r="Y28" i="15" s="1"/>
  <c r="OS21" i="15"/>
  <c r="OS24" i="15" s="1"/>
  <c r="OS19" i="15"/>
  <c r="OO22" i="15"/>
  <c r="Y25" i="15"/>
  <c r="V15" i="15" s="1"/>
  <c r="X32" i="15"/>
  <c r="MS23" i="15"/>
  <c r="MS24" i="15" s="1"/>
  <c r="MS26" i="15" s="1"/>
  <c r="MS19" i="15"/>
  <c r="FZ74" i="15" l="1"/>
  <c r="FX13" i="15"/>
  <c r="FX21" i="15" s="1"/>
  <c r="FX17" i="15"/>
  <c r="EB18" i="15"/>
  <c r="FQ91" i="15"/>
  <c r="FT91" i="15" s="1"/>
  <c r="FX14" i="15"/>
  <c r="FX22" i="15" s="1"/>
  <c r="GA80" i="15"/>
  <c r="GA82" i="15" s="1"/>
  <c r="CD18" i="15"/>
  <c r="W56" i="15"/>
  <c r="X56" i="15" s="1"/>
  <c r="Y56" i="15" s="1"/>
  <c r="V56" i="15"/>
  <c r="FX18" i="15"/>
  <c r="FX23" i="15" s="1"/>
  <c r="EC24" i="15"/>
  <c r="FO34" i="15"/>
  <c r="FZ69" i="15"/>
  <c r="EZ38" i="15"/>
  <c r="FO31" i="15"/>
  <c r="FO35" i="15"/>
  <c r="FQ95" i="15"/>
  <c r="FT95" i="15" s="1"/>
  <c r="FZ78" i="15"/>
  <c r="K37" i="3" s="1"/>
  <c r="K128" i="3" s="1"/>
  <c r="T20" i="30" s="1"/>
  <c r="FZ73" i="15"/>
  <c r="CD13" i="15"/>
  <c r="CD21" i="15" s="1"/>
  <c r="EB13" i="15"/>
  <c r="EB21" i="15" s="1"/>
  <c r="FQ90" i="15"/>
  <c r="FT90" i="15" s="1"/>
  <c r="CD22" i="15"/>
  <c r="CF24" i="15"/>
  <c r="CF26" i="15" s="1"/>
  <c r="DS85" i="15"/>
  <c r="DV85" i="15" s="1"/>
  <c r="BU31" i="15"/>
  <c r="CE21" i="15"/>
  <c r="CE24" i="15" s="1"/>
  <c r="CE26" i="15" s="1"/>
  <c r="CE19" i="15"/>
  <c r="CD15" i="15"/>
  <c r="FQ87" i="15"/>
  <c r="EB15" i="15"/>
  <c r="EB23" i="15" s="1"/>
  <c r="EB52" i="15"/>
  <c r="DS82" i="15"/>
  <c r="DV82" i="15" s="1"/>
  <c r="DS31" i="15"/>
  <c r="ED26" i="15"/>
  <c r="EB49" i="15"/>
  <c r="EB51" i="15"/>
  <c r="DS84" i="15"/>
  <c r="DV84" i="15" s="1"/>
  <c r="EB50" i="15"/>
  <c r="EB53" i="15"/>
  <c r="DV83" i="15"/>
  <c r="FZ71" i="15"/>
  <c r="HU76" i="15"/>
  <c r="J37" i="3" s="1"/>
  <c r="EB22" i="15"/>
  <c r="HU77" i="15"/>
  <c r="J38" i="3" s="1"/>
  <c r="HU73" i="15"/>
  <c r="HU75" i="15"/>
  <c r="Y32" i="15"/>
  <c r="W70" i="15"/>
  <c r="V70" i="15" s="1"/>
  <c r="KH14" i="15"/>
  <c r="KJ14" i="15" s="1"/>
  <c r="KL14" i="15" s="1"/>
  <c r="KH15" i="15"/>
  <c r="KJ15" i="15" s="1"/>
  <c r="KL15" i="15" s="1"/>
  <c r="KH16" i="15"/>
  <c r="KJ16" i="15" s="1"/>
  <c r="KL16" i="15" s="1"/>
  <c r="KH17" i="15"/>
  <c r="KJ17" i="15" s="1"/>
  <c r="KL17" i="15" s="1"/>
  <c r="KC27" i="15"/>
  <c r="KC25" i="15"/>
  <c r="KF16" i="15"/>
  <c r="KY16" i="15" s="1"/>
  <c r="KO28" i="15"/>
  <c r="KN28" i="15"/>
  <c r="KH28" i="15"/>
  <c r="KJ28" i="15" s="1"/>
  <c r="KL28" i="15" s="1"/>
  <c r="KO27" i="15"/>
  <c r="KN27" i="15"/>
  <c r="KH27" i="15"/>
  <c r="KJ27" i="15" s="1"/>
  <c r="KL27" i="15" s="1"/>
  <c r="KO26" i="15"/>
  <c r="KN26" i="15"/>
  <c r="KH26" i="15"/>
  <c r="KJ26" i="15" s="1"/>
  <c r="KL26" i="15" s="1"/>
  <c r="KO25" i="15"/>
  <c r="KN25" i="15"/>
  <c r="KH25" i="15"/>
  <c r="KJ25" i="15" s="1"/>
  <c r="KL25" i="15" s="1"/>
  <c r="KO24" i="15"/>
  <c r="KN24" i="15"/>
  <c r="KH24" i="15"/>
  <c r="KJ24" i="15" s="1"/>
  <c r="KL24" i="15" s="1"/>
  <c r="KO23" i="15"/>
  <c r="KN23" i="15"/>
  <c r="KH23" i="15"/>
  <c r="KJ23" i="15" s="1"/>
  <c r="KL23" i="15" s="1"/>
  <c r="KH22" i="15"/>
  <c r="KJ22" i="15" s="1"/>
  <c r="KL22" i="15" s="1"/>
  <c r="KH21" i="15"/>
  <c r="KJ21" i="15" s="1"/>
  <c r="KL21" i="15" s="1"/>
  <c r="KH20" i="15"/>
  <c r="KJ20" i="15" s="1"/>
  <c r="KL20" i="15" s="1"/>
  <c r="KH19" i="15"/>
  <c r="KJ19" i="15" s="1"/>
  <c r="KL19" i="15" s="1"/>
  <c r="KO18" i="15"/>
  <c r="KN18" i="15"/>
  <c r="KH18" i="15"/>
  <c r="KJ18" i="15" s="1"/>
  <c r="KL18" i="15" s="1"/>
  <c r="KH13" i="15"/>
  <c r="KJ13" i="15" s="1"/>
  <c r="KL13" i="15" s="1"/>
  <c r="KO12" i="15"/>
  <c r="KN12" i="15"/>
  <c r="KH12" i="15"/>
  <c r="KJ12" i="15" s="1"/>
  <c r="KL12" i="15" s="1"/>
  <c r="KO11" i="15"/>
  <c r="KH11" i="15"/>
  <c r="JZ10" i="15"/>
  <c r="JZ11" i="15"/>
  <c r="JZ12" i="15"/>
  <c r="JZ13" i="15"/>
  <c r="JZ15" i="15"/>
  <c r="JZ16" i="15"/>
  <c r="JZ17" i="15"/>
  <c r="JZ18" i="15"/>
  <c r="JZ19" i="15"/>
  <c r="JZ34" i="15"/>
  <c r="JZ21" i="15"/>
  <c r="JZ22" i="15"/>
  <c r="JZ24" i="15"/>
  <c r="JZ25" i="15"/>
  <c r="JZ27" i="15"/>
  <c r="JZ28" i="15"/>
  <c r="JZ29" i="15"/>
  <c r="JZ9" i="15"/>
  <c r="JV22" i="15"/>
  <c r="JY31" i="15"/>
  <c r="JY32" i="15"/>
  <c r="JY33" i="15"/>
  <c r="JY34" i="15"/>
  <c r="JY35" i="15"/>
  <c r="JX24" i="15"/>
  <c r="JX25" i="15"/>
  <c r="JX26" i="15"/>
  <c r="JX27" i="15"/>
  <c r="JX28" i="15"/>
  <c r="JX23" i="15"/>
  <c r="JW24" i="15"/>
  <c r="JW25" i="15"/>
  <c r="JW26" i="15"/>
  <c r="JW27" i="15"/>
  <c r="JW28" i="15"/>
  <c r="JW21" i="15"/>
  <c r="JX17" i="15"/>
  <c r="JX18" i="15"/>
  <c r="JX19" i="15"/>
  <c r="JX20" i="15"/>
  <c r="JX21" i="15"/>
  <c r="JX16" i="15"/>
  <c r="JW17" i="15"/>
  <c r="JW18" i="15"/>
  <c r="JW19" i="15"/>
  <c r="JW20" i="15"/>
  <c r="JW16" i="15"/>
  <c r="JX9" i="15"/>
  <c r="JX10" i="15"/>
  <c r="JX11" i="15"/>
  <c r="JX12" i="15"/>
  <c r="JX13" i="15"/>
  <c r="JX14" i="15"/>
  <c r="JW10" i="15"/>
  <c r="JW11" i="15"/>
  <c r="JW12" i="15"/>
  <c r="JW13" i="15"/>
  <c r="JW14" i="15"/>
  <c r="JW9" i="15"/>
  <c r="K36" i="3" l="1"/>
  <c r="K127" i="3" s="1"/>
  <c r="T19" i="30" s="1"/>
  <c r="CD23" i="15"/>
  <c r="FX19" i="15"/>
  <c r="EC26" i="15"/>
  <c r="FZ77" i="15"/>
  <c r="FZ75" i="15"/>
  <c r="FT96" i="15"/>
  <c r="FQ96" i="15"/>
  <c r="FX24" i="15"/>
  <c r="EB57" i="15"/>
  <c r="EB19" i="15"/>
  <c r="CD19" i="15"/>
  <c r="CD24" i="15"/>
  <c r="CD26" i="15" s="1"/>
  <c r="FZ79" i="15"/>
  <c r="K161" i="3"/>
  <c r="K190" i="3"/>
  <c r="EB58" i="15"/>
  <c r="EB24" i="15"/>
  <c r="HU78" i="15"/>
  <c r="JW35" i="15"/>
  <c r="JW30" i="15"/>
  <c r="JW32" i="15"/>
  <c r="IE35" i="15"/>
  <c r="IE34" i="15"/>
  <c r="IE33" i="15"/>
  <c r="IE31" i="15"/>
  <c r="IE32" i="15"/>
  <c r="JZ30" i="15"/>
  <c r="JZ32" i="15"/>
  <c r="JZ31" i="15"/>
  <c r="JZ35" i="15"/>
  <c r="JZ33" i="15"/>
  <c r="KJ11" i="15"/>
  <c r="KL11" i="15" s="1"/>
  <c r="JY36" i="15"/>
  <c r="JW34" i="15"/>
  <c r="KP16" i="15"/>
  <c r="KV16" i="15"/>
  <c r="KW16" i="15" s="1"/>
  <c r="T104" i="15"/>
  <c r="T105" i="15" s="1"/>
  <c r="T106" i="15" s="1"/>
  <c r="T107" i="15" s="1"/>
  <c r="T108" i="15" s="1"/>
  <c r="T109" i="15" s="1"/>
  <c r="T110" i="15" s="1"/>
  <c r="T111" i="15" s="1"/>
  <c r="T112" i="15" s="1"/>
  <c r="T113" i="15" s="1"/>
  <c r="T114" i="15" s="1"/>
  <c r="T115" i="15" s="1"/>
  <c r="K160" i="3" l="1"/>
  <c r="K189" i="3"/>
  <c r="FZ80" i="15"/>
  <c r="FZ85" i="15" s="1"/>
  <c r="L37" i="3"/>
  <c r="L128" i="3" s="1"/>
  <c r="L38" i="3"/>
  <c r="L129" i="3" s="1"/>
  <c r="U21" i="30" s="1"/>
  <c r="K38" i="3"/>
  <c r="K35" i="3" s="1"/>
  <c r="N35" i="3" s="1"/>
  <c r="FZ86" i="15"/>
  <c r="FZ87" i="15"/>
  <c r="EB26" i="15"/>
  <c r="HY76" i="15"/>
  <c r="HY77" i="15"/>
  <c r="HY75" i="15"/>
  <c r="JZ36" i="15"/>
  <c r="KA12" i="15" s="1"/>
  <c r="KE21" i="15" s="1"/>
  <c r="KF21" i="15" s="1"/>
  <c r="KV21" i="15" s="1"/>
  <c r="KW21" i="15" s="1"/>
  <c r="KS16" i="15"/>
  <c r="KQ16" i="15"/>
  <c r="KR16" i="15"/>
  <c r="T117" i="15"/>
  <c r="T118" i="15" s="1"/>
  <c r="T119" i="15" s="1"/>
  <c r="T120" i="15" s="1"/>
  <c r="T121" i="15" s="1"/>
  <c r="T122" i="15" s="1"/>
  <c r="T123" i="15" s="1"/>
  <c r="T124" i="15" s="1"/>
  <c r="T125" i="15" s="1"/>
  <c r="T126" i="15" s="1"/>
  <c r="T127" i="15" s="1"/>
  <c r="T128" i="15" s="1"/>
  <c r="T129" i="15" s="1"/>
  <c r="T130" i="15" s="1"/>
  <c r="T131" i="15" s="1"/>
  <c r="T132" i="15" s="1"/>
  <c r="T133" i="15" s="1"/>
  <c r="T134" i="15" s="1"/>
  <c r="T135" i="15" s="1"/>
  <c r="T136" i="15" s="1"/>
  <c r="T137" i="15" s="1"/>
  <c r="T138" i="15" s="1"/>
  <c r="T139" i="15" s="1"/>
  <c r="T140" i="15" s="1"/>
  <c r="T141" i="15" s="1"/>
  <c r="T142" i="15" s="1"/>
  <c r="T143" i="15" s="1"/>
  <c r="T144" i="15" s="1"/>
  <c r="T145" i="15" s="1"/>
  <c r="T146" i="15" s="1"/>
  <c r="T147" i="15" s="1"/>
  <c r="T148" i="15" s="1"/>
  <c r="T149" i="15" s="1"/>
  <c r="T150" i="15" s="1"/>
  <c r="T151" i="15" s="1"/>
  <c r="T152" i="15" s="1"/>
  <c r="T153" i="15" s="1"/>
  <c r="T154" i="15" s="1"/>
  <c r="T155" i="15" s="1"/>
  <c r="T156" i="15" s="1"/>
  <c r="T157" i="15" s="1"/>
  <c r="T158" i="15" s="1"/>
  <c r="T159" i="15" s="1"/>
  <c r="T160" i="15" s="1"/>
  <c r="T161" i="15" s="1"/>
  <c r="T162" i="15" s="1"/>
  <c r="T163" i="15" s="1"/>
  <c r="T164" i="15" s="1"/>
  <c r="T165" i="15" s="1"/>
  <c r="T166" i="15" s="1"/>
  <c r="T167" i="15" s="1"/>
  <c r="T168" i="15" s="1"/>
  <c r="T169" i="15" s="1"/>
  <c r="T170" i="15" s="1"/>
  <c r="T171" i="15" s="1"/>
  <c r="T172" i="15" s="1"/>
  <c r="T173" i="15" s="1"/>
  <c r="T174" i="15" s="1"/>
  <c r="T175" i="15" s="1"/>
  <c r="T176" i="15" s="1"/>
  <c r="T177" i="15" s="1"/>
  <c r="T178" i="15" s="1"/>
  <c r="T179" i="15" s="1"/>
  <c r="T180" i="15" s="1"/>
  <c r="T181" i="15" s="1"/>
  <c r="T182" i="15" s="1"/>
  <c r="T183" i="15" s="1"/>
  <c r="T184" i="15" s="1"/>
  <c r="T185" i="15" s="1"/>
  <c r="T186" i="15" s="1"/>
  <c r="T187" i="15" s="1"/>
  <c r="T188" i="15" s="1"/>
  <c r="T189" i="15" s="1"/>
  <c r="T190" i="15" s="1"/>
  <c r="T191" i="15" s="1"/>
  <c r="T192" i="15" s="1"/>
  <c r="T193" i="15" s="1"/>
  <c r="T194" i="15" s="1"/>
  <c r="T195" i="15" s="1"/>
  <c r="T196" i="15" s="1"/>
  <c r="T197" i="15" s="1"/>
  <c r="T198" i="15" s="1"/>
  <c r="T199" i="15" s="1"/>
  <c r="T200" i="15" s="1"/>
  <c r="T201" i="15" s="1"/>
  <c r="T202" i="15" s="1"/>
  <c r="T203" i="15" s="1"/>
  <c r="T204" i="15" s="1"/>
  <c r="T205" i="15" s="1"/>
  <c r="T206" i="15" s="1"/>
  <c r="T207" i="15" s="1"/>
  <c r="T208" i="15" s="1"/>
  <c r="T209" i="15" s="1"/>
  <c r="T210" i="15" s="1"/>
  <c r="T211" i="15" s="1"/>
  <c r="T212" i="15" s="1"/>
  <c r="T213" i="15" s="1"/>
  <c r="BE22" i="11"/>
  <c r="AZ64" i="11"/>
  <c r="AZ63" i="11"/>
  <c r="AZ62" i="11"/>
  <c r="BO69" i="11" s="1"/>
  <c r="AZ60" i="11"/>
  <c r="AZ59" i="11"/>
  <c r="AZ57" i="11"/>
  <c r="AZ56" i="11"/>
  <c r="AZ55" i="11"/>
  <c r="AZ53" i="11"/>
  <c r="AZ52" i="11"/>
  <c r="AZ51" i="11"/>
  <c r="AZ49" i="11"/>
  <c r="AZ48" i="11"/>
  <c r="AZ46" i="11"/>
  <c r="AZ45" i="11"/>
  <c r="AZ44" i="11"/>
  <c r="AZ42" i="11"/>
  <c r="AZ41" i="11"/>
  <c r="AZ40" i="11"/>
  <c r="AZ38" i="11"/>
  <c r="AZ37" i="11"/>
  <c r="AZ35" i="11"/>
  <c r="AZ34" i="11"/>
  <c r="AZ33" i="11"/>
  <c r="AZ31" i="11"/>
  <c r="AZ30" i="11"/>
  <c r="AZ29" i="11"/>
  <c r="AZ27" i="11"/>
  <c r="AZ26" i="11"/>
  <c r="AZ24" i="11"/>
  <c r="AZ23" i="11"/>
  <c r="AZ22" i="11"/>
  <c r="AZ20" i="11"/>
  <c r="AZ19" i="11"/>
  <c r="AZ18" i="11"/>
  <c r="AZ16" i="11"/>
  <c r="AZ15" i="11"/>
  <c r="AZ13" i="11"/>
  <c r="AZ12" i="11"/>
  <c r="AZ11" i="11"/>
  <c r="BB11" i="11"/>
  <c r="BQ13" i="11"/>
  <c r="BS13" i="11" s="1"/>
  <c r="BQ12" i="11"/>
  <c r="BS12" i="11" s="1"/>
  <c r="BO47" i="11"/>
  <c r="BP47" i="11" s="1"/>
  <c r="BQ47" i="11" s="1"/>
  <c r="AX65" i="11"/>
  <c r="BO46" i="11"/>
  <c r="BP46" i="11" s="1"/>
  <c r="BP45" i="11"/>
  <c r="BQ49" i="11" s="1"/>
  <c r="BB62" i="11"/>
  <c r="BH73" i="11" s="1"/>
  <c r="AY61" i="11"/>
  <c r="BE72" i="11" s="1"/>
  <c r="BE60" i="11"/>
  <c r="BB60" i="11"/>
  <c r="BE59" i="11"/>
  <c r="BB59" i="11"/>
  <c r="BH70" i="11" s="1"/>
  <c r="BB58" i="11"/>
  <c r="BH69" i="11" s="1"/>
  <c r="AY58" i="11"/>
  <c r="BE69" i="11" s="1"/>
  <c r="BE57" i="11"/>
  <c r="BB57" i="11"/>
  <c r="BH68" i="11" s="1"/>
  <c r="BE56" i="11"/>
  <c r="BB56" i="11"/>
  <c r="BE55" i="11"/>
  <c r="BD55" i="11"/>
  <c r="BB55" i="11"/>
  <c r="BH66" i="11" s="1"/>
  <c r="AX54" i="11"/>
  <c r="AY53" i="11"/>
  <c r="AY52" i="11"/>
  <c r="AY51" i="11"/>
  <c r="AY50" i="11"/>
  <c r="BE49" i="11"/>
  <c r="BB49" i="11"/>
  <c r="BE48" i="11"/>
  <c r="BB48" i="11"/>
  <c r="BB47" i="11"/>
  <c r="AY47" i="11"/>
  <c r="BE46" i="11"/>
  <c r="BB46" i="11"/>
  <c r="BE45" i="11"/>
  <c r="BB45" i="11"/>
  <c r="BE44" i="11"/>
  <c r="BD44" i="11"/>
  <c r="BB44" i="11"/>
  <c r="AX43" i="11"/>
  <c r="AY42" i="11"/>
  <c r="AY41" i="11"/>
  <c r="AY40" i="11"/>
  <c r="BB40" i="11" s="1"/>
  <c r="AY39" i="11"/>
  <c r="BB39" i="11" s="1"/>
  <c r="BE38" i="11"/>
  <c r="BB38" i="11"/>
  <c r="BE37" i="11"/>
  <c r="BB37" i="11"/>
  <c r="BB36" i="11"/>
  <c r="AY36" i="11"/>
  <c r="BE35" i="11"/>
  <c r="BB35" i="11"/>
  <c r="BE34" i="11"/>
  <c r="BB34" i="11"/>
  <c r="BE33" i="11"/>
  <c r="BD33" i="11"/>
  <c r="BB33" i="11"/>
  <c r="AX32" i="11"/>
  <c r="AY31" i="11"/>
  <c r="AY30" i="11"/>
  <c r="AY29" i="11"/>
  <c r="BB29" i="11" s="1"/>
  <c r="AY28" i="11"/>
  <c r="BE27" i="11"/>
  <c r="BB27" i="11"/>
  <c r="BE26" i="11"/>
  <c r="BB26" i="11"/>
  <c r="BB25" i="11"/>
  <c r="AY25" i="11"/>
  <c r="BE24" i="11"/>
  <c r="BB24" i="11"/>
  <c r="BE23" i="11"/>
  <c r="BB23" i="11"/>
  <c r="BD22" i="11"/>
  <c r="BB22" i="11"/>
  <c r="AX21" i="11"/>
  <c r="AY20" i="11"/>
  <c r="AY19" i="11"/>
  <c r="AY18" i="11"/>
  <c r="BB18" i="11" s="1"/>
  <c r="AY17" i="11"/>
  <c r="BB17" i="11" s="1"/>
  <c r="BB16" i="11"/>
  <c r="BB15" i="11"/>
  <c r="BB14" i="11"/>
  <c r="AY14" i="11"/>
  <c r="BB13" i="11"/>
  <c r="BB12" i="11"/>
  <c r="L161" i="3" l="1"/>
  <c r="U20" i="30"/>
  <c r="FZ82" i="15"/>
  <c r="T214" i="15"/>
  <c r="T215" i="15" s="1"/>
  <c r="T216" i="15" s="1"/>
  <c r="T217" i="15" s="1"/>
  <c r="T218" i="15" s="1"/>
  <c r="T219" i="15" s="1"/>
  <c r="T220" i="15" s="1"/>
  <c r="T221" i="15" s="1"/>
  <c r="T222" i="15" s="1"/>
  <c r="T223" i="15" s="1"/>
  <c r="T224" i="15" s="1"/>
  <c r="T225" i="15" s="1"/>
  <c r="T226" i="15" s="1"/>
  <c r="T227" i="15" s="1"/>
  <c r="T228" i="15" s="1"/>
  <c r="T229" i="15" s="1"/>
  <c r="T230" i="15" s="1"/>
  <c r="T231" i="15" s="1"/>
  <c r="T232" i="15" s="1"/>
  <c r="T233" i="15" s="1"/>
  <c r="BA115" i="11"/>
  <c r="BA113" i="11"/>
  <c r="BA110" i="11"/>
  <c r="BA111" i="11"/>
  <c r="BA116" i="11"/>
  <c r="BC116" i="11" s="1"/>
  <c r="BA112" i="11"/>
  <c r="BA118" i="11"/>
  <c r="BA117" i="11"/>
  <c r="BA114" i="11"/>
  <c r="BA119" i="11"/>
  <c r="BA108" i="11"/>
  <c r="L191" i="3"/>
  <c r="L162" i="3"/>
  <c r="L190" i="3"/>
  <c r="K129" i="3"/>
  <c r="BA11" i="11"/>
  <c r="BC11" i="11" s="1"/>
  <c r="BA22" i="11"/>
  <c r="BA33" i="11"/>
  <c r="BA44" i="11"/>
  <c r="BA55" i="11"/>
  <c r="BA13" i="11"/>
  <c r="BH22" i="11"/>
  <c r="BA12" i="11"/>
  <c r="BA23" i="11"/>
  <c r="BA34" i="11"/>
  <c r="BA45" i="11"/>
  <c r="BA56" i="11"/>
  <c r="BA15" i="11"/>
  <c r="BC15" i="11" s="1"/>
  <c r="BA26" i="11"/>
  <c r="BC26" i="11" s="1"/>
  <c r="BA16" i="11"/>
  <c r="BA37" i="11"/>
  <c r="BC37" i="11" s="1"/>
  <c r="BA101" i="11"/>
  <c r="BA103" i="11"/>
  <c r="BA99" i="11"/>
  <c r="BA100" i="11"/>
  <c r="BA104" i="11"/>
  <c r="BA107" i="11"/>
  <c r="BA106" i="11"/>
  <c r="BH23" i="11"/>
  <c r="BA20" i="11"/>
  <c r="BA31" i="11"/>
  <c r="BA42" i="11"/>
  <c r="BA53" i="11"/>
  <c r="BA64" i="11"/>
  <c r="BA24" i="11"/>
  <c r="BA35" i="11"/>
  <c r="BA46" i="11"/>
  <c r="BA57" i="11"/>
  <c r="BA48" i="11"/>
  <c r="BC48" i="11" s="1"/>
  <c r="BA59" i="11"/>
  <c r="BC59" i="11" s="1"/>
  <c r="I42" i="3"/>
  <c r="J42" i="3"/>
  <c r="BA27" i="11"/>
  <c r="BA38" i="11"/>
  <c r="BA49" i="11"/>
  <c r="BA60" i="11"/>
  <c r="BH26" i="11"/>
  <c r="BH46" i="11"/>
  <c r="BH56" i="11"/>
  <c r="BH67" i="11"/>
  <c r="BH60" i="11"/>
  <c r="BH71" i="11"/>
  <c r="BA18" i="11"/>
  <c r="BC18" i="11" s="1"/>
  <c r="BA29" i="11"/>
  <c r="BA40" i="11"/>
  <c r="BA51" i="11"/>
  <c r="BQ69" i="11"/>
  <c r="BO70" i="11"/>
  <c r="BA62" i="11"/>
  <c r="BH36" i="11"/>
  <c r="BA90" i="11"/>
  <c r="BA88" i="11"/>
  <c r="BA89" i="11"/>
  <c r="BA92" i="11"/>
  <c r="BA93" i="11"/>
  <c r="BA77" i="11"/>
  <c r="BA86" i="11"/>
  <c r="BA82" i="11"/>
  <c r="BA79" i="11"/>
  <c r="BA81" i="11"/>
  <c r="BA78" i="11"/>
  <c r="BA84" i="11"/>
  <c r="BA85" i="11"/>
  <c r="BA95" i="11"/>
  <c r="BA97" i="11"/>
  <c r="BG97" i="11" s="1"/>
  <c r="BA96" i="11"/>
  <c r="BA68" i="11"/>
  <c r="BA75" i="11"/>
  <c r="BA66" i="11"/>
  <c r="BA73" i="11"/>
  <c r="BA70" i="11"/>
  <c r="BA67" i="11"/>
  <c r="BA74" i="11"/>
  <c r="BA71" i="11"/>
  <c r="BA19" i="11"/>
  <c r="BA30" i="11"/>
  <c r="BA41" i="11"/>
  <c r="BA52" i="11"/>
  <c r="BA63" i="11"/>
  <c r="BO71" i="11"/>
  <c r="BO72" i="11" s="1"/>
  <c r="KA29" i="15"/>
  <c r="KA24" i="15"/>
  <c r="KE14" i="15" s="1"/>
  <c r="KA26" i="15"/>
  <c r="KA21" i="15"/>
  <c r="KE28" i="15" s="1"/>
  <c r="KF28" i="15" s="1"/>
  <c r="KP28" i="15" s="1"/>
  <c r="KR28" i="15" s="1"/>
  <c r="KA35" i="15"/>
  <c r="KA10" i="15"/>
  <c r="KE19" i="15" s="1"/>
  <c r="KF19" i="15" s="1"/>
  <c r="KV19" i="15" s="1"/>
  <c r="KW19" i="15" s="1"/>
  <c r="KA33" i="15"/>
  <c r="KA15" i="15"/>
  <c r="KA25" i="15"/>
  <c r="KE15" i="15" s="1"/>
  <c r="KA16" i="15"/>
  <c r="KE12" i="15" s="1"/>
  <c r="KF12" i="15" s="1"/>
  <c r="KP12" i="15" s="1"/>
  <c r="KS12" i="15" s="1"/>
  <c r="KA30" i="15"/>
  <c r="KA18" i="15"/>
  <c r="KE24" i="15" s="1"/>
  <c r="KF24" i="15" s="1"/>
  <c r="KP24" i="15" s="1"/>
  <c r="KR24" i="15" s="1"/>
  <c r="KA32" i="15"/>
  <c r="II26" i="15"/>
  <c r="KA20" i="15"/>
  <c r="KE26" i="15" s="1"/>
  <c r="KF26" i="15" s="1"/>
  <c r="KV26" i="15" s="1"/>
  <c r="KW26" i="15" s="1"/>
  <c r="II19" i="15"/>
  <c r="II24" i="15"/>
  <c r="KA28" i="15"/>
  <c r="KE18" i="15" s="1"/>
  <c r="KA19" i="15"/>
  <c r="KE22" i="15" s="1"/>
  <c r="KF22" i="15" s="1"/>
  <c r="KV22" i="15" s="1"/>
  <c r="KW22" i="15" s="1"/>
  <c r="LC15" i="15" s="1"/>
  <c r="KA17" i="15"/>
  <c r="KE20" i="15" s="1"/>
  <c r="KF20" i="15" s="1"/>
  <c r="II23" i="15"/>
  <c r="KA9" i="15"/>
  <c r="KE11" i="15" s="1"/>
  <c r="KF11" i="15" s="1"/>
  <c r="KV11" i="15" s="1"/>
  <c r="KW11" i="15" s="1"/>
  <c r="KA22" i="15"/>
  <c r="KA11" i="15"/>
  <c r="KE23" i="15" s="1"/>
  <c r="KF23" i="15" s="1"/>
  <c r="KV23" i="15" s="1"/>
  <c r="KW23" i="15" s="1"/>
  <c r="KA23" i="15"/>
  <c r="KE13" i="15" s="1"/>
  <c r="KA31" i="15"/>
  <c r="II29" i="15"/>
  <c r="II22" i="15"/>
  <c r="II20" i="15"/>
  <c r="II12" i="15"/>
  <c r="II28" i="15"/>
  <c r="II14" i="15"/>
  <c r="II9" i="15"/>
  <c r="II16" i="15"/>
  <c r="II18" i="15"/>
  <c r="II21" i="15"/>
  <c r="II15" i="15"/>
  <c r="II13" i="15"/>
  <c r="II34" i="15"/>
  <c r="II17" i="15"/>
  <c r="II35" i="15"/>
  <c r="II27" i="15"/>
  <c r="II33" i="15"/>
  <c r="II31" i="15"/>
  <c r="II30" i="15"/>
  <c r="II25" i="15"/>
  <c r="II32" i="15"/>
  <c r="II11" i="15"/>
  <c r="KA34" i="15"/>
  <c r="KA27" i="15"/>
  <c r="KE17" i="15" s="1"/>
  <c r="KF17" i="15" s="1"/>
  <c r="KY17" i="15" s="1"/>
  <c r="KA14" i="15"/>
  <c r="KA13" i="15"/>
  <c r="KE27" i="15" s="1"/>
  <c r="KF27" i="15" s="1"/>
  <c r="KY27" i="15" s="1"/>
  <c r="KT16" i="15"/>
  <c r="BH29" i="11"/>
  <c r="BH34" i="11"/>
  <c r="BH35" i="11"/>
  <c r="BH45" i="11"/>
  <c r="BH49" i="11"/>
  <c r="BH59" i="11"/>
  <c r="BH38" i="11"/>
  <c r="BH40" i="11"/>
  <c r="BH57" i="11"/>
  <c r="BH37" i="11"/>
  <c r="BH27" i="11"/>
  <c r="BH44" i="11"/>
  <c r="BH47" i="11"/>
  <c r="BH48" i="11"/>
  <c r="KY21" i="15"/>
  <c r="BH33" i="11"/>
  <c r="BH24" i="11"/>
  <c r="BH55" i="11"/>
  <c r="BH58" i="11"/>
  <c r="KP21" i="15"/>
  <c r="BH25" i="11"/>
  <c r="NZ16" i="15"/>
  <c r="MJ16" i="15"/>
  <c r="NZ28" i="15"/>
  <c r="BE28" i="11"/>
  <c r="BE36" i="11"/>
  <c r="BE50" i="11"/>
  <c r="BE42" i="11"/>
  <c r="BE62" i="11"/>
  <c r="BB50" i="11"/>
  <c r="BH50" i="11" s="1"/>
  <c r="BB51" i="11"/>
  <c r="BH51" i="11" s="1"/>
  <c r="BB28" i="11"/>
  <c r="BH28" i="11" s="1"/>
  <c r="BE25" i="11"/>
  <c r="BE29" i="11"/>
  <c r="BE39" i="11"/>
  <c r="BE51" i="11"/>
  <c r="BE61" i="11"/>
  <c r="BE40" i="11"/>
  <c r="BE31" i="11"/>
  <c r="BB61" i="11"/>
  <c r="BH72" i="11" s="1"/>
  <c r="BE47" i="11"/>
  <c r="BE53" i="11"/>
  <c r="BE58" i="11"/>
  <c r="BQ45" i="11"/>
  <c r="BE63" i="11"/>
  <c r="BB64" i="11"/>
  <c r="BH75" i="11" s="1"/>
  <c r="BB63" i="11"/>
  <c r="BH74" i="11" s="1"/>
  <c r="AY21" i="11"/>
  <c r="D42" i="3" s="1"/>
  <c r="BE30" i="11"/>
  <c r="BB31" i="11"/>
  <c r="BB30" i="11"/>
  <c r="AY32" i="11"/>
  <c r="E42" i="3" s="1"/>
  <c r="BE41" i="11"/>
  <c r="BB42" i="11"/>
  <c r="BB41" i="11"/>
  <c r="AY43" i="11"/>
  <c r="F42" i="3" s="1"/>
  <c r="BE52" i="11"/>
  <c r="AY54" i="11"/>
  <c r="G42" i="3" s="1"/>
  <c r="BB53" i="11"/>
  <c r="BB52" i="11"/>
  <c r="BE64" i="11"/>
  <c r="BQ50" i="11"/>
  <c r="BQ46" i="11"/>
  <c r="BB19" i="11"/>
  <c r="BB20" i="11"/>
  <c r="BB21" i="11" s="1"/>
  <c r="AY65" i="11"/>
  <c r="BE76" i="11" s="1"/>
  <c r="BQ51" i="11"/>
  <c r="BG114" i="11" l="1"/>
  <c r="BG115" i="11"/>
  <c r="K191" i="3"/>
  <c r="T21" i="30"/>
  <c r="BG31" i="11"/>
  <c r="K162" i="3"/>
  <c r="BG119" i="11"/>
  <c r="BG111" i="11"/>
  <c r="BG110" i="11"/>
  <c r="BG117" i="11"/>
  <c r="BC110" i="11"/>
  <c r="BC113" i="11"/>
  <c r="BC111" i="11"/>
  <c r="BC112" i="11"/>
  <c r="BA120" i="11"/>
  <c r="M43" i="3" s="1"/>
  <c r="C20" i="30" s="1"/>
  <c r="BC119" i="11"/>
  <c r="BC120" i="11" s="1"/>
  <c r="BC118" i="11"/>
  <c r="BC117" i="11"/>
  <c r="BG112" i="11"/>
  <c r="BG118" i="11"/>
  <c r="BC114" i="11"/>
  <c r="BC115" i="11"/>
  <c r="BG85" i="11"/>
  <c r="BG93" i="11"/>
  <c r="BG41" i="11"/>
  <c r="BG78" i="11"/>
  <c r="BG75" i="11"/>
  <c r="BG104" i="11"/>
  <c r="BG52" i="11"/>
  <c r="BC100" i="11"/>
  <c r="BG100" i="11"/>
  <c r="BA102" i="11"/>
  <c r="BG113" i="11" s="1"/>
  <c r="BG99" i="11"/>
  <c r="BC99" i="11"/>
  <c r="BC102" i="11"/>
  <c r="BC101" i="11"/>
  <c r="BA105" i="11"/>
  <c r="BG116" i="11" s="1"/>
  <c r="BG103" i="11"/>
  <c r="BC103" i="11"/>
  <c r="BI114" i="11" s="1"/>
  <c r="BC104" i="11"/>
  <c r="BG68" i="11"/>
  <c r="BG101" i="11"/>
  <c r="BC106" i="11"/>
  <c r="BC107" i="11"/>
  <c r="BG106" i="11"/>
  <c r="BC108" i="11"/>
  <c r="BA109" i="11"/>
  <c r="BG108" i="11"/>
  <c r="BG67" i="11"/>
  <c r="BG107" i="11"/>
  <c r="KF13" i="15"/>
  <c r="KP13" i="15" s="1"/>
  <c r="KR13" i="15" s="1"/>
  <c r="AB111" i="15"/>
  <c r="KF18" i="15"/>
  <c r="KY18" i="15" s="1"/>
  <c r="AB114" i="15"/>
  <c r="KF14" i="15"/>
  <c r="KP14" i="15" s="1"/>
  <c r="KS14" i="15" s="1"/>
  <c r="AB112" i="15"/>
  <c r="IY18" i="15"/>
  <c r="IZ18" i="15" s="1"/>
  <c r="AC114" i="15"/>
  <c r="JE14" i="15"/>
  <c r="JF14" i="15" s="1"/>
  <c r="AC112" i="15"/>
  <c r="KF15" i="15"/>
  <c r="KP15" i="15" s="1"/>
  <c r="KS15" i="15" s="1"/>
  <c r="AB113" i="15"/>
  <c r="JH15" i="15"/>
  <c r="AC113" i="15"/>
  <c r="JH13" i="15"/>
  <c r="AC111" i="15"/>
  <c r="BC71" i="11"/>
  <c r="BC70" i="11"/>
  <c r="BI70" i="11" s="1"/>
  <c r="BG70" i="11"/>
  <c r="BA72" i="11"/>
  <c r="BQ70" i="11"/>
  <c r="BR69" i="11"/>
  <c r="BS69" i="11" s="1"/>
  <c r="BG63" i="11"/>
  <c r="BC67" i="11"/>
  <c r="BG66" i="11"/>
  <c r="BA69" i="11"/>
  <c r="BC66" i="11"/>
  <c r="BC68" i="11"/>
  <c r="BC69" i="11"/>
  <c r="BG89" i="11"/>
  <c r="BC81" i="11"/>
  <c r="BA83" i="11"/>
  <c r="BG81" i="11"/>
  <c r="BC82" i="11"/>
  <c r="BG88" i="11"/>
  <c r="BC90" i="11"/>
  <c r="BA91" i="11"/>
  <c r="BC91" i="11"/>
  <c r="BC89" i="11"/>
  <c r="BC88" i="11"/>
  <c r="BG79" i="11"/>
  <c r="BG90" i="11"/>
  <c r="BC73" i="11"/>
  <c r="BA76" i="11"/>
  <c r="BC74" i="11"/>
  <c r="BG73" i="11"/>
  <c r="BC75" i="11"/>
  <c r="BG71" i="11"/>
  <c r="BG96" i="11"/>
  <c r="BG82" i="11"/>
  <c r="BC93" i="11"/>
  <c r="BA94" i="11"/>
  <c r="BC92" i="11"/>
  <c r="BG92" i="11"/>
  <c r="BG74" i="11"/>
  <c r="BG86" i="11"/>
  <c r="BA65" i="11"/>
  <c r="H43" i="3" s="1"/>
  <c r="H131" i="3" s="1"/>
  <c r="Q23" i="30" s="1"/>
  <c r="H42" i="3"/>
  <c r="BC84" i="11"/>
  <c r="BC86" i="11"/>
  <c r="BG84" i="11"/>
  <c r="BA87" i="11"/>
  <c r="BC85" i="11"/>
  <c r="BC95" i="11"/>
  <c r="BG95" i="11"/>
  <c r="BC96" i="11"/>
  <c r="BA98" i="11"/>
  <c r="BC97" i="11"/>
  <c r="BC78" i="11"/>
  <c r="BA80" i="11"/>
  <c r="BC80" i="11"/>
  <c r="BG77" i="11"/>
  <c r="BC79" i="11"/>
  <c r="BC77" i="11"/>
  <c r="KY28" i="15"/>
  <c r="LD18" i="15" s="1"/>
  <c r="KS28" i="15"/>
  <c r="KY19" i="15"/>
  <c r="KP19" i="15"/>
  <c r="KR19" i="15" s="1"/>
  <c r="KQ28" i="15"/>
  <c r="KV28" i="15"/>
  <c r="KW28" i="15" s="1"/>
  <c r="KV12" i="15"/>
  <c r="KW12" i="15" s="1"/>
  <c r="KR12" i="15"/>
  <c r="KQ12" i="15"/>
  <c r="KY12" i="15"/>
  <c r="KQ24" i="15"/>
  <c r="KS24" i="15"/>
  <c r="KA38" i="15"/>
  <c r="KY24" i="15"/>
  <c r="KV24" i="15"/>
  <c r="KW24" i="15" s="1"/>
  <c r="LC16" i="15" s="1"/>
  <c r="KY22" i="15"/>
  <c r="LD15" i="15" s="1"/>
  <c r="KP22" i="15"/>
  <c r="KQ22" i="15" s="1"/>
  <c r="HP11" i="15"/>
  <c r="HM11" i="15"/>
  <c r="HN11" i="15" s="1"/>
  <c r="KP23" i="15"/>
  <c r="KQ23" i="15" s="1"/>
  <c r="T234" i="15"/>
  <c r="T235" i="15" s="1"/>
  <c r="T236" i="15" s="1"/>
  <c r="T237" i="15" s="1"/>
  <c r="T238" i="15" s="1"/>
  <c r="T239" i="15" s="1"/>
  <c r="T240" i="15" s="1"/>
  <c r="T241" i="15" s="1"/>
  <c r="T242" i="15" s="1"/>
  <c r="T243" i="15" s="1"/>
  <c r="T244" i="15" s="1"/>
  <c r="T245" i="15" s="1"/>
  <c r="T246" i="15" s="1"/>
  <c r="T247" i="15" s="1"/>
  <c r="T248" i="15" s="1"/>
  <c r="T249" i="15" s="1"/>
  <c r="KP27" i="15"/>
  <c r="KR27" i="15" s="1"/>
  <c r="HP12" i="15"/>
  <c r="HM12" i="15"/>
  <c r="HN12" i="15" s="1"/>
  <c r="KY23" i="15"/>
  <c r="KV27" i="15"/>
  <c r="KW27" i="15" s="1"/>
  <c r="KE25" i="15"/>
  <c r="KF25" i="15" s="1"/>
  <c r="KY25" i="15" s="1"/>
  <c r="KP11" i="15"/>
  <c r="KQ11" i="15" s="1"/>
  <c r="KY11" i="15"/>
  <c r="KP26" i="15"/>
  <c r="KQ26" i="15" s="1"/>
  <c r="KQ36" i="15" s="1"/>
  <c r="KY26" i="15"/>
  <c r="KS21" i="15"/>
  <c r="JH17" i="15"/>
  <c r="JE17" i="15"/>
  <c r="JF17" i="15" s="1"/>
  <c r="IY17" i="15"/>
  <c r="JH28" i="15"/>
  <c r="JE28" i="15"/>
  <c r="JF28" i="15" s="1"/>
  <c r="IY28" i="15"/>
  <c r="JH19" i="15"/>
  <c r="JE19" i="15"/>
  <c r="JF19" i="15" s="1"/>
  <c r="IY19" i="15"/>
  <c r="JE24" i="15"/>
  <c r="JF24" i="15" s="1"/>
  <c r="JH24" i="15"/>
  <c r="IY24" i="15"/>
  <c r="JE21" i="15"/>
  <c r="JF21" i="15" s="1"/>
  <c r="JH21" i="15"/>
  <c r="IY21" i="15"/>
  <c r="JH23" i="15"/>
  <c r="JE23" i="15"/>
  <c r="JF23" i="15" s="1"/>
  <c r="IY23" i="15"/>
  <c r="JH14" i="15"/>
  <c r="JH26" i="15"/>
  <c r="JE26" i="15"/>
  <c r="JF26" i="15" s="1"/>
  <c r="IY26" i="15"/>
  <c r="JH20" i="15"/>
  <c r="IY20" i="15"/>
  <c r="JE20" i="15"/>
  <c r="JF20" i="15" s="1"/>
  <c r="JH22" i="15"/>
  <c r="JE22" i="15"/>
  <c r="JF22" i="15" s="1"/>
  <c r="IY22" i="15"/>
  <c r="IZ22" i="15" s="1"/>
  <c r="KP20" i="15"/>
  <c r="KV20" i="15"/>
  <c r="KW20" i="15" s="1"/>
  <c r="LC14" i="15" s="1"/>
  <c r="KY20" i="15"/>
  <c r="KV17" i="15"/>
  <c r="KW17" i="15" s="1"/>
  <c r="KP17" i="15"/>
  <c r="KC38" i="15"/>
  <c r="BI48" i="11"/>
  <c r="BI59" i="11"/>
  <c r="KR21" i="15"/>
  <c r="KQ21" i="15"/>
  <c r="BC53" i="11"/>
  <c r="BC54" i="11" s="1"/>
  <c r="BE54" i="11"/>
  <c r="BH31" i="11"/>
  <c r="BA61" i="11"/>
  <c r="BC61" i="11" s="1"/>
  <c r="BG37" i="11"/>
  <c r="BG64" i="11"/>
  <c r="BA54" i="11"/>
  <c r="G43" i="3" s="1"/>
  <c r="G131" i="3" s="1"/>
  <c r="P23" i="30" s="1"/>
  <c r="BI37" i="11"/>
  <c r="BH41" i="11"/>
  <c r="BH64" i="11"/>
  <c r="BC51" i="11"/>
  <c r="BH63" i="11"/>
  <c r="BH61" i="11"/>
  <c r="BC27" i="11"/>
  <c r="BI26" i="11"/>
  <c r="BG23" i="11"/>
  <c r="BH39" i="11"/>
  <c r="BH42" i="11"/>
  <c r="BH52" i="11"/>
  <c r="BC60" i="11"/>
  <c r="BC52" i="11"/>
  <c r="BG56" i="11"/>
  <c r="BG46" i="11"/>
  <c r="BH53" i="11"/>
  <c r="BH30" i="11"/>
  <c r="BH62" i="11"/>
  <c r="NZ17" i="15"/>
  <c r="NZ12" i="15"/>
  <c r="NZ20" i="15"/>
  <c r="NZ13" i="15"/>
  <c r="MJ14" i="15"/>
  <c r="NZ15" i="15"/>
  <c r="NZ21" i="15"/>
  <c r="NZ19" i="15"/>
  <c r="NZ14" i="15"/>
  <c r="NZ26" i="15"/>
  <c r="NY30" i="15"/>
  <c r="NZ24" i="15"/>
  <c r="MJ24" i="15"/>
  <c r="MJ15" i="15"/>
  <c r="MJ12" i="15"/>
  <c r="MJ20" i="15"/>
  <c r="MJ17" i="15"/>
  <c r="MJ21" i="15"/>
  <c r="MJ28" i="15"/>
  <c r="BC16" i="11"/>
  <c r="BC49" i="11"/>
  <c r="BC19" i="11"/>
  <c r="BG48" i="11"/>
  <c r="BG59" i="11"/>
  <c r="BA50" i="11"/>
  <c r="BG26" i="11"/>
  <c r="BE32" i="11"/>
  <c r="BA17" i="11"/>
  <c r="BC17" i="11" s="1"/>
  <c r="BC40" i="11"/>
  <c r="BC41" i="11"/>
  <c r="BG40" i="11"/>
  <c r="BC42" i="11"/>
  <c r="BC20" i="11"/>
  <c r="BC21" i="11" s="1"/>
  <c r="BA39" i="11"/>
  <c r="BG38" i="11"/>
  <c r="BG42" i="11"/>
  <c r="BC31" i="11"/>
  <c r="BC30" i="11"/>
  <c r="BG29" i="11"/>
  <c r="BC29" i="11"/>
  <c r="BI29" i="11" s="1"/>
  <c r="BG60" i="11"/>
  <c r="BC36" i="11"/>
  <c r="BC33" i="11"/>
  <c r="BC35" i="11"/>
  <c r="BG33" i="11"/>
  <c r="BC34" i="11"/>
  <c r="BC38" i="11"/>
  <c r="BG53" i="11"/>
  <c r="BG51" i="11"/>
  <c r="BA36" i="11"/>
  <c r="BG34" i="11"/>
  <c r="BE65" i="11"/>
  <c r="BA21" i="11"/>
  <c r="D43" i="3" s="1"/>
  <c r="D131" i="3" s="1"/>
  <c r="BC12" i="11"/>
  <c r="BA58" i="11"/>
  <c r="BG55" i="11"/>
  <c r="BC58" i="11"/>
  <c r="BC57" i="11"/>
  <c r="BC55" i="11"/>
  <c r="BC56" i="11"/>
  <c r="BA47" i="11"/>
  <c r="BC45" i="11"/>
  <c r="BG44" i="11"/>
  <c r="BC44" i="11"/>
  <c r="BC46" i="11"/>
  <c r="BC47" i="11"/>
  <c r="BI47" i="11" s="1"/>
  <c r="BG57" i="11"/>
  <c r="BE43" i="11"/>
  <c r="BA25" i="11"/>
  <c r="BG24" i="11"/>
  <c r="BG30" i="11"/>
  <c r="BC23" i="11"/>
  <c r="BG22" i="11"/>
  <c r="BC24" i="11"/>
  <c r="BC22" i="11"/>
  <c r="BI22" i="11" s="1"/>
  <c r="BC25" i="11"/>
  <c r="BA28" i="11"/>
  <c r="BG27" i="11"/>
  <c r="BG49" i="11"/>
  <c r="BC62" i="11"/>
  <c r="BG62" i="11"/>
  <c r="BC63" i="11"/>
  <c r="BC64" i="11"/>
  <c r="BG35" i="11"/>
  <c r="BG45" i="11"/>
  <c r="BC14" i="11"/>
  <c r="BC13" i="11"/>
  <c r="BA14" i="11"/>
  <c r="BB43" i="11"/>
  <c r="BA32" i="11"/>
  <c r="E43" i="3" s="1"/>
  <c r="E131" i="3" s="1"/>
  <c r="BB32" i="11"/>
  <c r="BH32" i="11" s="1"/>
  <c r="BB65" i="11"/>
  <c r="BB54" i="11"/>
  <c r="BA43" i="11"/>
  <c r="F43" i="3" s="1"/>
  <c r="F131" i="3" s="1"/>
  <c r="BI111" i="11" l="1"/>
  <c r="BI45" i="11"/>
  <c r="KV13" i="15"/>
  <c r="KW13" i="15" s="1"/>
  <c r="BI84" i="11"/>
  <c r="BI62" i="11"/>
  <c r="BI30" i="11"/>
  <c r="BI93" i="11"/>
  <c r="M131" i="3"/>
  <c r="V23" i="30" s="1"/>
  <c r="W23" i="30" s="1"/>
  <c r="X23" i="30" s="1"/>
  <c r="C20" i="2"/>
  <c r="KS13" i="15"/>
  <c r="KQ13" i="15"/>
  <c r="BG120" i="11"/>
  <c r="BI117" i="11"/>
  <c r="KQ14" i="15"/>
  <c r="BI80" i="11"/>
  <c r="BI115" i="11"/>
  <c r="JE13" i="15"/>
  <c r="JF13" i="15" s="1"/>
  <c r="KV15" i="15"/>
  <c r="KW15" i="15" s="1"/>
  <c r="BI118" i="11"/>
  <c r="BI112" i="11"/>
  <c r="BI113" i="11"/>
  <c r="BI51" i="11"/>
  <c r="BI119" i="11"/>
  <c r="JE15" i="15"/>
  <c r="JF15" i="15" s="1"/>
  <c r="BI63" i="11"/>
  <c r="BI79" i="11"/>
  <c r="JH18" i="15"/>
  <c r="BI110" i="11"/>
  <c r="IY14" i="15"/>
  <c r="IZ14" i="15" s="1"/>
  <c r="KP18" i="15"/>
  <c r="KS18" i="15" s="1"/>
  <c r="KY13" i="15"/>
  <c r="KV18" i="15"/>
  <c r="KW18" i="15" s="1"/>
  <c r="KQ15" i="15"/>
  <c r="BI95" i="11"/>
  <c r="AC115" i="15"/>
  <c r="BI77" i="11"/>
  <c r="BI81" i="11"/>
  <c r="BG80" i="11"/>
  <c r="AA112" i="15"/>
  <c r="KR15" i="15"/>
  <c r="KY15" i="15"/>
  <c r="BI106" i="11"/>
  <c r="BI102" i="11"/>
  <c r="JE18" i="15"/>
  <c r="JF18" i="15" s="1"/>
  <c r="BI85" i="11"/>
  <c r="BI89" i="11"/>
  <c r="BI99" i="11"/>
  <c r="IY13" i="15"/>
  <c r="IZ13" i="15" s="1"/>
  <c r="KY14" i="15"/>
  <c r="BI78" i="11"/>
  <c r="BI104" i="11"/>
  <c r="BG102" i="11"/>
  <c r="L43" i="3"/>
  <c r="C20" i="19" s="1"/>
  <c r="BG109" i="11"/>
  <c r="BI103" i="11"/>
  <c r="BI108" i="11"/>
  <c r="BC109" i="11"/>
  <c r="BI120" i="11" s="1"/>
  <c r="BI100" i="11"/>
  <c r="IY15" i="15"/>
  <c r="JB15" i="15" s="1"/>
  <c r="BI82" i="11"/>
  <c r="BC105" i="11"/>
  <c r="BI116" i="11" s="1"/>
  <c r="BG105" i="11"/>
  <c r="KR14" i="15"/>
  <c r="BI107" i="11"/>
  <c r="BI101" i="11"/>
  <c r="AA113" i="15"/>
  <c r="AA114" i="15"/>
  <c r="KV14" i="15"/>
  <c r="KW14" i="15" s="1"/>
  <c r="AB115" i="15"/>
  <c r="AA111" i="15"/>
  <c r="T250" i="15"/>
  <c r="T251" i="15" s="1"/>
  <c r="T252" i="15" s="1"/>
  <c r="T253" i="15" s="1"/>
  <c r="T254" i="15" s="1"/>
  <c r="T255" i="15" s="1"/>
  <c r="T256" i="15" s="1"/>
  <c r="D164" i="3"/>
  <c r="D194" i="3"/>
  <c r="BI88" i="11"/>
  <c r="BG83" i="11"/>
  <c r="BC83" i="11"/>
  <c r="BI67" i="11"/>
  <c r="BI64" i="11"/>
  <c r="BG87" i="11"/>
  <c r="J43" i="3"/>
  <c r="BI91" i="11"/>
  <c r="E194" i="3"/>
  <c r="E164" i="3"/>
  <c r="G194" i="3"/>
  <c r="G164" i="3"/>
  <c r="BI92" i="11"/>
  <c r="BI74" i="11"/>
  <c r="BG91" i="11"/>
  <c r="BI69" i="11"/>
  <c r="BC98" i="11"/>
  <c r="BI97" i="11"/>
  <c r="BI86" i="11"/>
  <c r="BC87" i="11"/>
  <c r="BC94" i="11"/>
  <c r="BG94" i="11"/>
  <c r="BG76" i="11"/>
  <c r="I43" i="3"/>
  <c r="I131" i="3" s="1"/>
  <c r="R23" i="30" s="1"/>
  <c r="BI90" i="11"/>
  <c r="BI68" i="11"/>
  <c r="BC72" i="11"/>
  <c r="BI72" i="11" s="1"/>
  <c r="BG72" i="11"/>
  <c r="BH65" i="11"/>
  <c r="BH76" i="11"/>
  <c r="BC76" i="11"/>
  <c r="BI75" i="11"/>
  <c r="BG98" i="11"/>
  <c r="K43" i="3"/>
  <c r="BI73" i="11"/>
  <c r="BI66" i="11"/>
  <c r="BI96" i="11"/>
  <c r="BG69" i="11"/>
  <c r="F164" i="3"/>
  <c r="F194" i="3"/>
  <c r="H194" i="3"/>
  <c r="H164" i="3"/>
  <c r="BI71" i="11"/>
  <c r="KD38" i="15"/>
  <c r="KQ19" i="15"/>
  <c r="KS19" i="15"/>
  <c r="KT28" i="15"/>
  <c r="LD14" i="15"/>
  <c r="KB38" i="15"/>
  <c r="KR11" i="15"/>
  <c r="LC18" i="15"/>
  <c r="KT12" i="15"/>
  <c r="KR22" i="15"/>
  <c r="KS22" i="15"/>
  <c r="KS11" i="15"/>
  <c r="KT24" i="15"/>
  <c r="KR26" i="15"/>
  <c r="KR36" i="15" s="1"/>
  <c r="KS26" i="15"/>
  <c r="KS36" i="15" s="1"/>
  <c r="LD16" i="15"/>
  <c r="KS23" i="15"/>
  <c r="KR23" i="15"/>
  <c r="KR37" i="15" s="1"/>
  <c r="LD17" i="15"/>
  <c r="LD23" i="15" s="1"/>
  <c r="HP14" i="15"/>
  <c r="HM19" i="15"/>
  <c r="HN19" i="15" s="1"/>
  <c r="HP19" i="15"/>
  <c r="HP22" i="15"/>
  <c r="HM22" i="15"/>
  <c r="HN22" i="15" s="1"/>
  <c r="HP15" i="15"/>
  <c r="HM15" i="15"/>
  <c r="HN15" i="15" s="1"/>
  <c r="HP24" i="15"/>
  <c r="HM24" i="15"/>
  <c r="HM13" i="15"/>
  <c r="HN13" i="15" s="1"/>
  <c r="HP13" i="15"/>
  <c r="HP26" i="15"/>
  <c r="HM26" i="15"/>
  <c r="HN26" i="15" s="1"/>
  <c r="HM18" i="15"/>
  <c r="HN18" i="15" s="1"/>
  <c r="HP18" i="15"/>
  <c r="HM21" i="15"/>
  <c r="HN21" i="15" s="1"/>
  <c r="HP21" i="15"/>
  <c r="HM28" i="15"/>
  <c r="HN28" i="15" s="1"/>
  <c r="HP28" i="15"/>
  <c r="HP20" i="15"/>
  <c r="HM20" i="15"/>
  <c r="HN20" i="15" s="1"/>
  <c r="HP23" i="15"/>
  <c r="HM23" i="15"/>
  <c r="HN23" i="15" s="1"/>
  <c r="HP17" i="15"/>
  <c r="HM17" i="15"/>
  <c r="HN17" i="15" s="1"/>
  <c r="KQ27" i="15"/>
  <c r="KQ37" i="15" s="1"/>
  <c r="KP36" i="15"/>
  <c r="KS27" i="15"/>
  <c r="KP37" i="15"/>
  <c r="JB24" i="15"/>
  <c r="JA24" i="15"/>
  <c r="IZ24" i="15"/>
  <c r="II38" i="15"/>
  <c r="JB28" i="15"/>
  <c r="JA28" i="15"/>
  <c r="IZ28" i="15"/>
  <c r="JB17" i="15"/>
  <c r="JA17" i="15"/>
  <c r="IZ17" i="15"/>
  <c r="JA23" i="15"/>
  <c r="IZ23" i="15"/>
  <c r="JB23" i="15"/>
  <c r="HP25" i="15"/>
  <c r="HM25" i="15"/>
  <c r="HN25" i="15" s="1"/>
  <c r="JB20" i="15"/>
  <c r="JA20" i="15"/>
  <c r="IZ20" i="15"/>
  <c r="JB22" i="15"/>
  <c r="JA22" i="15"/>
  <c r="JB21" i="15"/>
  <c r="IZ21" i="15"/>
  <c r="JA21" i="15"/>
  <c r="IZ19" i="15"/>
  <c r="JB19" i="15"/>
  <c r="JA19" i="15"/>
  <c r="IY36" i="15"/>
  <c r="IZ26" i="15"/>
  <c r="JA26" i="15"/>
  <c r="JA36" i="15" s="1"/>
  <c r="JB26" i="15"/>
  <c r="JB36" i="15" s="1"/>
  <c r="JA18" i="15"/>
  <c r="JB18" i="15"/>
  <c r="HP27" i="15"/>
  <c r="HM27" i="15"/>
  <c r="HN27" i="15" s="1"/>
  <c r="JE11" i="15"/>
  <c r="JF11" i="15" s="1"/>
  <c r="JH11" i="15"/>
  <c r="IY11" i="15"/>
  <c r="JH12" i="15"/>
  <c r="IY12" i="15"/>
  <c r="IZ12" i="15" s="1"/>
  <c r="JE12" i="15"/>
  <c r="JF12" i="15" s="1"/>
  <c r="KP25" i="15"/>
  <c r="KP35" i="15" s="1"/>
  <c r="LC22" i="15"/>
  <c r="KV25" i="15"/>
  <c r="KW25" i="15" s="1"/>
  <c r="LC17" i="15" s="1"/>
  <c r="JL16" i="15"/>
  <c r="JM16" i="15"/>
  <c r="JE25" i="15"/>
  <c r="JF25" i="15" s="1"/>
  <c r="JL17" i="15" s="1"/>
  <c r="JH25" i="15"/>
  <c r="JM17" i="15" s="1"/>
  <c r="IY25" i="15"/>
  <c r="JH27" i="15"/>
  <c r="JM18" i="15" s="1"/>
  <c r="JE27" i="15"/>
  <c r="JF27" i="15" s="1"/>
  <c r="JL18" i="15" s="1"/>
  <c r="IY27" i="15"/>
  <c r="JM15" i="15"/>
  <c r="JL15" i="15"/>
  <c r="KP34" i="15"/>
  <c r="JL14" i="15"/>
  <c r="KR20" i="15"/>
  <c r="KS20" i="15"/>
  <c r="KQ20" i="15"/>
  <c r="JM14" i="15"/>
  <c r="KQ17" i="15"/>
  <c r="KR17" i="15"/>
  <c r="KS17" i="15"/>
  <c r="BI27" i="11"/>
  <c r="BI23" i="11"/>
  <c r="BI44" i="11"/>
  <c r="BI38" i="11"/>
  <c r="KT21" i="15"/>
  <c r="BH43" i="11"/>
  <c r="BI57" i="11"/>
  <c r="BI36" i="11"/>
  <c r="BI46" i="11"/>
  <c r="BH54" i="11"/>
  <c r="BG58" i="11"/>
  <c r="BI42" i="11"/>
  <c r="BI58" i="11"/>
  <c r="BG43" i="11"/>
  <c r="BI34" i="11"/>
  <c r="BG65" i="11"/>
  <c r="BI25" i="11"/>
  <c r="BI41" i="11"/>
  <c r="BI52" i="11"/>
  <c r="BC32" i="11"/>
  <c r="BI32" i="11" s="1"/>
  <c r="BI31" i="11"/>
  <c r="BI56" i="11"/>
  <c r="BI35" i="11"/>
  <c r="BI40" i="11"/>
  <c r="BI49" i="11"/>
  <c r="BI60" i="11"/>
  <c r="BI53" i="11"/>
  <c r="BI24" i="11"/>
  <c r="BI55" i="11"/>
  <c r="BI33" i="11"/>
  <c r="OH14" i="15"/>
  <c r="OM14" i="15" s="1"/>
  <c r="NZ11" i="15"/>
  <c r="NW30" i="15"/>
  <c r="NX30" i="15"/>
  <c r="NZ22" i="15"/>
  <c r="OH15" i="15" s="1"/>
  <c r="OM15" i="15" s="1"/>
  <c r="NZ18" i="15"/>
  <c r="NZ23" i="15"/>
  <c r="OH16" i="15" s="1"/>
  <c r="NZ25" i="15"/>
  <c r="OH17" i="15" s="1"/>
  <c r="OM17" i="15" s="1"/>
  <c r="OR17" i="15" s="1"/>
  <c r="NZ27" i="15"/>
  <c r="OH18" i="15" s="1"/>
  <c r="OM18" i="15" s="1"/>
  <c r="OR18" i="15" s="1"/>
  <c r="MI30" i="15"/>
  <c r="MJ22" i="15"/>
  <c r="MR15" i="15" s="1"/>
  <c r="MJ13" i="15"/>
  <c r="MG30" i="15"/>
  <c r="MJ27" i="15"/>
  <c r="MR18" i="15" s="1"/>
  <c r="MJ18" i="15"/>
  <c r="MJ23" i="15"/>
  <c r="MR16" i="15" s="1"/>
  <c r="MH30" i="15"/>
  <c r="MJ26" i="15"/>
  <c r="MJ19" i="15"/>
  <c r="MR14" i="15" s="1"/>
  <c r="MJ25" i="15"/>
  <c r="BG47" i="11"/>
  <c r="BG50" i="11"/>
  <c r="BG32" i="11"/>
  <c r="BC50" i="11"/>
  <c r="BG61" i="11"/>
  <c r="BC65" i="11"/>
  <c r="BI65" i="11" s="1"/>
  <c r="BG25" i="11"/>
  <c r="BG54" i="11"/>
  <c r="BG36" i="11"/>
  <c r="BG39" i="11"/>
  <c r="BC39" i="11"/>
  <c r="BC28" i="11"/>
  <c r="BI28" i="11" s="1"/>
  <c r="BG28" i="11"/>
  <c r="BC43" i="11"/>
  <c r="KT13" i="15" l="1"/>
  <c r="M164" i="3"/>
  <c r="O164" i="3"/>
  <c r="M194" i="3"/>
  <c r="O131" i="3"/>
  <c r="KR18" i="15"/>
  <c r="KR33" i="15" s="1"/>
  <c r="KT14" i="15"/>
  <c r="JB13" i="15"/>
  <c r="KQ18" i="15"/>
  <c r="KQ33" i="15" s="1"/>
  <c r="KP33" i="15"/>
  <c r="JA14" i="15"/>
  <c r="JA13" i="15"/>
  <c r="JB14" i="15"/>
  <c r="KT15" i="15"/>
  <c r="IZ15" i="15"/>
  <c r="JA15" i="15"/>
  <c r="LD13" i="15"/>
  <c r="LD21" i="15" s="1"/>
  <c r="LC13" i="15"/>
  <c r="LC21" i="15" s="1"/>
  <c r="BI87" i="11"/>
  <c r="BI105" i="11"/>
  <c r="KY30" i="15"/>
  <c r="L131" i="3"/>
  <c r="BI94" i="11"/>
  <c r="BI109" i="11"/>
  <c r="T257" i="15"/>
  <c r="T258" i="15" s="1"/>
  <c r="T259" i="15" s="1"/>
  <c r="T260" i="15" s="1"/>
  <c r="T261" i="15" s="1"/>
  <c r="T262" i="15" s="1"/>
  <c r="T263" i="15" s="1"/>
  <c r="K131" i="3"/>
  <c r="T23" i="30" s="1"/>
  <c r="BI83" i="11"/>
  <c r="BI98" i="11"/>
  <c r="I164" i="3"/>
  <c r="I194" i="3"/>
  <c r="BI76" i="11"/>
  <c r="BM77" i="11"/>
  <c r="J131" i="3"/>
  <c r="S23" i="30" s="1"/>
  <c r="KE38" i="15"/>
  <c r="KT19" i="15"/>
  <c r="KT11" i="15"/>
  <c r="HN24" i="15"/>
  <c r="LD22" i="15"/>
  <c r="HT15" i="15"/>
  <c r="KT22" i="15"/>
  <c r="LB15" i="15" s="1"/>
  <c r="LC23" i="15"/>
  <c r="KS33" i="15"/>
  <c r="KW30" i="15"/>
  <c r="KT26" i="15"/>
  <c r="KT36" i="15" s="1"/>
  <c r="KV30" i="15"/>
  <c r="KT23" i="15"/>
  <c r="LB16" i="15" s="1"/>
  <c r="KS37" i="15"/>
  <c r="KS25" i="15"/>
  <c r="KS35" i="15" s="1"/>
  <c r="KQ25" i="15"/>
  <c r="KQ35" i="15" s="1"/>
  <c r="HM14" i="15"/>
  <c r="HN14" i="15" s="1"/>
  <c r="KR25" i="15"/>
  <c r="KR35" i="15" s="1"/>
  <c r="KP30" i="15"/>
  <c r="JM13" i="15"/>
  <c r="JM21" i="15" s="1"/>
  <c r="JL13" i="15"/>
  <c r="HT14" i="15"/>
  <c r="HT18" i="15"/>
  <c r="HU13" i="15"/>
  <c r="HU21" i="15" s="1"/>
  <c r="HU17" i="15"/>
  <c r="HU14" i="15"/>
  <c r="HU18" i="15"/>
  <c r="HU15" i="15"/>
  <c r="HU16" i="15"/>
  <c r="HT17" i="15"/>
  <c r="KT27" i="15"/>
  <c r="LB18" i="15" s="1"/>
  <c r="JC23" i="15"/>
  <c r="JM22" i="15"/>
  <c r="JC24" i="15"/>
  <c r="JC22" i="15"/>
  <c r="JC26" i="15"/>
  <c r="JC36" i="15" s="1"/>
  <c r="IM38" i="15"/>
  <c r="JC17" i="15"/>
  <c r="HP30" i="15"/>
  <c r="IY37" i="15"/>
  <c r="IZ27" i="15"/>
  <c r="JB27" i="15"/>
  <c r="JB37" i="15" s="1"/>
  <c r="JA27" i="15"/>
  <c r="JA37" i="15" s="1"/>
  <c r="JC18" i="15"/>
  <c r="JC19" i="15"/>
  <c r="JC28" i="15"/>
  <c r="IJ38" i="15"/>
  <c r="IL38" i="15"/>
  <c r="IZ36" i="15"/>
  <c r="IY34" i="15"/>
  <c r="JB12" i="15"/>
  <c r="JB34" i="15" s="1"/>
  <c r="JA12" i="15"/>
  <c r="JA34" i="15" s="1"/>
  <c r="JC20" i="15"/>
  <c r="IY33" i="15"/>
  <c r="IZ11" i="15"/>
  <c r="JB11" i="15"/>
  <c r="JA11" i="15"/>
  <c r="IY35" i="15"/>
  <c r="JB25" i="15"/>
  <c r="JB35" i="15" s="1"/>
  <c r="JA25" i="15"/>
  <c r="JA35" i="15" s="1"/>
  <c r="IZ25" i="15"/>
  <c r="JC21" i="15"/>
  <c r="JL22" i="15"/>
  <c r="KS34" i="15"/>
  <c r="KR34" i="15"/>
  <c r="KQ34" i="15"/>
  <c r="JE30" i="15"/>
  <c r="JF30" i="15"/>
  <c r="JM23" i="15"/>
  <c r="IZ34" i="15"/>
  <c r="JH30" i="15"/>
  <c r="KT20" i="15"/>
  <c r="IY30" i="15"/>
  <c r="JL23" i="15"/>
  <c r="KT17" i="15"/>
  <c r="BI43" i="11"/>
  <c r="BI39" i="11"/>
  <c r="BI54" i="11"/>
  <c r="BI50" i="11"/>
  <c r="OR15" i="15"/>
  <c r="OR23" i="15" s="1"/>
  <c r="OM23" i="15"/>
  <c r="OR14" i="15"/>
  <c r="BI61" i="11"/>
  <c r="OH22" i="15"/>
  <c r="OM16" i="15"/>
  <c r="OR16" i="15" s="1"/>
  <c r="OH23" i="15"/>
  <c r="OH13" i="15"/>
  <c r="MR17" i="15"/>
  <c r="MR23" i="15" s="1"/>
  <c r="G38" i="3" s="1"/>
  <c r="NZ30" i="15"/>
  <c r="MR22" i="15"/>
  <c r="MR13" i="15"/>
  <c r="G36" i="3" s="1"/>
  <c r="MJ30" i="15"/>
  <c r="F75" i="11"/>
  <c r="AE131" i="3" l="1"/>
  <c r="U23" i="30"/>
  <c r="JC13" i="15"/>
  <c r="KT18" i="15"/>
  <c r="LC24" i="15"/>
  <c r="LC26" i="15" s="1"/>
  <c r="JC14" i="15"/>
  <c r="LC19" i="15"/>
  <c r="JB33" i="15"/>
  <c r="JC15" i="15"/>
  <c r="LD24" i="15"/>
  <c r="LD26" i="15" s="1"/>
  <c r="LD19" i="15"/>
  <c r="JA33" i="15"/>
  <c r="AE194" i="3"/>
  <c r="O194" i="3"/>
  <c r="L194" i="3"/>
  <c r="L164" i="3"/>
  <c r="AE164" i="3" s="1"/>
  <c r="T264" i="15"/>
  <c r="T265" i="15" s="1"/>
  <c r="T266" i="15" s="1"/>
  <c r="T267" i="15" s="1"/>
  <c r="T268" i="15" s="1"/>
  <c r="T269" i="15" s="1"/>
  <c r="T270" i="15" s="1"/>
  <c r="G37" i="3"/>
  <c r="G128" i="3" s="1"/>
  <c r="P20" i="30" s="1"/>
  <c r="D38" i="3"/>
  <c r="D129" i="3" s="1"/>
  <c r="OM13" i="15"/>
  <c r="E36" i="3" s="1"/>
  <c r="F36" i="3"/>
  <c r="F38" i="3"/>
  <c r="F129" i="3" s="1"/>
  <c r="E38" i="3"/>
  <c r="E129" i="3" s="1"/>
  <c r="F37" i="3"/>
  <c r="F128" i="3" s="1"/>
  <c r="J194" i="3"/>
  <c r="J164" i="3"/>
  <c r="K164" i="3"/>
  <c r="K194" i="3"/>
  <c r="K132" i="3"/>
  <c r="T24" i="30" s="1"/>
  <c r="AI13" i="30" s="1"/>
  <c r="LB14" i="15"/>
  <c r="LB22" i="15" s="1"/>
  <c r="G129" i="3"/>
  <c r="P21" i="30" s="1"/>
  <c r="KT33" i="15"/>
  <c r="HT16" i="15"/>
  <c r="HT22" i="15" s="1"/>
  <c r="HN30" i="15"/>
  <c r="KS30" i="15"/>
  <c r="KQ30" i="15"/>
  <c r="HT13" i="15"/>
  <c r="HT21" i="15" s="1"/>
  <c r="KT25" i="15"/>
  <c r="KT35" i="15" s="1"/>
  <c r="KT37" i="15"/>
  <c r="HM30" i="15"/>
  <c r="KR30" i="15"/>
  <c r="JM19" i="15"/>
  <c r="JK14" i="15"/>
  <c r="JM24" i="15"/>
  <c r="HU22" i="15"/>
  <c r="HU23" i="15"/>
  <c r="HU19" i="15"/>
  <c r="HT23" i="15"/>
  <c r="JK16" i="15"/>
  <c r="IN38" i="15"/>
  <c r="JK15" i="15"/>
  <c r="JC25" i="15"/>
  <c r="JK17" i="15" s="1"/>
  <c r="JC11" i="15"/>
  <c r="IZ33" i="15"/>
  <c r="JB30" i="15"/>
  <c r="JC12" i="15"/>
  <c r="JC34" i="15" s="1"/>
  <c r="JC27" i="15"/>
  <c r="IZ37" i="15"/>
  <c r="JA30" i="15"/>
  <c r="IZ35" i="15"/>
  <c r="IZ30" i="15"/>
  <c r="JL21" i="15"/>
  <c r="JL24" i="15" s="1"/>
  <c r="HV80" i="15" s="1"/>
  <c r="JL19" i="15"/>
  <c r="KT34" i="15"/>
  <c r="LB13" i="15"/>
  <c r="H36" i="3" s="1"/>
  <c r="OR22" i="15"/>
  <c r="OM22" i="15"/>
  <c r="OH19" i="15"/>
  <c r="OH21" i="15"/>
  <c r="MR21" i="15"/>
  <c r="MR19" i="15"/>
  <c r="Y10" i="13"/>
  <c r="B42" i="13"/>
  <c r="B25" i="13"/>
  <c r="C25" i="13"/>
  <c r="AB60" i="13"/>
  <c r="Z60" i="13"/>
  <c r="Y60" i="13"/>
  <c r="Y59" i="13"/>
  <c r="AA59" i="13" s="1"/>
  <c r="Y58" i="13"/>
  <c r="AC58" i="13" s="1"/>
  <c r="AB57" i="13"/>
  <c r="Y57" i="13"/>
  <c r="AA57" i="13" s="1"/>
  <c r="Y55" i="13"/>
  <c r="AA55" i="13" s="1"/>
  <c r="X54" i="13"/>
  <c r="W54" i="13"/>
  <c r="P79" i="13"/>
  <c r="Y53" i="13"/>
  <c r="Y52" i="13"/>
  <c r="Y25" i="13"/>
  <c r="Y24" i="13"/>
  <c r="Y23" i="13"/>
  <c r="Y21" i="13"/>
  <c r="Y20" i="13"/>
  <c r="AB54" i="13"/>
  <c r="T59" i="13"/>
  <c r="Y15" i="13"/>
  <c r="Y14" i="13"/>
  <c r="AB55" i="13"/>
  <c r="T57" i="13"/>
  <c r="Y13" i="13"/>
  <c r="T56" i="13"/>
  <c r="Y12" i="13"/>
  <c r="T55" i="13"/>
  <c r="Y11" i="13"/>
  <c r="T54" i="13"/>
  <c r="AC38" i="13"/>
  <c r="Z38" i="13" s="1"/>
  <c r="Y38" i="13"/>
  <c r="W38" i="13"/>
  <c r="AC36" i="13"/>
  <c r="AC35" i="13"/>
  <c r="Z35" i="13" s="1"/>
  <c r="Y35" i="13"/>
  <c r="W35" i="13"/>
  <c r="AC34" i="13"/>
  <c r="Z34" i="13" s="1"/>
  <c r="Y34" i="13"/>
  <c r="W34" i="13"/>
  <c r="AC33" i="13"/>
  <c r="Z33" i="13" s="1"/>
  <c r="Y33" i="13"/>
  <c r="W33" i="13"/>
  <c r="AC32" i="13"/>
  <c r="Z32" i="13" s="1"/>
  <c r="Y32" i="13"/>
  <c r="W32" i="13"/>
  <c r="O47" i="13"/>
  <c r="U46" i="13"/>
  <c r="U45" i="13" s="1"/>
  <c r="S46" i="13"/>
  <c r="T45" i="13" s="1"/>
  <c r="AI55" i="13"/>
  <c r="X45" i="13"/>
  <c r="Y44" i="13" s="1"/>
  <c r="B73" i="12"/>
  <c r="B60" i="12"/>
  <c r="B47" i="12"/>
  <c r="B34" i="12"/>
  <c r="B21" i="12"/>
  <c r="AI22" i="30" l="1"/>
  <c r="M39" i="3"/>
  <c r="JM26" i="15"/>
  <c r="F160" i="13"/>
  <c r="G160" i="13" s="1"/>
  <c r="L77" i="3" s="1"/>
  <c r="F177" i="13"/>
  <c r="G177" i="13" s="1"/>
  <c r="F146" i="13"/>
  <c r="G146" i="13" s="1"/>
  <c r="F163" i="13"/>
  <c r="G163" i="13" s="1"/>
  <c r="F145" i="13"/>
  <c r="F162" i="13"/>
  <c r="F156" i="13"/>
  <c r="G156" i="13" s="1"/>
  <c r="F173" i="13"/>
  <c r="G173" i="13" s="1"/>
  <c r="K39" i="3"/>
  <c r="L39" i="3"/>
  <c r="I39" i="3"/>
  <c r="J39" i="3"/>
  <c r="F158" i="13"/>
  <c r="G158" i="13" s="1"/>
  <c r="L75" i="3" s="1"/>
  <c r="F175" i="13"/>
  <c r="G175" i="13" s="1"/>
  <c r="F150" i="13"/>
  <c r="G150" i="13" s="1"/>
  <c r="F167" i="13"/>
  <c r="F147" i="13"/>
  <c r="G147" i="13" s="1"/>
  <c r="F164" i="13"/>
  <c r="G164" i="13" s="1"/>
  <c r="F155" i="13"/>
  <c r="G155" i="13" s="1"/>
  <c r="F172" i="13"/>
  <c r="F148" i="13"/>
  <c r="G148" i="13" s="1"/>
  <c r="F165" i="13"/>
  <c r="G165" i="13" s="1"/>
  <c r="F159" i="13"/>
  <c r="G159" i="13" s="1"/>
  <c r="L76" i="3" s="1"/>
  <c r="F176" i="13"/>
  <c r="G176" i="13" s="1"/>
  <c r="M76" i="3" s="1"/>
  <c r="T271" i="15"/>
  <c r="T272" i="15" s="1"/>
  <c r="T273" i="15" s="1"/>
  <c r="T274" i="15" s="1"/>
  <c r="T275" i="15" s="1"/>
  <c r="T276" i="15" s="1"/>
  <c r="T277" i="15" s="1"/>
  <c r="T278" i="15" s="1"/>
  <c r="T279" i="15" s="1"/>
  <c r="T280" i="15" s="1"/>
  <c r="T281" i="15" s="1"/>
  <c r="T282" i="15" s="1"/>
  <c r="T283" i="15" s="1"/>
  <c r="T284" i="15" s="1"/>
  <c r="T285" i="15" s="1"/>
  <c r="T286" i="15" s="1"/>
  <c r="T287" i="15" s="1"/>
  <c r="T288" i="15" s="1"/>
  <c r="T289" i="15" s="1"/>
  <c r="T290" i="15" s="1"/>
  <c r="T291" i="15" s="1"/>
  <c r="T292" i="15" s="1"/>
  <c r="OR13" i="15"/>
  <c r="D36" i="3" s="1"/>
  <c r="OM21" i="15"/>
  <c r="OM24" i="15" s="1"/>
  <c r="F190" i="3"/>
  <c r="F161" i="3"/>
  <c r="F191" i="3"/>
  <c r="F162" i="3"/>
  <c r="E191" i="3"/>
  <c r="E162" i="3"/>
  <c r="D162" i="3"/>
  <c r="D191" i="3"/>
  <c r="G161" i="3"/>
  <c r="G190" i="3"/>
  <c r="H37" i="3"/>
  <c r="H128" i="3" s="1"/>
  <c r="Q20" i="30" s="1"/>
  <c r="E37" i="3"/>
  <c r="E35" i="3" s="1"/>
  <c r="D37" i="3"/>
  <c r="D128" i="3" s="1"/>
  <c r="D161" i="3" s="1"/>
  <c r="LB21" i="15"/>
  <c r="H127" i="3"/>
  <c r="Q19" i="30" s="1"/>
  <c r="K159" i="3"/>
  <c r="K148" i="3"/>
  <c r="T37" i="30" s="1"/>
  <c r="C40" i="3"/>
  <c r="C39" i="3"/>
  <c r="G35" i="3"/>
  <c r="G127" i="3"/>
  <c r="P19" i="30" s="1"/>
  <c r="F127" i="3"/>
  <c r="F35" i="3"/>
  <c r="E127" i="3"/>
  <c r="G162" i="3"/>
  <c r="G191" i="3"/>
  <c r="F141" i="13"/>
  <c r="G141" i="13" s="1"/>
  <c r="K75" i="3" s="1"/>
  <c r="F124" i="13"/>
  <c r="G124" i="13" s="1"/>
  <c r="J75" i="3" s="1"/>
  <c r="F107" i="13"/>
  <c r="G107" i="13" s="1"/>
  <c r="I75" i="3" s="1"/>
  <c r="F142" i="13"/>
  <c r="G142" i="13" s="1"/>
  <c r="K76" i="3" s="1"/>
  <c r="F125" i="13"/>
  <c r="G125" i="13" s="1"/>
  <c r="J76" i="3" s="1"/>
  <c r="F108" i="13"/>
  <c r="G108" i="13" s="1"/>
  <c r="I76" i="3" s="1"/>
  <c r="F143" i="13"/>
  <c r="G143" i="13" s="1"/>
  <c r="K77" i="3" s="1"/>
  <c r="F126" i="13"/>
  <c r="G126" i="13" s="1"/>
  <c r="J77" i="3" s="1"/>
  <c r="F109" i="13"/>
  <c r="G109" i="13" s="1"/>
  <c r="I77" i="3" s="1"/>
  <c r="F139" i="13"/>
  <c r="G139" i="13" s="1"/>
  <c r="F37" i="13"/>
  <c r="F122" i="13"/>
  <c r="G122" i="13" s="1"/>
  <c r="F105" i="13"/>
  <c r="G105" i="13" s="1"/>
  <c r="F129" i="13"/>
  <c r="G129" i="13" s="1"/>
  <c r="F112" i="13"/>
  <c r="G112" i="13" s="1"/>
  <c r="F95" i="13"/>
  <c r="G95" i="13" s="1"/>
  <c r="F14" i="13"/>
  <c r="F133" i="13"/>
  <c r="F116" i="13"/>
  <c r="F99" i="13"/>
  <c r="F128" i="13"/>
  <c r="F94" i="13"/>
  <c r="F111" i="13"/>
  <c r="F138" i="13"/>
  <c r="F121" i="13"/>
  <c r="F104" i="13"/>
  <c r="F131" i="13"/>
  <c r="G131" i="13" s="1"/>
  <c r="F114" i="13"/>
  <c r="G114" i="13" s="1"/>
  <c r="F97" i="13"/>
  <c r="G97" i="13" s="1"/>
  <c r="F130" i="13"/>
  <c r="G130" i="13" s="1"/>
  <c r="F113" i="13"/>
  <c r="G113" i="13" s="1"/>
  <c r="F96" i="13"/>
  <c r="G96" i="13" s="1"/>
  <c r="HT24" i="15"/>
  <c r="FY26" i="15" s="1"/>
  <c r="KT30" i="15"/>
  <c r="LB17" i="15"/>
  <c r="LB23" i="15" s="1"/>
  <c r="HT19" i="15"/>
  <c r="HS15" i="15"/>
  <c r="HU24" i="15"/>
  <c r="HS14" i="15"/>
  <c r="HS13" i="15"/>
  <c r="HS16" i="15"/>
  <c r="JC35" i="15"/>
  <c r="JK13" i="15"/>
  <c r="JK22" i="15"/>
  <c r="HS17" i="15"/>
  <c r="HS18" i="15"/>
  <c r="JL26" i="15"/>
  <c r="JC33" i="15"/>
  <c r="JC30" i="15"/>
  <c r="JK18" i="15"/>
  <c r="JK23" i="15" s="1"/>
  <c r="JC37" i="15"/>
  <c r="MR24" i="15"/>
  <c r="F27" i="13"/>
  <c r="G27" i="13" s="1"/>
  <c r="F78" i="13"/>
  <c r="G78" i="13" s="1"/>
  <c r="F44" i="13"/>
  <c r="G44" i="13" s="1"/>
  <c r="F10" i="13"/>
  <c r="G10" i="13" s="1"/>
  <c r="F61" i="13"/>
  <c r="G61" i="13" s="1"/>
  <c r="F29" i="13"/>
  <c r="G29" i="13" s="1"/>
  <c r="F46" i="13"/>
  <c r="G46" i="13" s="1"/>
  <c r="F12" i="13"/>
  <c r="G12" i="13" s="1"/>
  <c r="F80" i="13"/>
  <c r="F63" i="13"/>
  <c r="G63" i="13" s="1"/>
  <c r="F31" i="13"/>
  <c r="G31" i="13" s="1"/>
  <c r="F65" i="13"/>
  <c r="F82" i="13"/>
  <c r="F48" i="13"/>
  <c r="F36" i="13"/>
  <c r="F70" i="13"/>
  <c r="F87" i="13"/>
  <c r="F53" i="13"/>
  <c r="F19" i="13"/>
  <c r="F41" i="13"/>
  <c r="G41" i="13" s="1"/>
  <c r="E77" i="3" s="1"/>
  <c r="F75" i="13"/>
  <c r="G75" i="13" s="1"/>
  <c r="G77" i="3" s="1"/>
  <c r="F92" i="13"/>
  <c r="G92" i="13" s="1"/>
  <c r="H77" i="3" s="1"/>
  <c r="F58" i="13"/>
  <c r="G58" i="13" s="1"/>
  <c r="F77" i="3" s="1"/>
  <c r="F24" i="13"/>
  <c r="G24" i="13" s="1"/>
  <c r="D77" i="3" s="1"/>
  <c r="F20" i="13"/>
  <c r="G20" i="13" s="1"/>
  <c r="H20" i="13" s="1"/>
  <c r="F54" i="13"/>
  <c r="G54" i="13" s="1"/>
  <c r="F88" i="13"/>
  <c r="G88" i="13" s="1"/>
  <c r="F71" i="13"/>
  <c r="G71" i="13" s="1"/>
  <c r="F26" i="13"/>
  <c r="G26" i="13" s="1"/>
  <c r="F43" i="13"/>
  <c r="F9" i="13"/>
  <c r="F77" i="13"/>
  <c r="G77" i="13" s="1"/>
  <c r="F60" i="13"/>
  <c r="F28" i="13"/>
  <c r="G28" i="13" s="1"/>
  <c r="F62" i="13"/>
  <c r="G62" i="13" s="1"/>
  <c r="F79" i="13"/>
  <c r="G79" i="13" s="1"/>
  <c r="F11" i="13"/>
  <c r="G11" i="13" s="1"/>
  <c r="F45" i="13"/>
  <c r="G45" i="13" s="1"/>
  <c r="F32" i="13"/>
  <c r="G32" i="13" s="1"/>
  <c r="F15" i="13"/>
  <c r="G15" i="13" s="1"/>
  <c r="F66" i="13"/>
  <c r="G66" i="13" s="1"/>
  <c r="F83" i="13"/>
  <c r="G83" i="13" s="1"/>
  <c r="L100" i="13" s="1"/>
  <c r="F49" i="13"/>
  <c r="G49" i="13" s="1"/>
  <c r="F39" i="13"/>
  <c r="F73" i="13"/>
  <c r="G73" i="13" s="1"/>
  <c r="G75" i="3" s="1"/>
  <c r="F90" i="13"/>
  <c r="G90" i="13" s="1"/>
  <c r="H75" i="3" s="1"/>
  <c r="F56" i="13"/>
  <c r="G56" i="13" s="1"/>
  <c r="F75" i="3" s="1"/>
  <c r="F22" i="13"/>
  <c r="G22" i="13" s="1"/>
  <c r="D75" i="3" s="1"/>
  <c r="F40" i="13"/>
  <c r="F23" i="13"/>
  <c r="G23" i="13" s="1"/>
  <c r="D76" i="3" s="1"/>
  <c r="F74" i="13"/>
  <c r="G74" i="13" s="1"/>
  <c r="G76" i="3" s="1"/>
  <c r="F91" i="13"/>
  <c r="G91" i="13" s="1"/>
  <c r="H76" i="3" s="1"/>
  <c r="F57" i="13"/>
  <c r="G57" i="13" s="1"/>
  <c r="F76" i="3" s="1"/>
  <c r="P46" i="13"/>
  <c r="P45" i="13"/>
  <c r="OH24" i="15"/>
  <c r="ON22" i="15"/>
  <c r="OM19" i="15"/>
  <c r="AA60" i="13"/>
  <c r="Y43" i="13"/>
  <c r="AC55" i="13"/>
  <c r="P44" i="13"/>
  <c r="Y54" i="13"/>
  <c r="AC54" i="13" s="1"/>
  <c r="T43" i="13"/>
  <c r="Y36" i="13"/>
  <c r="Z36" i="13"/>
  <c r="T44" i="13"/>
  <c r="W36" i="13"/>
  <c r="AC60" i="13"/>
  <c r="T58" i="13"/>
  <c r="AC57" i="13"/>
  <c r="C42" i="13"/>
  <c r="AA38" i="13"/>
  <c r="P43" i="13"/>
  <c r="AA58" i="13"/>
  <c r="AC59" i="13"/>
  <c r="U44" i="13"/>
  <c r="BU64" i="12"/>
  <c r="BU63" i="12"/>
  <c r="BU62" i="12"/>
  <c r="BU61" i="12"/>
  <c r="BU60" i="12"/>
  <c r="J48" i="12"/>
  <c r="AM61" i="12"/>
  <c r="AL72" i="12"/>
  <c r="AN85" i="12" s="1"/>
  <c r="AH72" i="12"/>
  <c r="AG72" i="12"/>
  <c r="AF72" i="12"/>
  <c r="AL71" i="12"/>
  <c r="AN84" i="12" s="1"/>
  <c r="AH71" i="12"/>
  <c r="AG71" i="12"/>
  <c r="AF71" i="12"/>
  <c r="AL70" i="12"/>
  <c r="AN83" i="12" s="1"/>
  <c r="AH70" i="12"/>
  <c r="AG70" i="12"/>
  <c r="AF70" i="12"/>
  <c r="AL67" i="12"/>
  <c r="AH67" i="12"/>
  <c r="AG67" i="12"/>
  <c r="AF67" i="12"/>
  <c r="AL66" i="12"/>
  <c r="AN79" i="12" s="1"/>
  <c r="AH66" i="12"/>
  <c r="AG66" i="12"/>
  <c r="AF66" i="12"/>
  <c r="AL64" i="12"/>
  <c r="AN77" i="12" s="1"/>
  <c r="AH64" i="12"/>
  <c r="AG64" i="12"/>
  <c r="AF64" i="12"/>
  <c r="AL63" i="12"/>
  <c r="AN76" i="12" s="1"/>
  <c r="AH63" i="12"/>
  <c r="AG63" i="12"/>
  <c r="AF63" i="12"/>
  <c r="AL62" i="12"/>
  <c r="AN75" i="12" s="1"/>
  <c r="AH62" i="12"/>
  <c r="AG62" i="12"/>
  <c r="AF62" i="12"/>
  <c r="AL61" i="12"/>
  <c r="AN74" i="12" s="1"/>
  <c r="AH61" i="12"/>
  <c r="AG61" i="12"/>
  <c r="AF61" i="12"/>
  <c r="U61" i="12"/>
  <c r="J61" i="12"/>
  <c r="V72" i="12"/>
  <c r="R72" i="12"/>
  <c r="W85" i="12" s="1"/>
  <c r="K72" i="12"/>
  <c r="G72" i="12"/>
  <c r="L85" i="12" s="1"/>
  <c r="V71" i="12"/>
  <c r="R71" i="12"/>
  <c r="W84" i="12" s="1"/>
  <c r="K71" i="12"/>
  <c r="G71" i="12"/>
  <c r="L84" i="12" s="1"/>
  <c r="V70" i="12"/>
  <c r="R70" i="12"/>
  <c r="W83" i="12" s="1"/>
  <c r="K70" i="12"/>
  <c r="G70" i="12"/>
  <c r="L83" i="12" s="1"/>
  <c r="T68" i="12"/>
  <c r="V81" i="12" s="1"/>
  <c r="P68" i="12"/>
  <c r="O68" i="12"/>
  <c r="N68" i="12"/>
  <c r="I68" i="12"/>
  <c r="K81" i="12" s="1"/>
  <c r="E68" i="12"/>
  <c r="D68" i="12"/>
  <c r="C68" i="12"/>
  <c r="V67" i="12"/>
  <c r="R67" i="12"/>
  <c r="W80" i="12" s="1"/>
  <c r="K67" i="12"/>
  <c r="G67" i="12"/>
  <c r="L80" i="12" s="1"/>
  <c r="V66" i="12"/>
  <c r="R66" i="12"/>
  <c r="W79" i="12" s="1"/>
  <c r="K66" i="12"/>
  <c r="G66" i="12"/>
  <c r="L79" i="12" s="1"/>
  <c r="T65" i="12"/>
  <c r="V78" i="12" s="1"/>
  <c r="P65" i="12"/>
  <c r="N65" i="12"/>
  <c r="I65" i="12"/>
  <c r="K78" i="12" s="1"/>
  <c r="E65" i="12"/>
  <c r="D65" i="12"/>
  <c r="C65" i="12"/>
  <c r="V64" i="12"/>
  <c r="R64" i="12"/>
  <c r="W77" i="12" s="1"/>
  <c r="K64" i="12"/>
  <c r="G64" i="12"/>
  <c r="L77" i="12" s="1"/>
  <c r="V63" i="12"/>
  <c r="R63" i="12"/>
  <c r="W76" i="12" s="1"/>
  <c r="O65" i="12"/>
  <c r="K63" i="12"/>
  <c r="L76" i="12"/>
  <c r="V62" i="12"/>
  <c r="R62" i="12"/>
  <c r="W75" i="12" s="1"/>
  <c r="K62" i="12"/>
  <c r="G62" i="12"/>
  <c r="L75" i="12" s="1"/>
  <c r="V61" i="12"/>
  <c r="R61" i="12"/>
  <c r="W74" i="12" s="1"/>
  <c r="K61" i="12"/>
  <c r="G61" i="12"/>
  <c r="T13" i="12"/>
  <c r="T16" i="12"/>
  <c r="T26" i="12"/>
  <c r="T29" i="12"/>
  <c r="T39" i="12"/>
  <c r="T42" i="12"/>
  <c r="T52" i="12"/>
  <c r="T55" i="12"/>
  <c r="AL12" i="12"/>
  <c r="AL15" i="12"/>
  <c r="AL23" i="12"/>
  <c r="V24" i="12"/>
  <c r="AL27" i="12"/>
  <c r="V41" i="12"/>
  <c r="V31" i="12"/>
  <c r="V45" i="12"/>
  <c r="V36" i="12"/>
  <c r="V53" i="12"/>
  <c r="V57" i="12"/>
  <c r="V48" i="12"/>
  <c r="AL51" i="12"/>
  <c r="AL59" i="12"/>
  <c r="I13" i="12"/>
  <c r="I16" i="12"/>
  <c r="I26" i="12"/>
  <c r="I29" i="12"/>
  <c r="I39" i="12"/>
  <c r="I42" i="12"/>
  <c r="I52" i="12"/>
  <c r="I55" i="12"/>
  <c r="K24" i="12"/>
  <c r="K41" i="12"/>
  <c r="K45" i="12"/>
  <c r="K36" i="12"/>
  <c r="K53" i="12"/>
  <c r="AL44" i="12"/>
  <c r="K48" i="12"/>
  <c r="AL9" i="12"/>
  <c r="AL10" i="12"/>
  <c r="AL11" i="12"/>
  <c r="AL14" i="12"/>
  <c r="AL18" i="12"/>
  <c r="AL19" i="12"/>
  <c r="AL22" i="12"/>
  <c r="AL25" i="12"/>
  <c r="AL33" i="12"/>
  <c r="AL35" i="12"/>
  <c r="AL37" i="12"/>
  <c r="AL38" i="12"/>
  <c r="AL41" i="12"/>
  <c r="AS21" i="12" s="1"/>
  <c r="AT21" i="12" s="1"/>
  <c r="AL45" i="12"/>
  <c r="AL46" i="12"/>
  <c r="AL49" i="12"/>
  <c r="AL50" i="12"/>
  <c r="AL53" i="12"/>
  <c r="AL54" i="12"/>
  <c r="AS22" i="12" s="1"/>
  <c r="AT22" i="12" s="1"/>
  <c r="AL57" i="12"/>
  <c r="AL58" i="12"/>
  <c r="V22" i="12"/>
  <c r="K23" i="12"/>
  <c r="K27" i="12"/>
  <c r="K28" i="12"/>
  <c r="K31" i="12"/>
  <c r="K35" i="12"/>
  <c r="K38" i="12"/>
  <c r="K40" i="12"/>
  <c r="K46" i="12"/>
  <c r="K50" i="12"/>
  <c r="K51" i="12"/>
  <c r="K54" i="12"/>
  <c r="K59" i="12"/>
  <c r="K22" i="12"/>
  <c r="V59" i="12"/>
  <c r="V23" i="12"/>
  <c r="V27" i="12"/>
  <c r="V28" i="12"/>
  <c r="V35" i="12"/>
  <c r="V38" i="12"/>
  <c r="V40" i="12"/>
  <c r="V46" i="12"/>
  <c r="V50" i="12"/>
  <c r="V51" i="12"/>
  <c r="V54" i="12"/>
  <c r="V58" i="12"/>
  <c r="R35" i="12"/>
  <c r="R36" i="12"/>
  <c r="R37" i="12"/>
  <c r="R38" i="12"/>
  <c r="R40" i="12"/>
  <c r="R41" i="12"/>
  <c r="R44" i="12"/>
  <c r="R45" i="12"/>
  <c r="R46" i="12"/>
  <c r="S48" i="12"/>
  <c r="R51" i="12"/>
  <c r="R53" i="12"/>
  <c r="R54" i="12"/>
  <c r="R57" i="12"/>
  <c r="R58" i="12"/>
  <c r="R59" i="12"/>
  <c r="R9" i="12"/>
  <c r="S9" i="12" s="1"/>
  <c r="G14" i="12"/>
  <c r="G15" i="12"/>
  <c r="G19" i="12"/>
  <c r="G27" i="12"/>
  <c r="G28" i="12"/>
  <c r="G32" i="12"/>
  <c r="G35" i="12"/>
  <c r="G36" i="12"/>
  <c r="G37" i="12"/>
  <c r="G38" i="12"/>
  <c r="G40" i="12"/>
  <c r="G41" i="12"/>
  <c r="G44" i="12"/>
  <c r="G45" i="12"/>
  <c r="G46" i="12"/>
  <c r="G48" i="12"/>
  <c r="G49" i="12"/>
  <c r="G50" i="12"/>
  <c r="G51" i="12"/>
  <c r="G53" i="12"/>
  <c r="G54" i="12"/>
  <c r="G57" i="12"/>
  <c r="G58" i="12"/>
  <c r="G59" i="12"/>
  <c r="CE64" i="12"/>
  <c r="CC64" i="12"/>
  <c r="BS64" i="12"/>
  <c r="CE63" i="12"/>
  <c r="CC63" i="12"/>
  <c r="BS63" i="12"/>
  <c r="CE62" i="12"/>
  <c r="CC62" i="12"/>
  <c r="BS62" i="12"/>
  <c r="CE61" i="12"/>
  <c r="CC61" i="12"/>
  <c r="BS61" i="12"/>
  <c r="BK23" i="12"/>
  <c r="BJ23" i="12"/>
  <c r="BH23" i="12"/>
  <c r="BG23" i="12"/>
  <c r="BB23" i="12"/>
  <c r="AH59" i="12"/>
  <c r="AG59" i="12"/>
  <c r="AF59" i="12"/>
  <c r="CE60" i="12"/>
  <c r="CC60" i="12"/>
  <c r="BS60" i="12"/>
  <c r="BK22" i="12"/>
  <c r="BJ22" i="12"/>
  <c r="BH22" i="12"/>
  <c r="BG22" i="12"/>
  <c r="BF22" i="12"/>
  <c r="BB22" i="12"/>
  <c r="BC22" i="12" s="1"/>
  <c r="AH58" i="12"/>
  <c r="AG58" i="12"/>
  <c r="AF58" i="12"/>
  <c r="CC59" i="12"/>
  <c r="BS59" i="12"/>
  <c r="BK21" i="12"/>
  <c r="BJ21" i="12"/>
  <c r="BH21" i="12"/>
  <c r="BG21" i="12"/>
  <c r="BF21" i="12"/>
  <c r="BB21" i="12"/>
  <c r="BC21" i="12" s="1"/>
  <c r="AH57" i="12"/>
  <c r="AG57" i="12"/>
  <c r="AF57" i="12"/>
  <c r="CC58" i="12"/>
  <c r="BS58" i="12"/>
  <c r="BK20" i="12"/>
  <c r="BJ20" i="12"/>
  <c r="BH20" i="12"/>
  <c r="BG20" i="12"/>
  <c r="BF20" i="12"/>
  <c r="BB20" i="12"/>
  <c r="BC20" i="12" s="1"/>
  <c r="CC57" i="12"/>
  <c r="BS57" i="12"/>
  <c r="BK19" i="12"/>
  <c r="BJ19" i="12"/>
  <c r="BH19" i="12"/>
  <c r="BG19" i="12"/>
  <c r="BF19" i="12"/>
  <c r="BB19" i="12"/>
  <c r="BC19" i="12" s="1"/>
  <c r="P55" i="12"/>
  <c r="O55" i="12"/>
  <c r="N55" i="12"/>
  <c r="E55" i="12"/>
  <c r="D55" i="12"/>
  <c r="C55" i="12"/>
  <c r="CC56" i="12"/>
  <c r="BS56" i="12"/>
  <c r="AH54" i="12"/>
  <c r="AG54" i="12"/>
  <c r="AF54" i="12"/>
  <c r="CC55" i="12"/>
  <c r="BS55" i="12"/>
  <c r="BK17" i="12"/>
  <c r="BJ17" i="12"/>
  <c r="BI17" i="12"/>
  <c r="BH17" i="12"/>
  <c r="BG17" i="12"/>
  <c r="BF17" i="12"/>
  <c r="AH53" i="12"/>
  <c r="AG53" i="12"/>
  <c r="AF53" i="12"/>
  <c r="CC54" i="12"/>
  <c r="BS54" i="12"/>
  <c r="P52" i="12"/>
  <c r="N52" i="12"/>
  <c r="E52" i="12"/>
  <c r="D52" i="12"/>
  <c r="C52" i="12"/>
  <c r="CC53" i="12"/>
  <c r="BS53" i="12"/>
  <c r="AH51" i="12"/>
  <c r="AG51" i="12"/>
  <c r="AF51" i="12"/>
  <c r="CC52" i="12"/>
  <c r="BS52" i="12"/>
  <c r="AH50" i="12"/>
  <c r="AF50" i="12"/>
  <c r="O50" i="12"/>
  <c r="R50" i="12" s="1"/>
  <c r="CC51" i="12"/>
  <c r="BS51" i="12"/>
  <c r="AH49" i="12"/>
  <c r="AG49" i="12"/>
  <c r="AF49" i="12"/>
  <c r="CC50" i="12"/>
  <c r="BS50" i="12"/>
  <c r="AH48" i="12"/>
  <c r="AG48" i="12"/>
  <c r="AF48" i="12"/>
  <c r="CC49" i="12"/>
  <c r="BS49" i="12"/>
  <c r="CC48" i="12"/>
  <c r="BS48" i="12"/>
  <c r="AH46" i="12"/>
  <c r="AG46" i="12"/>
  <c r="AF46" i="12"/>
  <c r="CC47" i="12"/>
  <c r="BS47" i="12"/>
  <c r="AH45" i="12"/>
  <c r="AG45" i="12"/>
  <c r="AF45" i="12"/>
  <c r="CC46" i="12"/>
  <c r="BS46" i="12"/>
  <c r="AH44" i="12"/>
  <c r="AG44" i="12"/>
  <c r="AF44" i="12"/>
  <c r="CC45" i="12"/>
  <c r="BS45" i="12"/>
  <c r="CC44" i="12"/>
  <c r="BS44" i="12"/>
  <c r="P42" i="12"/>
  <c r="O42" i="12"/>
  <c r="N42" i="12"/>
  <c r="E42" i="12"/>
  <c r="D42" i="12"/>
  <c r="C42" i="12"/>
  <c r="CC43" i="12"/>
  <c r="BS43" i="12"/>
  <c r="AH41" i="12"/>
  <c r="AG41" i="12"/>
  <c r="AF41" i="12"/>
  <c r="CC42" i="12"/>
  <c r="BS42" i="12"/>
  <c r="AH40" i="12"/>
  <c r="AG40" i="12"/>
  <c r="AF40" i="12"/>
  <c r="CC41" i="12"/>
  <c r="BS41" i="12"/>
  <c r="P39" i="12"/>
  <c r="O39" i="12"/>
  <c r="N39" i="12"/>
  <c r="E39" i="12"/>
  <c r="D39" i="12"/>
  <c r="C39" i="12"/>
  <c r="CC40" i="12"/>
  <c r="BS40" i="12"/>
  <c r="AH38" i="12"/>
  <c r="AG38" i="12"/>
  <c r="AF38" i="12"/>
  <c r="CC39" i="12"/>
  <c r="BS39" i="12"/>
  <c r="AH37" i="12"/>
  <c r="AG37" i="12"/>
  <c r="AF37" i="12"/>
  <c r="CC38" i="12"/>
  <c r="BS38" i="12"/>
  <c r="AH36" i="12"/>
  <c r="AG36" i="12"/>
  <c r="AF36" i="12"/>
  <c r="CC37" i="12"/>
  <c r="BS37" i="12"/>
  <c r="AG35" i="12"/>
  <c r="AF35" i="12"/>
  <c r="CC36" i="12"/>
  <c r="BS36" i="12"/>
  <c r="CC35" i="12"/>
  <c r="BS35" i="12"/>
  <c r="AF33" i="12"/>
  <c r="P33" i="12"/>
  <c r="O33" i="12"/>
  <c r="E33" i="12"/>
  <c r="D33" i="12"/>
  <c r="CC34" i="12"/>
  <c r="BS34" i="12"/>
  <c r="AF32" i="12"/>
  <c r="P32" i="12"/>
  <c r="O32" i="12"/>
  <c r="CC33" i="12"/>
  <c r="BS33" i="12"/>
  <c r="AF31" i="12"/>
  <c r="P31" i="12"/>
  <c r="O31" i="12"/>
  <c r="E31" i="12"/>
  <c r="D31" i="12"/>
  <c r="CC32" i="12"/>
  <c r="BS32" i="12"/>
  <c r="CC31" i="12"/>
  <c r="BS31" i="12"/>
  <c r="N29" i="12"/>
  <c r="E29" i="12"/>
  <c r="D29" i="12"/>
  <c r="C29" i="12"/>
  <c r="CC30" i="12"/>
  <c r="BS30" i="12"/>
  <c r="AF28" i="12"/>
  <c r="P28" i="12"/>
  <c r="O28" i="12"/>
  <c r="CC29" i="12"/>
  <c r="BS29" i="12"/>
  <c r="AF27" i="12"/>
  <c r="P27" i="12"/>
  <c r="O27" i="12"/>
  <c r="CC28" i="12"/>
  <c r="BS28" i="12"/>
  <c r="N26" i="12"/>
  <c r="C26" i="12"/>
  <c r="CC27" i="12"/>
  <c r="BS27" i="12"/>
  <c r="AF25" i="12"/>
  <c r="P25" i="12"/>
  <c r="O25" i="12"/>
  <c r="E25" i="12"/>
  <c r="D25" i="12"/>
  <c r="CC26" i="12"/>
  <c r="BS26" i="12"/>
  <c r="AF24" i="12"/>
  <c r="P24" i="12"/>
  <c r="O24" i="12"/>
  <c r="E24" i="12"/>
  <c r="D24" i="12"/>
  <c r="CC25" i="12"/>
  <c r="BS25" i="12"/>
  <c r="AF23" i="12"/>
  <c r="P23" i="12"/>
  <c r="O23" i="12"/>
  <c r="E23" i="12"/>
  <c r="D23" i="12"/>
  <c r="CC24" i="12"/>
  <c r="BS24" i="12"/>
  <c r="AF22" i="12"/>
  <c r="P22" i="12"/>
  <c r="O22" i="12"/>
  <c r="E22" i="12"/>
  <c r="D22" i="12"/>
  <c r="CC23" i="12"/>
  <c r="BS23" i="12"/>
  <c r="CC22" i="12"/>
  <c r="BS22" i="12"/>
  <c r="AF20" i="12"/>
  <c r="P20" i="12"/>
  <c r="O20" i="12"/>
  <c r="E20" i="12"/>
  <c r="D20" i="12"/>
  <c r="CC21" i="12"/>
  <c r="BS21" i="12"/>
  <c r="AF19" i="12"/>
  <c r="P19" i="12"/>
  <c r="AH19" i="12" s="1"/>
  <c r="O19" i="12"/>
  <c r="CC20" i="12"/>
  <c r="BS20" i="12"/>
  <c r="AF18" i="12"/>
  <c r="P18" i="12"/>
  <c r="O18" i="12"/>
  <c r="E18" i="12"/>
  <c r="D18" i="12"/>
  <c r="CC19" i="12"/>
  <c r="BS19" i="12"/>
  <c r="CC18" i="12"/>
  <c r="BS18" i="12"/>
  <c r="N16" i="12"/>
  <c r="E16" i="12"/>
  <c r="D16" i="12"/>
  <c r="C16" i="12"/>
  <c r="CC17" i="12"/>
  <c r="BS17" i="12"/>
  <c r="AF15" i="12"/>
  <c r="P15" i="12"/>
  <c r="AH15" i="12" s="1"/>
  <c r="O15" i="12"/>
  <c r="AG15" i="12" s="1"/>
  <c r="CC16" i="12"/>
  <c r="BS16" i="12"/>
  <c r="AF14" i="12"/>
  <c r="P14" i="12"/>
  <c r="O14" i="12"/>
  <c r="CC15" i="12"/>
  <c r="BS15" i="12"/>
  <c r="N13" i="12"/>
  <c r="C13" i="12"/>
  <c r="AF12" i="12"/>
  <c r="P12" i="12"/>
  <c r="O12" i="12"/>
  <c r="E12" i="12"/>
  <c r="D12" i="12"/>
  <c r="AF11" i="12"/>
  <c r="P11" i="12"/>
  <c r="O11" i="12"/>
  <c r="E11" i="12"/>
  <c r="D11" i="12"/>
  <c r="AF10" i="12"/>
  <c r="P10" i="12"/>
  <c r="O10" i="12"/>
  <c r="D10" i="12"/>
  <c r="G10" i="12" s="1"/>
  <c r="AF9" i="12"/>
  <c r="D9" i="12"/>
  <c r="AG9" i="12" s="1"/>
  <c r="BP2" i="12"/>
  <c r="BP3" i="12" s="1"/>
  <c r="BP4" i="12" s="1"/>
  <c r="BP5" i="12" s="1"/>
  <c r="BP6" i="12" s="1"/>
  <c r="BP7" i="12" s="1"/>
  <c r="BP8" i="12" s="1"/>
  <c r="BP9" i="12" s="1"/>
  <c r="BP10" i="12" s="1"/>
  <c r="BP11" i="12" s="1"/>
  <c r="BP12" i="12" s="1"/>
  <c r="BP13" i="12" s="1"/>
  <c r="BP14" i="12" s="1"/>
  <c r="BP15" i="12" s="1"/>
  <c r="BP16" i="12" s="1"/>
  <c r="BP17" i="12" s="1"/>
  <c r="BP18" i="12" s="1"/>
  <c r="BP19" i="12" s="1"/>
  <c r="BP20" i="12" s="1"/>
  <c r="BP21" i="12" s="1"/>
  <c r="BP22" i="12" s="1"/>
  <c r="BP23" i="12" s="1"/>
  <c r="BP24" i="12" s="1"/>
  <c r="BP25" i="12" s="1"/>
  <c r="BP26" i="12" s="1"/>
  <c r="BP27" i="12" s="1"/>
  <c r="BP28" i="12" s="1"/>
  <c r="BP29" i="12" s="1"/>
  <c r="BP30" i="12" s="1"/>
  <c r="BP31" i="12" s="1"/>
  <c r="BP32" i="12" s="1"/>
  <c r="BP33" i="12" s="1"/>
  <c r="BP34" i="12" s="1"/>
  <c r="BP35" i="12" s="1"/>
  <c r="BP36" i="12" s="1"/>
  <c r="BP37" i="12" s="1"/>
  <c r="BP38" i="12" s="1"/>
  <c r="BP39" i="12" s="1"/>
  <c r="BP40" i="12" s="1"/>
  <c r="BP41" i="12" s="1"/>
  <c r="BP42" i="12" s="1"/>
  <c r="BP43" i="12" s="1"/>
  <c r="BP44" i="12" s="1"/>
  <c r="BP45" i="12" s="1"/>
  <c r="BP46" i="12" s="1"/>
  <c r="BP47" i="12" s="1"/>
  <c r="BP48" i="12" s="1"/>
  <c r="BP49" i="12" s="1"/>
  <c r="BP50" i="12" s="1"/>
  <c r="BP51" i="12" s="1"/>
  <c r="BP52" i="12" s="1"/>
  <c r="BP53" i="12" s="1"/>
  <c r="BP54" i="12" s="1"/>
  <c r="BP55" i="12" s="1"/>
  <c r="BP56" i="12" s="1"/>
  <c r="BP57" i="12" s="1"/>
  <c r="BP58" i="12" s="1"/>
  <c r="BP59" i="12" s="1"/>
  <c r="BP60" i="12" s="1"/>
  <c r="BP61" i="12" s="1"/>
  <c r="L165" i="13" l="1"/>
  <c r="L175" i="13"/>
  <c r="M75" i="3"/>
  <c r="L177" i="13"/>
  <c r="M77" i="3"/>
  <c r="OR19" i="15"/>
  <c r="F153" i="13"/>
  <c r="L160" i="13"/>
  <c r="F149" i="13"/>
  <c r="G149" i="13" s="1"/>
  <c r="L72" i="3" s="1"/>
  <c r="L148" i="13"/>
  <c r="L176" i="13"/>
  <c r="F157" i="13"/>
  <c r="G157" i="13" s="1"/>
  <c r="L74" i="3" s="1"/>
  <c r="L164" i="13"/>
  <c r="H173" i="13"/>
  <c r="L173" i="13"/>
  <c r="F170" i="13"/>
  <c r="G167" i="13"/>
  <c r="F166" i="13"/>
  <c r="G166" i="13" s="1"/>
  <c r="M72" i="3" s="1"/>
  <c r="G162" i="13"/>
  <c r="H164" i="13" s="1"/>
  <c r="L163" i="13"/>
  <c r="L29" i="13"/>
  <c r="L146" i="13"/>
  <c r="G145" i="13"/>
  <c r="H146" i="13" s="1"/>
  <c r="G172" i="13"/>
  <c r="F174" i="13"/>
  <c r="G174" i="13" s="1"/>
  <c r="M74" i="3" s="1"/>
  <c r="L147" i="13"/>
  <c r="OR21" i="15"/>
  <c r="OR24" i="15" s="1"/>
  <c r="OM26" i="15" s="1"/>
  <c r="R11" i="12"/>
  <c r="E128" i="3"/>
  <c r="E132" i="3" s="1"/>
  <c r="E159" i="3" s="1"/>
  <c r="H161" i="3"/>
  <c r="H190" i="3"/>
  <c r="H38" i="3"/>
  <c r="H129" i="3" s="1"/>
  <c r="Q21" i="30" s="1"/>
  <c r="D190" i="3"/>
  <c r="J127" i="3"/>
  <c r="S19" i="30" s="1"/>
  <c r="HT26" i="15"/>
  <c r="I37" i="3"/>
  <c r="I128" i="3" s="1"/>
  <c r="R20" i="30" s="1"/>
  <c r="I38" i="3"/>
  <c r="I129" i="3" s="1"/>
  <c r="R21" i="30" s="1"/>
  <c r="JK21" i="15"/>
  <c r="JK24" i="15" s="1"/>
  <c r="HU80" i="15" s="1"/>
  <c r="I36" i="3"/>
  <c r="Y164" i="3"/>
  <c r="Y125" i="3"/>
  <c r="K179" i="3"/>
  <c r="Y146" i="3"/>
  <c r="K202" i="3"/>
  <c r="K210" i="3" s="1"/>
  <c r="L159" i="13"/>
  <c r="H156" i="13"/>
  <c r="L156" i="13"/>
  <c r="G153" i="13"/>
  <c r="L73" i="3" s="1"/>
  <c r="L158" i="13"/>
  <c r="BP62" i="12"/>
  <c r="BP63" i="12" s="1"/>
  <c r="BP64" i="12" s="1"/>
  <c r="D35" i="3"/>
  <c r="D127" i="3"/>
  <c r="H160" i="3"/>
  <c r="H189" i="3"/>
  <c r="F160" i="3"/>
  <c r="F132" i="3"/>
  <c r="F159" i="3" s="1"/>
  <c r="F189" i="3"/>
  <c r="E160" i="3"/>
  <c r="E189" i="3"/>
  <c r="G132" i="3"/>
  <c r="P24" i="30" s="1"/>
  <c r="AE13" i="30" s="1"/>
  <c r="AE22" i="30" s="1"/>
  <c r="G189" i="3"/>
  <c r="G160" i="3"/>
  <c r="LB19" i="15"/>
  <c r="L112" i="13"/>
  <c r="L143" i="13"/>
  <c r="L130" i="13"/>
  <c r="F98" i="13"/>
  <c r="G98" i="13" s="1"/>
  <c r="I72" i="3" s="1"/>
  <c r="G94" i="13"/>
  <c r="H95" i="13" s="1"/>
  <c r="L129" i="13"/>
  <c r="F132" i="13"/>
  <c r="G132" i="13" s="1"/>
  <c r="K72" i="3" s="1"/>
  <c r="G128" i="13"/>
  <c r="H130" i="13" s="1"/>
  <c r="L105" i="13"/>
  <c r="H105" i="13"/>
  <c r="L114" i="13"/>
  <c r="F102" i="13"/>
  <c r="G99" i="13"/>
  <c r="L122" i="13"/>
  <c r="H122" i="13"/>
  <c r="L108" i="13"/>
  <c r="L131" i="13"/>
  <c r="G116" i="13"/>
  <c r="F119" i="13"/>
  <c r="L125" i="13"/>
  <c r="G104" i="13"/>
  <c r="F106" i="13"/>
  <c r="G106" i="13" s="1"/>
  <c r="G133" i="13"/>
  <c r="L150" i="13" s="1"/>
  <c r="F136" i="13"/>
  <c r="G136" i="13" s="1"/>
  <c r="K73" i="3" s="1"/>
  <c r="L139" i="13"/>
  <c r="H139" i="13"/>
  <c r="L142" i="13"/>
  <c r="G121" i="13"/>
  <c r="F123" i="13"/>
  <c r="G123" i="13" s="1"/>
  <c r="J74" i="3" s="1"/>
  <c r="L109" i="13"/>
  <c r="L107" i="13"/>
  <c r="L46" i="13"/>
  <c r="L96" i="13"/>
  <c r="G138" i="13"/>
  <c r="L155" i="13" s="1"/>
  <c r="F140" i="13"/>
  <c r="L95" i="13"/>
  <c r="L126" i="13"/>
  <c r="L124" i="13"/>
  <c r="L113" i="13"/>
  <c r="G111" i="13"/>
  <c r="F115" i="13"/>
  <c r="G115" i="13" s="1"/>
  <c r="J72" i="3" s="1"/>
  <c r="L141" i="13"/>
  <c r="AL13" i="12"/>
  <c r="AG65" i="12"/>
  <c r="R10" i="12"/>
  <c r="S10" i="12" s="1"/>
  <c r="AL39" i="12"/>
  <c r="AG14" i="12"/>
  <c r="R14" i="12"/>
  <c r="BI24" i="12"/>
  <c r="BC23" i="12"/>
  <c r="HU26" i="15"/>
  <c r="FZ26" i="15"/>
  <c r="LB24" i="15"/>
  <c r="LB26" i="15" s="1"/>
  <c r="HS22" i="15"/>
  <c r="J128" i="3" s="1"/>
  <c r="S20" i="30" s="1"/>
  <c r="HS23" i="15"/>
  <c r="J129" i="3" s="1"/>
  <c r="S21" i="30" s="1"/>
  <c r="HS19" i="15"/>
  <c r="HS21" i="15"/>
  <c r="JK19" i="15"/>
  <c r="P145" i="12"/>
  <c r="P142" i="12"/>
  <c r="H61" i="12"/>
  <c r="L74" i="12"/>
  <c r="I56" i="12"/>
  <c r="I60" i="12" s="1"/>
  <c r="T43" i="12"/>
  <c r="T47" i="12" s="1"/>
  <c r="AS23" i="12"/>
  <c r="AT23" i="12" s="1"/>
  <c r="AN80" i="12"/>
  <c r="AS19" i="12"/>
  <c r="AT19" i="12" s="1"/>
  <c r="R68" i="12"/>
  <c r="W81" i="12" s="1"/>
  <c r="AF65" i="12"/>
  <c r="AN63" i="12"/>
  <c r="L27" i="12"/>
  <c r="AJ67" i="12"/>
  <c r="AJ71" i="12"/>
  <c r="AO84" i="12" s="1"/>
  <c r="K65" i="12"/>
  <c r="L71" i="12"/>
  <c r="F34" i="13"/>
  <c r="AA54" i="13"/>
  <c r="AH65" i="12"/>
  <c r="AH68" i="12"/>
  <c r="AJ61" i="12"/>
  <c r="AO74" i="12" s="1"/>
  <c r="F38" i="13"/>
  <c r="G38" i="13" s="1"/>
  <c r="E74" i="3" s="1"/>
  <c r="L61" i="12"/>
  <c r="MR26" i="15"/>
  <c r="W66" i="12"/>
  <c r="W70" i="12"/>
  <c r="W72" i="12"/>
  <c r="AN66" i="12"/>
  <c r="AN70" i="12"/>
  <c r="L67" i="12"/>
  <c r="L62" i="12"/>
  <c r="AN38" i="12"/>
  <c r="I30" i="12"/>
  <c r="I34" i="12" s="1"/>
  <c r="T17" i="12"/>
  <c r="T21" i="12" s="1"/>
  <c r="AG68" i="12"/>
  <c r="AN62" i="12"/>
  <c r="L28" i="13"/>
  <c r="W62" i="12"/>
  <c r="AN67" i="12"/>
  <c r="AN71" i="12"/>
  <c r="AJ63" i="12"/>
  <c r="AO76" i="12" s="1"/>
  <c r="L90" i="13"/>
  <c r="G43" i="13"/>
  <c r="L43" i="13" s="1"/>
  <c r="F47" i="13"/>
  <c r="F21" i="13"/>
  <c r="G21" i="13" s="1"/>
  <c r="G19" i="13"/>
  <c r="G65" i="13"/>
  <c r="F68" i="13"/>
  <c r="L73" i="13"/>
  <c r="L66" i="13"/>
  <c r="F64" i="13"/>
  <c r="G64" i="13" s="1"/>
  <c r="G72" i="3" s="1"/>
  <c r="G60" i="13"/>
  <c r="H62" i="13" s="1"/>
  <c r="L92" i="13"/>
  <c r="F55" i="13"/>
  <c r="G55" i="13" s="1"/>
  <c r="F74" i="3" s="1"/>
  <c r="G53" i="13"/>
  <c r="F17" i="13"/>
  <c r="G14" i="13"/>
  <c r="L31" i="13" s="1"/>
  <c r="L44" i="13"/>
  <c r="L83" i="13"/>
  <c r="H54" i="13"/>
  <c r="L27" i="13"/>
  <c r="L91" i="13"/>
  <c r="H79" i="13"/>
  <c r="L79" i="13"/>
  <c r="H77" i="13"/>
  <c r="L71" i="13"/>
  <c r="H71" i="13"/>
  <c r="L75" i="13"/>
  <c r="G87" i="13"/>
  <c r="F89" i="13"/>
  <c r="F51" i="13"/>
  <c r="G48" i="13"/>
  <c r="L63" i="13"/>
  <c r="H78" i="13"/>
  <c r="L78" i="13"/>
  <c r="L41" i="13"/>
  <c r="L58" i="13"/>
  <c r="F30" i="13"/>
  <c r="G30" i="13" s="1"/>
  <c r="E72" i="3" s="1"/>
  <c r="L45" i="13"/>
  <c r="L74" i="13"/>
  <c r="L49" i="13"/>
  <c r="L32" i="13"/>
  <c r="L62" i="13"/>
  <c r="F13" i="13"/>
  <c r="G13" i="13" s="1"/>
  <c r="D72" i="3" s="1"/>
  <c r="G9" i="13"/>
  <c r="H11" i="13" s="1"/>
  <c r="L88" i="13"/>
  <c r="H88" i="13"/>
  <c r="G70" i="13"/>
  <c r="F72" i="13"/>
  <c r="G72" i="13" s="1"/>
  <c r="G74" i="3" s="1"/>
  <c r="G82" i="13"/>
  <c r="F85" i="13"/>
  <c r="F81" i="13"/>
  <c r="G81" i="13" s="1"/>
  <c r="H72" i="3" s="1"/>
  <c r="G80" i="13"/>
  <c r="H80" i="13" s="1"/>
  <c r="L61" i="13"/>
  <c r="G40" i="13"/>
  <c r="E76" i="3" s="1"/>
  <c r="OH26" i="15"/>
  <c r="ON23" i="15"/>
  <c r="ON24" i="15" s="1"/>
  <c r="ON19" i="15"/>
  <c r="AA36" i="13"/>
  <c r="I42" i="13"/>
  <c r="W67" i="12"/>
  <c r="W71" i="12"/>
  <c r="AJ64" i="12"/>
  <c r="AO77" i="12" s="1"/>
  <c r="AF68" i="12"/>
  <c r="AJ72" i="12"/>
  <c r="AO85" i="12" s="1"/>
  <c r="I17" i="12"/>
  <c r="AL52" i="12"/>
  <c r="AL26" i="12"/>
  <c r="H62" i="12"/>
  <c r="W63" i="12"/>
  <c r="W64" i="12"/>
  <c r="V65" i="12"/>
  <c r="K68" i="12"/>
  <c r="V68" i="12"/>
  <c r="AJ62" i="12"/>
  <c r="AO75" i="12" s="1"/>
  <c r="AN64" i="12"/>
  <c r="AJ70" i="12"/>
  <c r="AO83" i="12" s="1"/>
  <c r="AN72" i="12"/>
  <c r="L72" i="12"/>
  <c r="AL65" i="12"/>
  <c r="L63" i="12"/>
  <c r="L66" i="12"/>
  <c r="L70" i="12"/>
  <c r="L64" i="12"/>
  <c r="AJ66" i="12"/>
  <c r="AL68" i="12"/>
  <c r="AN81" i="12" s="1"/>
  <c r="AS47" i="12" s="1"/>
  <c r="G68" i="12"/>
  <c r="L81" i="12" s="1"/>
  <c r="H63" i="12"/>
  <c r="H64" i="12"/>
  <c r="O69" i="12"/>
  <c r="S64" i="12"/>
  <c r="T69" i="12"/>
  <c r="V82" i="12" s="1"/>
  <c r="S61" i="12"/>
  <c r="P69" i="12"/>
  <c r="S62" i="12"/>
  <c r="W61" i="12"/>
  <c r="G65" i="12"/>
  <c r="E69" i="12"/>
  <c r="E73" i="12" s="1"/>
  <c r="D69" i="12"/>
  <c r="D73" i="12" s="1"/>
  <c r="I69" i="12"/>
  <c r="R65" i="12"/>
  <c r="C69" i="12"/>
  <c r="S63" i="12"/>
  <c r="N69" i="12"/>
  <c r="I43" i="12"/>
  <c r="I47" i="12" s="1"/>
  <c r="AH39" i="12"/>
  <c r="AN50" i="12"/>
  <c r="T56" i="12"/>
  <c r="T60" i="12" s="1"/>
  <c r="T30" i="12"/>
  <c r="T34" i="12" s="1"/>
  <c r="V29" i="12"/>
  <c r="V49" i="12"/>
  <c r="V44" i="12"/>
  <c r="V37" i="12"/>
  <c r="V32" i="12"/>
  <c r="V25" i="12"/>
  <c r="AL31" i="12"/>
  <c r="AN31" i="12" s="1"/>
  <c r="AL16" i="12"/>
  <c r="V33" i="12"/>
  <c r="AN27" i="12"/>
  <c r="AL55" i="12"/>
  <c r="AN51" i="12"/>
  <c r="AL42" i="12"/>
  <c r="AN58" i="12"/>
  <c r="AN46" i="12"/>
  <c r="AN54" i="12"/>
  <c r="AL29" i="12"/>
  <c r="AN22" i="12"/>
  <c r="AN23" i="12"/>
  <c r="AN59" i="12"/>
  <c r="AN25" i="12"/>
  <c r="AN57" i="12"/>
  <c r="K57" i="12"/>
  <c r="K49" i="12"/>
  <c r="K44" i="12"/>
  <c r="K37" i="12"/>
  <c r="K32" i="12"/>
  <c r="K25" i="12"/>
  <c r="AL48" i="12"/>
  <c r="AN48" i="12" s="1"/>
  <c r="AL40" i="12"/>
  <c r="AL36" i="12"/>
  <c r="AL32" i="12"/>
  <c r="AL28" i="12"/>
  <c r="AS20" i="12" s="1"/>
  <c r="AT20" i="12" s="1"/>
  <c r="AL24" i="12"/>
  <c r="AL20" i="12"/>
  <c r="AN33" i="12" s="1"/>
  <c r="K33" i="12"/>
  <c r="AN35" i="12"/>
  <c r="V52" i="12"/>
  <c r="V26" i="12"/>
  <c r="V39" i="12"/>
  <c r="K26" i="12"/>
  <c r="K29" i="12"/>
  <c r="K42" i="12"/>
  <c r="V42" i="12"/>
  <c r="K52" i="12"/>
  <c r="K55" i="12"/>
  <c r="V55" i="12"/>
  <c r="G18" i="12"/>
  <c r="R19" i="12"/>
  <c r="G22" i="12"/>
  <c r="G39" i="12"/>
  <c r="R39" i="12"/>
  <c r="S39" i="12" s="1"/>
  <c r="K39" i="12"/>
  <c r="AJ36" i="12"/>
  <c r="AJ40" i="12"/>
  <c r="AJ49" i="12"/>
  <c r="G31" i="12"/>
  <c r="G12" i="12"/>
  <c r="AJ41" i="12"/>
  <c r="AJ35" i="12"/>
  <c r="G55" i="12"/>
  <c r="R55" i="12"/>
  <c r="AJ57" i="12"/>
  <c r="AJ58" i="12"/>
  <c r="AJ38" i="12"/>
  <c r="AJ46" i="12"/>
  <c r="AJ48" i="12"/>
  <c r="AJ53" i="12"/>
  <c r="AJ54" i="12"/>
  <c r="AJ15" i="12"/>
  <c r="G11" i="12"/>
  <c r="R12" i="12"/>
  <c r="R23" i="12"/>
  <c r="W36" i="12" s="1"/>
  <c r="R28" i="12"/>
  <c r="AJ37" i="12"/>
  <c r="AJ44" i="12"/>
  <c r="AJ45" i="12"/>
  <c r="AJ51" i="12"/>
  <c r="AJ59" i="12"/>
  <c r="G20" i="12"/>
  <c r="R24" i="12"/>
  <c r="W37" i="12" s="1"/>
  <c r="G52" i="12"/>
  <c r="G9" i="12"/>
  <c r="R20" i="12"/>
  <c r="G23" i="12"/>
  <c r="G29" i="12"/>
  <c r="G42" i="12"/>
  <c r="R42" i="12"/>
  <c r="G24" i="12"/>
  <c r="L37" i="12" s="1"/>
  <c r="G16" i="12"/>
  <c r="R18" i="12"/>
  <c r="R31" i="12"/>
  <c r="L32" i="12"/>
  <c r="AG19" i="12"/>
  <c r="AJ19" i="12" s="1"/>
  <c r="CI60" i="12"/>
  <c r="R27" i="12"/>
  <c r="W40" i="12" s="1"/>
  <c r="R15" i="12"/>
  <c r="R22" i="12"/>
  <c r="S22" i="12" s="1"/>
  <c r="R32" i="12"/>
  <c r="W45" i="12" s="1"/>
  <c r="P13" i="12"/>
  <c r="BV61" i="12"/>
  <c r="H38" i="12"/>
  <c r="G33" i="12"/>
  <c r="L46" i="12" s="1"/>
  <c r="G25" i="12"/>
  <c r="R33" i="12"/>
  <c r="W46" i="12" s="1"/>
  <c r="R25" i="12"/>
  <c r="W38" i="12" s="1"/>
  <c r="AH18" i="12"/>
  <c r="AG27" i="12"/>
  <c r="L53" i="12"/>
  <c r="W54" i="12"/>
  <c r="CF61" i="12"/>
  <c r="AH12" i="12"/>
  <c r="AG20" i="12"/>
  <c r="P29" i="12"/>
  <c r="AG25" i="12"/>
  <c r="AH27" i="12"/>
  <c r="C43" i="12"/>
  <c r="L28" i="12"/>
  <c r="AF13" i="12"/>
  <c r="N17" i="12"/>
  <c r="AH24" i="12"/>
  <c r="AG33" i="12"/>
  <c r="H36" i="12"/>
  <c r="L51" i="12"/>
  <c r="S49" i="12"/>
  <c r="L54" i="12"/>
  <c r="BI20" i="12"/>
  <c r="L59" i="12"/>
  <c r="CI64" i="12"/>
  <c r="AG50" i="12"/>
  <c r="AJ50" i="12" s="1"/>
  <c r="CI61" i="12"/>
  <c r="AH11" i="12"/>
  <c r="AG12" i="12"/>
  <c r="AH25" i="12"/>
  <c r="AH32" i="12"/>
  <c r="AH33" i="12"/>
  <c r="H35" i="12"/>
  <c r="W51" i="12"/>
  <c r="C56" i="12"/>
  <c r="P56" i="12"/>
  <c r="P60" i="12" s="1"/>
  <c r="BI19" i="12"/>
  <c r="D56" i="12"/>
  <c r="D60" i="12" s="1"/>
  <c r="BI22" i="12"/>
  <c r="BI23" i="12"/>
  <c r="H37" i="12"/>
  <c r="E13" i="12"/>
  <c r="E17" i="12" s="1"/>
  <c r="E21" i="12" s="1"/>
  <c r="C17" i="12"/>
  <c r="AG18" i="12"/>
  <c r="AG24" i="12"/>
  <c r="O26" i="12"/>
  <c r="L41" i="12"/>
  <c r="N30" i="12"/>
  <c r="AG32" i="12"/>
  <c r="L40" i="12"/>
  <c r="AG31" i="12"/>
  <c r="L45" i="12"/>
  <c r="W58" i="12"/>
  <c r="AF42" i="12"/>
  <c r="S51" i="12"/>
  <c r="L57" i="12"/>
  <c r="W57" i="12"/>
  <c r="D13" i="12"/>
  <c r="D17" i="12" s="1"/>
  <c r="D21" i="12" s="1"/>
  <c r="O29" i="12"/>
  <c r="AH31" i="12"/>
  <c r="W49" i="12"/>
  <c r="S36" i="12"/>
  <c r="E56" i="12"/>
  <c r="AG10" i="12"/>
  <c r="AG11" i="12"/>
  <c r="O13" i="12"/>
  <c r="D26" i="12"/>
  <c r="P26" i="12"/>
  <c r="AF26" i="12"/>
  <c r="AH28" i="12"/>
  <c r="AG28" i="12"/>
  <c r="AF29" i="12"/>
  <c r="C30" i="12"/>
  <c r="S37" i="12"/>
  <c r="AF39" i="12"/>
  <c r="AG39" i="12"/>
  <c r="N43" i="12"/>
  <c r="W53" i="12"/>
  <c r="CF63" i="12"/>
  <c r="CF62" i="12"/>
  <c r="AH9" i="12"/>
  <c r="AJ9" i="12" s="1"/>
  <c r="AH10" i="12"/>
  <c r="P16" i="12"/>
  <c r="AH14" i="12"/>
  <c r="AF16" i="12"/>
  <c r="AH20" i="12"/>
  <c r="E26" i="12"/>
  <c r="AH22" i="12"/>
  <c r="AG22" i="12"/>
  <c r="AH23" i="12"/>
  <c r="AG23" i="12"/>
  <c r="O16" i="12"/>
  <c r="W48" i="12"/>
  <c r="S38" i="12"/>
  <c r="S35" i="12"/>
  <c r="AG42" i="12"/>
  <c r="O43" i="12"/>
  <c r="E43" i="12"/>
  <c r="CI63" i="12"/>
  <c r="BV63" i="12"/>
  <c r="BV64" i="12"/>
  <c r="D43" i="12"/>
  <c r="P43" i="12"/>
  <c r="AF52" i="12"/>
  <c r="AG55" i="12"/>
  <c r="AH42" i="12"/>
  <c r="L50" i="12"/>
  <c r="H50" i="12"/>
  <c r="W50" i="12"/>
  <c r="S50" i="12"/>
  <c r="O52" i="12"/>
  <c r="R52" i="12" s="1"/>
  <c r="AH55" i="12"/>
  <c r="N56" i="12"/>
  <c r="BI21" i="12"/>
  <c r="L58" i="12"/>
  <c r="CI62" i="12"/>
  <c r="BV62" i="12"/>
  <c r="L48" i="12"/>
  <c r="H48" i="12"/>
  <c r="L49" i="12"/>
  <c r="H49" i="12"/>
  <c r="AH52" i="12"/>
  <c r="W59" i="12"/>
  <c r="H51" i="12"/>
  <c r="AF55" i="12"/>
  <c r="CF64" i="12"/>
  <c r="H158" i="13" l="1"/>
  <c r="H159" i="13"/>
  <c r="H145" i="13"/>
  <c r="H157" i="13"/>
  <c r="F161" i="13"/>
  <c r="G161" i="13" s="1"/>
  <c r="L71" i="3" s="1"/>
  <c r="H149" i="13"/>
  <c r="H151" i="13"/>
  <c r="H152" i="13"/>
  <c r="H150" i="13"/>
  <c r="L78" i="3"/>
  <c r="H147" i="13"/>
  <c r="H148" i="13"/>
  <c r="H168" i="13"/>
  <c r="H166" i="13"/>
  <c r="L166" i="13"/>
  <c r="L172" i="13"/>
  <c r="H163" i="13"/>
  <c r="H174" i="13"/>
  <c r="H175" i="13"/>
  <c r="H176" i="13"/>
  <c r="L174" i="13"/>
  <c r="H167" i="13"/>
  <c r="L167" i="13"/>
  <c r="H169" i="13"/>
  <c r="F178" i="13"/>
  <c r="G178" i="13" s="1"/>
  <c r="G170" i="13"/>
  <c r="M73" i="3" s="1"/>
  <c r="H162" i="13"/>
  <c r="L162" i="13"/>
  <c r="H165" i="13"/>
  <c r="E190" i="3"/>
  <c r="E161" i="3"/>
  <c r="N128" i="3"/>
  <c r="H132" i="3"/>
  <c r="Q24" i="30" s="1"/>
  <c r="AF13" i="30" s="1"/>
  <c r="AF22" i="30" s="1"/>
  <c r="H162" i="3"/>
  <c r="H191" i="3"/>
  <c r="H35" i="3"/>
  <c r="I35" i="3"/>
  <c r="I127" i="3"/>
  <c r="J162" i="3"/>
  <c r="J191" i="3"/>
  <c r="J190" i="3"/>
  <c r="J161" i="3"/>
  <c r="J35" i="3"/>
  <c r="J160" i="3"/>
  <c r="J189" i="3"/>
  <c r="J132" i="3"/>
  <c r="S24" i="30" s="1"/>
  <c r="AH13" i="30" s="1"/>
  <c r="I162" i="3"/>
  <c r="I191" i="3"/>
  <c r="I161" i="3"/>
  <c r="I190" i="3"/>
  <c r="JK26" i="15"/>
  <c r="L38" i="13"/>
  <c r="D74" i="3"/>
  <c r="H153" i="13"/>
  <c r="H160" i="13"/>
  <c r="L153" i="13"/>
  <c r="H155" i="13"/>
  <c r="H129" i="13"/>
  <c r="L149" i="13"/>
  <c r="Y147" i="3"/>
  <c r="Y165" i="3"/>
  <c r="Y126" i="3"/>
  <c r="L145" i="13"/>
  <c r="AL17" i="12"/>
  <c r="AO63" i="12"/>
  <c r="D189" i="3"/>
  <c r="D160" i="3"/>
  <c r="G159" i="3"/>
  <c r="H96" i="13"/>
  <c r="L77" i="13"/>
  <c r="H66" i="13"/>
  <c r="L138" i="13"/>
  <c r="H138" i="13"/>
  <c r="H124" i="13"/>
  <c r="H123" i="13"/>
  <c r="L123" i="13"/>
  <c r="H125" i="13"/>
  <c r="L104" i="13"/>
  <c r="H135" i="13"/>
  <c r="L132" i="13"/>
  <c r="H132" i="13"/>
  <c r="L121" i="13"/>
  <c r="L97" i="13"/>
  <c r="L99" i="13"/>
  <c r="H99" i="13"/>
  <c r="H100" i="13"/>
  <c r="H101" i="13"/>
  <c r="G119" i="13"/>
  <c r="H126" i="13" s="1"/>
  <c r="H127" i="13" s="1"/>
  <c r="F127" i="13"/>
  <c r="G127" i="13" s="1"/>
  <c r="J71" i="3" s="1"/>
  <c r="J138" i="3" s="1"/>
  <c r="F110" i="13"/>
  <c r="G110" i="13" s="1"/>
  <c r="I71" i="3" s="1"/>
  <c r="I138" i="3" s="1"/>
  <c r="G102" i="13"/>
  <c r="I73" i="3" s="1"/>
  <c r="L116" i="13"/>
  <c r="H116" i="13"/>
  <c r="H118" i="13"/>
  <c r="H117" i="13"/>
  <c r="L94" i="13"/>
  <c r="H97" i="13"/>
  <c r="H94" i="13"/>
  <c r="H115" i="13"/>
  <c r="L115" i="13"/>
  <c r="H136" i="13"/>
  <c r="H137" i="13" s="1"/>
  <c r="L98" i="13"/>
  <c r="H98" i="13"/>
  <c r="H112" i="13"/>
  <c r="H111" i="13"/>
  <c r="L111" i="13"/>
  <c r="H114" i="13"/>
  <c r="L133" i="13"/>
  <c r="H133" i="13"/>
  <c r="H134" i="13"/>
  <c r="H113" i="13"/>
  <c r="G140" i="13"/>
  <c r="F144" i="13"/>
  <c r="G144" i="13" s="1"/>
  <c r="K71" i="3" s="1"/>
  <c r="H106" i="13"/>
  <c r="I74" i="3" s="1"/>
  <c r="H107" i="13"/>
  <c r="H108" i="13"/>
  <c r="H128" i="13"/>
  <c r="L128" i="13"/>
  <c r="H131" i="13"/>
  <c r="AN26" i="12"/>
  <c r="AR43" i="12" s="1"/>
  <c r="AN39" i="12"/>
  <c r="AR44" i="12" s="1"/>
  <c r="AJ65" i="12"/>
  <c r="AO78" i="12" s="1"/>
  <c r="AR37" i="12" s="1"/>
  <c r="AN52" i="12"/>
  <c r="AR45" i="12" s="1"/>
  <c r="AK61" i="12"/>
  <c r="AL47" i="12"/>
  <c r="F39" i="3" s="1"/>
  <c r="W68" i="12"/>
  <c r="AJ14" i="12"/>
  <c r="AO67" i="12"/>
  <c r="AK37" i="12"/>
  <c r="AO80" i="12"/>
  <c r="P146" i="12"/>
  <c r="HS24" i="15"/>
  <c r="FX26" i="15" s="1"/>
  <c r="H42" i="12"/>
  <c r="K69" i="12"/>
  <c r="K82" i="12"/>
  <c r="H66" i="12"/>
  <c r="L78" i="12"/>
  <c r="AO58" i="12"/>
  <c r="AN65" i="12"/>
  <c r="AR46" i="12" s="1"/>
  <c r="AN78" i="12"/>
  <c r="AR47" i="12" s="1"/>
  <c r="AL34" i="12"/>
  <c r="E39" i="3" s="1"/>
  <c r="S68" i="12"/>
  <c r="W78" i="12"/>
  <c r="AO79" i="12"/>
  <c r="AK63" i="12"/>
  <c r="H38" i="13"/>
  <c r="H84" i="13"/>
  <c r="H67" i="13"/>
  <c r="AO51" i="12"/>
  <c r="H61" i="13"/>
  <c r="AL60" i="12"/>
  <c r="G39" i="3" s="1"/>
  <c r="L68" i="12"/>
  <c r="AJ68" i="12"/>
  <c r="AO81" i="12" s="1"/>
  <c r="AS37" i="12" s="1"/>
  <c r="H45" i="13"/>
  <c r="G51" i="13"/>
  <c r="F73" i="3" s="1"/>
  <c r="F59" i="13"/>
  <c r="G59" i="13" s="1"/>
  <c r="F71" i="3" s="1"/>
  <c r="F138" i="3" s="1"/>
  <c r="F141" i="3" s="1"/>
  <c r="AO59" i="12"/>
  <c r="AL43" i="12"/>
  <c r="H44" i="13"/>
  <c r="AN29" i="12"/>
  <c r="AS43" i="12" s="1"/>
  <c r="G68" i="13"/>
  <c r="F76" i="13"/>
  <c r="G76" i="13" s="1"/>
  <c r="G71" i="3" s="1"/>
  <c r="G138" i="3" s="1"/>
  <c r="AL30" i="12"/>
  <c r="G17" i="13"/>
  <c r="H17" i="13" s="1"/>
  <c r="H18" i="13" s="1"/>
  <c r="F25" i="13"/>
  <c r="G25" i="13" s="1"/>
  <c r="D71" i="3" s="1"/>
  <c r="D138" i="3" s="1"/>
  <c r="D141" i="3" s="1"/>
  <c r="AO53" i="12"/>
  <c r="G85" i="13"/>
  <c r="F93" i="13"/>
  <c r="G93" i="13" s="1"/>
  <c r="H71" i="3" s="1"/>
  <c r="H138" i="3" s="1"/>
  <c r="F42" i="13"/>
  <c r="L65" i="12"/>
  <c r="G89" i="13"/>
  <c r="L106" i="13" s="1"/>
  <c r="H56" i="13"/>
  <c r="H57" i="13"/>
  <c r="H55" i="13"/>
  <c r="G47" i="13"/>
  <c r="F72" i="3" s="1"/>
  <c r="L55" i="13"/>
  <c r="L82" i="13"/>
  <c r="H82" i="13"/>
  <c r="L80" i="13"/>
  <c r="L87" i="13"/>
  <c r="H14" i="13"/>
  <c r="L65" i="13"/>
  <c r="H65" i="13"/>
  <c r="H43" i="13"/>
  <c r="H46" i="13"/>
  <c r="H13" i="13"/>
  <c r="L40" i="13"/>
  <c r="L72" i="13"/>
  <c r="H73" i="13"/>
  <c r="H72" i="13"/>
  <c r="H74" i="13"/>
  <c r="L48" i="13"/>
  <c r="L60" i="13"/>
  <c r="H60" i="13"/>
  <c r="H63" i="13"/>
  <c r="L57" i="13"/>
  <c r="H16" i="13"/>
  <c r="H81" i="13"/>
  <c r="L81" i="13"/>
  <c r="L70" i="13"/>
  <c r="H9" i="13"/>
  <c r="H12" i="13"/>
  <c r="H15" i="13"/>
  <c r="H10" i="13"/>
  <c r="H83" i="13"/>
  <c r="L26" i="13"/>
  <c r="H64" i="13"/>
  <c r="H23" i="13"/>
  <c r="H21" i="13"/>
  <c r="H22" i="13"/>
  <c r="L30" i="13"/>
  <c r="H30" i="13"/>
  <c r="K59" i="13"/>
  <c r="K42" i="13"/>
  <c r="H32" i="13"/>
  <c r="H31" i="13"/>
  <c r="G39" i="13"/>
  <c r="E75" i="3" s="1"/>
  <c r="G34" i="13"/>
  <c r="E73" i="3" s="1"/>
  <c r="G36" i="13"/>
  <c r="L36" i="13" s="1"/>
  <c r="G37" i="13"/>
  <c r="OI26" i="15"/>
  <c r="ON26" i="15"/>
  <c r="AK9" i="12"/>
  <c r="AK35" i="12"/>
  <c r="AK38" i="12"/>
  <c r="AK48" i="12"/>
  <c r="AK51" i="12"/>
  <c r="I21" i="12"/>
  <c r="AL21" i="12" s="1"/>
  <c r="D39" i="3" s="1"/>
  <c r="P73" i="12"/>
  <c r="AH73" i="12" s="1"/>
  <c r="AH69" i="12"/>
  <c r="O73" i="12"/>
  <c r="AG73" i="12" s="1"/>
  <c r="AG69" i="12"/>
  <c r="AO71" i="12"/>
  <c r="AO70" i="12"/>
  <c r="AK64" i="12"/>
  <c r="AK36" i="12"/>
  <c r="AN68" i="12"/>
  <c r="AS46" i="12" s="1"/>
  <c r="AO64" i="12"/>
  <c r="AO61" i="12"/>
  <c r="AO49" i="12"/>
  <c r="AK49" i="12"/>
  <c r="AK50" i="12"/>
  <c r="AO54" i="12"/>
  <c r="AF69" i="12"/>
  <c r="V69" i="12"/>
  <c r="T73" i="12"/>
  <c r="V86" i="12" s="1"/>
  <c r="AL69" i="12"/>
  <c r="AN82" i="12" s="1"/>
  <c r="AT47" i="12" s="1"/>
  <c r="AO66" i="12"/>
  <c r="AO62" i="12"/>
  <c r="AK62" i="12"/>
  <c r="AO72" i="12"/>
  <c r="AN61" i="12"/>
  <c r="H67" i="12"/>
  <c r="I73" i="12"/>
  <c r="H68" i="12"/>
  <c r="H65" i="12"/>
  <c r="S67" i="12"/>
  <c r="W65" i="12"/>
  <c r="S65" i="12"/>
  <c r="S66" i="12"/>
  <c r="R69" i="12"/>
  <c r="W82" i="12" s="1"/>
  <c r="N73" i="12"/>
  <c r="G69" i="12"/>
  <c r="L82" i="12" s="1"/>
  <c r="C73" i="12"/>
  <c r="G73" i="12" s="1"/>
  <c r="L86" i="12" s="1"/>
  <c r="AJ18" i="12"/>
  <c r="AO48" i="12"/>
  <c r="AO57" i="12"/>
  <c r="AL56" i="12"/>
  <c r="AJ25" i="12"/>
  <c r="AO38" i="12" s="1"/>
  <c r="AO50" i="12"/>
  <c r="L31" i="12"/>
  <c r="AN42" i="12"/>
  <c r="AS44" i="12" s="1"/>
  <c r="AN55" i="12"/>
  <c r="AS45" i="12" s="1"/>
  <c r="AN44" i="12"/>
  <c r="AN45" i="12"/>
  <c r="AN32" i="12"/>
  <c r="AN49" i="12"/>
  <c r="AN36" i="12"/>
  <c r="AN37" i="12"/>
  <c r="AN24" i="12"/>
  <c r="AN53" i="12"/>
  <c r="AN40" i="12"/>
  <c r="AN41" i="12"/>
  <c r="AN28" i="12"/>
  <c r="V43" i="12"/>
  <c r="CJ62" i="12"/>
  <c r="W32" i="12"/>
  <c r="L22" i="12"/>
  <c r="K30" i="12"/>
  <c r="V56" i="12"/>
  <c r="V30" i="12"/>
  <c r="K43" i="12"/>
  <c r="K56" i="12"/>
  <c r="AJ10" i="12"/>
  <c r="AK10" i="12" s="1"/>
  <c r="AJ23" i="12"/>
  <c r="AJ28" i="12"/>
  <c r="AJ27" i="12"/>
  <c r="G26" i="12"/>
  <c r="L39" i="12" s="1"/>
  <c r="AJ20" i="12"/>
  <c r="AJ22" i="12"/>
  <c r="AJ39" i="12"/>
  <c r="R26" i="12"/>
  <c r="S27" i="12" s="1"/>
  <c r="AJ32" i="12"/>
  <c r="AO32" i="12" s="1"/>
  <c r="AJ55" i="12"/>
  <c r="R13" i="12"/>
  <c r="AJ42" i="12"/>
  <c r="W24" i="12"/>
  <c r="W31" i="12"/>
  <c r="L42" i="12"/>
  <c r="AJ12" i="12"/>
  <c r="AJ31" i="12"/>
  <c r="AJ11" i="12"/>
  <c r="AJ33" i="12"/>
  <c r="AJ24" i="12"/>
  <c r="CJ61" i="12"/>
  <c r="R16" i="12"/>
  <c r="G17" i="12"/>
  <c r="H19" i="12" s="1"/>
  <c r="C21" i="12"/>
  <c r="G21" i="12" s="1"/>
  <c r="C60" i="12"/>
  <c r="G56" i="12"/>
  <c r="C47" i="12"/>
  <c r="G43" i="12"/>
  <c r="N34" i="12"/>
  <c r="W33" i="12"/>
  <c r="R29" i="12"/>
  <c r="W42" i="12" s="1"/>
  <c r="G13" i="12"/>
  <c r="H13" i="12" s="1"/>
  <c r="R43" i="12"/>
  <c r="S23" i="12"/>
  <c r="AG26" i="12"/>
  <c r="L24" i="12"/>
  <c r="L25" i="12"/>
  <c r="AF17" i="12"/>
  <c r="AF30" i="12"/>
  <c r="C34" i="12"/>
  <c r="L38" i="12"/>
  <c r="P30" i="12"/>
  <c r="P34" i="12" s="1"/>
  <c r="S40" i="12"/>
  <c r="N21" i="12"/>
  <c r="H41" i="12"/>
  <c r="L33" i="12"/>
  <c r="W22" i="12"/>
  <c r="AH29" i="12"/>
  <c r="S24" i="12"/>
  <c r="CJ63" i="12"/>
  <c r="S41" i="12"/>
  <c r="W35" i="12"/>
  <c r="W25" i="12"/>
  <c r="AH13" i="12"/>
  <c r="S25" i="12"/>
  <c r="S12" i="12"/>
  <c r="L23" i="12"/>
  <c r="H23" i="12"/>
  <c r="L36" i="12"/>
  <c r="W55" i="12"/>
  <c r="P47" i="12"/>
  <c r="AH43" i="12"/>
  <c r="P17" i="12"/>
  <c r="AH16" i="12"/>
  <c r="H22" i="12"/>
  <c r="H25" i="12"/>
  <c r="L35" i="12"/>
  <c r="E60" i="12"/>
  <c r="AH60" i="12" s="1"/>
  <c r="AH56" i="12"/>
  <c r="W28" i="12"/>
  <c r="AF56" i="12"/>
  <c r="N60" i="12"/>
  <c r="AG52" i="12"/>
  <c r="O56" i="12"/>
  <c r="R56" i="12" s="1"/>
  <c r="H52" i="12"/>
  <c r="H53" i="12"/>
  <c r="L52" i="12"/>
  <c r="H54" i="12"/>
  <c r="D47" i="12"/>
  <c r="CJ64" i="12"/>
  <c r="E47" i="12"/>
  <c r="AG16" i="12"/>
  <c r="O17" i="12"/>
  <c r="H9" i="12"/>
  <c r="H12" i="12"/>
  <c r="L55" i="12"/>
  <c r="H55" i="12"/>
  <c r="AF43" i="12"/>
  <c r="N47" i="12"/>
  <c r="L29" i="12"/>
  <c r="O30" i="12"/>
  <c r="AG29" i="12"/>
  <c r="D30" i="12"/>
  <c r="H11" i="12"/>
  <c r="W41" i="12"/>
  <c r="AG43" i="12"/>
  <c r="O47" i="12"/>
  <c r="H39" i="12"/>
  <c r="H40" i="12"/>
  <c r="AH26" i="12"/>
  <c r="W23" i="12"/>
  <c r="AG13" i="12"/>
  <c r="L44" i="12"/>
  <c r="H24" i="12"/>
  <c r="W44" i="12"/>
  <c r="S42" i="12"/>
  <c r="E30" i="12"/>
  <c r="W27" i="12"/>
  <c r="S11" i="12"/>
  <c r="H10" i="12"/>
  <c r="I160" i="3" l="1"/>
  <c r="R19" i="30"/>
  <c r="I141" i="3"/>
  <c r="R32" i="30" s="1"/>
  <c r="AG15" i="30" s="1"/>
  <c r="AG24" i="30" s="1"/>
  <c r="R30" i="30"/>
  <c r="AH22" i="30"/>
  <c r="G141" i="3"/>
  <c r="P32" i="30" s="1"/>
  <c r="AE15" i="30" s="1"/>
  <c r="AE24" i="30" s="1"/>
  <c r="P30" i="30"/>
  <c r="H141" i="3"/>
  <c r="Q32" i="30" s="1"/>
  <c r="AF15" i="30" s="1"/>
  <c r="AF24" i="30" s="1"/>
  <c r="Q30" i="30"/>
  <c r="J141" i="3"/>
  <c r="S32" i="30" s="1"/>
  <c r="AH15" i="30" s="1"/>
  <c r="S30" i="30"/>
  <c r="L138" i="3"/>
  <c r="U30" i="30" s="1"/>
  <c r="H170" i="13"/>
  <c r="H171" i="13" s="1"/>
  <c r="H177" i="13"/>
  <c r="H178" i="13" s="1"/>
  <c r="L170" i="13"/>
  <c r="H172" i="13"/>
  <c r="L178" i="13"/>
  <c r="M71" i="3"/>
  <c r="C31" i="30" s="1"/>
  <c r="C30" i="30" s="1"/>
  <c r="D30" i="30" s="1"/>
  <c r="H161" i="13"/>
  <c r="H154" i="13"/>
  <c r="AN30" i="12"/>
  <c r="AT43" i="12" s="1"/>
  <c r="H19" i="13"/>
  <c r="F78" i="3"/>
  <c r="AK67" i="12"/>
  <c r="E78" i="3"/>
  <c r="L47" i="13"/>
  <c r="H159" i="3"/>
  <c r="I132" i="3"/>
  <c r="I189" i="3"/>
  <c r="HS26" i="15"/>
  <c r="J148" i="3"/>
  <c r="S37" i="30" s="1"/>
  <c r="J159" i="3"/>
  <c r="I78" i="3"/>
  <c r="H171" i="3"/>
  <c r="H196" i="3"/>
  <c r="K138" i="3"/>
  <c r="T30" i="30" s="1"/>
  <c r="I171" i="3"/>
  <c r="I196" i="3"/>
  <c r="L161" i="13"/>
  <c r="H87" i="13"/>
  <c r="H73" i="3"/>
  <c r="D196" i="3"/>
  <c r="D171" i="3"/>
  <c r="D170" i="3"/>
  <c r="K74" i="3"/>
  <c r="K78" i="3" s="1"/>
  <c r="L157" i="13"/>
  <c r="J171" i="3"/>
  <c r="J196" i="3"/>
  <c r="H24" i="13"/>
  <c r="H25" i="13" s="1"/>
  <c r="D73" i="3"/>
  <c r="D78" i="3" s="1"/>
  <c r="F196" i="3"/>
  <c r="F170" i="3"/>
  <c r="F171" i="3"/>
  <c r="H121" i="13"/>
  <c r="J73" i="3"/>
  <c r="J78" i="3" s="1"/>
  <c r="AK66" i="12"/>
  <c r="AK65" i="12"/>
  <c r="L64" i="13"/>
  <c r="G171" i="3"/>
  <c r="G196" i="3"/>
  <c r="H48" i="13"/>
  <c r="H75" i="13"/>
  <c r="H76" i="13" s="1"/>
  <c r="G73" i="3"/>
  <c r="G78" i="3" s="1"/>
  <c r="H16" i="12"/>
  <c r="L68" i="13"/>
  <c r="H51" i="13"/>
  <c r="H52" i="13" s="1"/>
  <c r="H68" i="13"/>
  <c r="H69" i="13" s="1"/>
  <c r="H141" i="13"/>
  <c r="H142" i="13"/>
  <c r="H140" i="13"/>
  <c r="L140" i="13"/>
  <c r="H143" i="13"/>
  <c r="H144" i="13" s="1"/>
  <c r="H109" i="13"/>
  <c r="H110" i="13" s="1"/>
  <c r="L102" i="13"/>
  <c r="H102" i="13"/>
  <c r="H103" i="13" s="1"/>
  <c r="L110" i="13"/>
  <c r="L127" i="13"/>
  <c r="L119" i="13"/>
  <c r="H119" i="13"/>
  <c r="H120" i="13" s="1"/>
  <c r="L136" i="13"/>
  <c r="L144" i="13"/>
  <c r="H104" i="13"/>
  <c r="AF21" i="12"/>
  <c r="AN60" i="12"/>
  <c r="AU45" i="12" s="1"/>
  <c r="AO27" i="12"/>
  <c r="AN47" i="12"/>
  <c r="AU44" i="12" s="1"/>
  <c r="P150" i="12"/>
  <c r="H14" i="12"/>
  <c r="AN56" i="12"/>
  <c r="AT45" i="12" s="1"/>
  <c r="AK68" i="12"/>
  <c r="K73" i="12"/>
  <c r="K86" i="12"/>
  <c r="AK11" i="12"/>
  <c r="S26" i="12"/>
  <c r="H18" i="12"/>
  <c r="H53" i="13"/>
  <c r="H70" i="13"/>
  <c r="H58" i="13"/>
  <c r="H59" i="13" s="1"/>
  <c r="AK42" i="12"/>
  <c r="K34" i="12"/>
  <c r="AN43" i="12"/>
  <c r="AT44" i="12" s="1"/>
  <c r="AN34" i="12"/>
  <c r="AU43" i="12" s="1"/>
  <c r="AO45" i="12"/>
  <c r="H85" i="13"/>
  <c r="H86" i="13" s="1"/>
  <c r="L53" i="13"/>
  <c r="L85" i="13"/>
  <c r="L89" i="13"/>
  <c r="H91" i="13"/>
  <c r="H90" i="13"/>
  <c r="H92" i="13"/>
  <c r="H93" i="13" s="1"/>
  <c r="H89" i="13"/>
  <c r="H74" i="3" s="1"/>
  <c r="H37" i="13"/>
  <c r="L37" i="13"/>
  <c r="L54" i="13"/>
  <c r="L93" i="13"/>
  <c r="L39" i="13"/>
  <c r="L56" i="13"/>
  <c r="L76" i="13"/>
  <c r="H47" i="13"/>
  <c r="H49" i="13"/>
  <c r="H50" i="13"/>
  <c r="L34" i="13"/>
  <c r="L51" i="13"/>
  <c r="H41" i="13"/>
  <c r="H42" i="13" s="1"/>
  <c r="H36" i="13"/>
  <c r="H34" i="13"/>
  <c r="H35" i="13" s="1"/>
  <c r="H39" i="13"/>
  <c r="H40" i="13"/>
  <c r="AO22" i="12"/>
  <c r="AK22" i="12"/>
  <c r="AK25" i="12"/>
  <c r="AO28" i="12"/>
  <c r="V73" i="12"/>
  <c r="AL73" i="12"/>
  <c r="H39" i="3" s="1"/>
  <c r="AK12" i="12"/>
  <c r="AO31" i="12"/>
  <c r="AK23" i="12"/>
  <c r="AK24" i="12"/>
  <c r="AJ69" i="12"/>
  <c r="AO82" i="12" s="1"/>
  <c r="AT37" i="12" s="1"/>
  <c r="AO55" i="12"/>
  <c r="AS35" i="12" s="1"/>
  <c r="AO33" i="12"/>
  <c r="AK39" i="12"/>
  <c r="AK40" i="12"/>
  <c r="AO46" i="12"/>
  <c r="R73" i="12"/>
  <c r="W86" i="12" s="1"/>
  <c r="AF73" i="12"/>
  <c r="AN69" i="12"/>
  <c r="AT46" i="12" s="1"/>
  <c r="AK41" i="12"/>
  <c r="AO68" i="12"/>
  <c r="AS36" i="12" s="1"/>
  <c r="W69" i="12"/>
  <c r="S69" i="12"/>
  <c r="S72" i="12"/>
  <c r="S73" i="12" s="1"/>
  <c r="S71" i="12"/>
  <c r="S70" i="12"/>
  <c r="L69" i="12"/>
  <c r="H69" i="12"/>
  <c r="H72" i="12"/>
  <c r="H73" i="12" s="1"/>
  <c r="H71" i="12"/>
  <c r="H70" i="12"/>
  <c r="AO35" i="12"/>
  <c r="AJ29" i="12"/>
  <c r="AO42" i="12" s="1"/>
  <c r="AO23" i="12"/>
  <c r="AO44" i="12"/>
  <c r="AO36" i="12"/>
  <c r="AO24" i="12"/>
  <c r="AO40" i="12"/>
  <c r="H15" i="12"/>
  <c r="AJ16" i="12"/>
  <c r="AO25" i="12"/>
  <c r="AO41" i="12"/>
  <c r="AO37" i="12"/>
  <c r="K47" i="12"/>
  <c r="W39" i="12"/>
  <c r="R17" i="12"/>
  <c r="S28" i="12"/>
  <c r="AJ13" i="12"/>
  <c r="W26" i="12"/>
  <c r="V60" i="12"/>
  <c r="V34" i="12"/>
  <c r="V47" i="12"/>
  <c r="K60" i="12"/>
  <c r="AJ52" i="12"/>
  <c r="AK55" i="12" s="1"/>
  <c r="AJ43" i="12"/>
  <c r="AJ26" i="12"/>
  <c r="AK28" i="12" s="1"/>
  <c r="G30" i="12"/>
  <c r="L43" i="12" s="1"/>
  <c r="G47" i="12"/>
  <c r="R30" i="12"/>
  <c r="G60" i="12"/>
  <c r="L73" i="12" s="1"/>
  <c r="R47" i="12"/>
  <c r="H20" i="12"/>
  <c r="H21" i="12" s="1"/>
  <c r="H17" i="12"/>
  <c r="E34" i="12"/>
  <c r="O34" i="12"/>
  <c r="AG30" i="12"/>
  <c r="AF34" i="12"/>
  <c r="W52" i="12"/>
  <c r="S53" i="12"/>
  <c r="S52" i="12"/>
  <c r="S54" i="12"/>
  <c r="P21" i="12"/>
  <c r="AH21" i="12" s="1"/>
  <c r="AH17" i="12"/>
  <c r="S55" i="12"/>
  <c r="S14" i="12"/>
  <c r="S13" i="12"/>
  <c r="O21" i="12"/>
  <c r="AG17" i="12"/>
  <c r="H56" i="12"/>
  <c r="H58" i="12"/>
  <c r="H57" i="12"/>
  <c r="L56" i="12"/>
  <c r="H59" i="12"/>
  <c r="H60" i="12" s="1"/>
  <c r="AF60" i="12"/>
  <c r="S16" i="12"/>
  <c r="L26" i="12"/>
  <c r="H27" i="12"/>
  <c r="H26" i="12"/>
  <c r="H28" i="12"/>
  <c r="H29" i="12"/>
  <c r="S44" i="12"/>
  <c r="S43" i="12"/>
  <c r="S45" i="12"/>
  <c r="S46" i="12"/>
  <c r="S47" i="12" s="1"/>
  <c r="O60" i="12"/>
  <c r="R60" i="12" s="1"/>
  <c r="AG56" i="12"/>
  <c r="H46" i="12"/>
  <c r="H47" i="12" s="1"/>
  <c r="H45" i="12"/>
  <c r="H44" i="12"/>
  <c r="H43" i="12"/>
  <c r="AG47" i="12"/>
  <c r="D34" i="12"/>
  <c r="W29" i="12"/>
  <c r="S29" i="12"/>
  <c r="AF47" i="12"/>
  <c r="AH47" i="12"/>
  <c r="AH30" i="12"/>
  <c r="S15" i="12"/>
  <c r="L196" i="3" l="1"/>
  <c r="AH24" i="30"/>
  <c r="AH17" i="30"/>
  <c r="AH26" i="30" s="1"/>
  <c r="I159" i="3"/>
  <c r="R24" i="30"/>
  <c r="AG13" i="30" s="1"/>
  <c r="L171" i="3"/>
  <c r="L141" i="3"/>
  <c r="U32" i="30" s="1"/>
  <c r="AJ15" i="30" s="1"/>
  <c r="AJ24" i="30" s="1"/>
  <c r="M138" i="3"/>
  <c r="V30" i="30" s="1"/>
  <c r="W30" i="30" s="1"/>
  <c r="X30" i="30" s="1"/>
  <c r="C31" i="2"/>
  <c r="C30" i="2" s="1"/>
  <c r="D30" i="2" s="1"/>
  <c r="C31" i="19"/>
  <c r="C30" i="19" s="1"/>
  <c r="D30" i="19" s="1"/>
  <c r="M78" i="3"/>
  <c r="K141" i="3"/>
  <c r="T32" i="30" s="1"/>
  <c r="AI15" i="30" s="1"/>
  <c r="L170" i="3"/>
  <c r="I151" i="3"/>
  <c r="H78" i="3"/>
  <c r="J179" i="3"/>
  <c r="X147" i="3" s="1"/>
  <c r="J202" i="3"/>
  <c r="J210" i="3" s="1"/>
  <c r="X146" i="3"/>
  <c r="J170" i="3"/>
  <c r="J151" i="3"/>
  <c r="J149" i="3"/>
  <c r="S38" i="30" s="1"/>
  <c r="K196" i="3"/>
  <c r="K171" i="3"/>
  <c r="G170" i="3"/>
  <c r="I170" i="3"/>
  <c r="H170" i="3"/>
  <c r="AN86" i="12"/>
  <c r="AU47" i="12" s="1"/>
  <c r="AJ73" i="12"/>
  <c r="AS59" i="12" s="1"/>
  <c r="AN73" i="12"/>
  <c r="AU46" i="12" s="1"/>
  <c r="H29" i="13"/>
  <c r="G42" i="13"/>
  <c r="E71" i="3" s="1"/>
  <c r="E138" i="3" s="1"/>
  <c r="E141" i="3" s="1"/>
  <c r="AO52" i="12"/>
  <c r="AR35" i="12" s="1"/>
  <c r="AK52" i="12"/>
  <c r="AK53" i="12"/>
  <c r="AK54" i="12"/>
  <c r="AO65" i="12"/>
  <c r="AR36" i="12" s="1"/>
  <c r="AK71" i="12"/>
  <c r="AK70" i="12"/>
  <c r="AK69" i="12"/>
  <c r="AK72" i="12"/>
  <c r="AK73" i="12" s="1"/>
  <c r="AK43" i="12"/>
  <c r="AK46" i="12"/>
  <c r="AK47" i="12" s="1"/>
  <c r="AK45" i="12"/>
  <c r="AK44" i="12"/>
  <c r="AO26" i="12"/>
  <c r="AR33" i="12" s="1"/>
  <c r="AK27" i="12"/>
  <c r="AK26" i="12"/>
  <c r="AK14" i="12"/>
  <c r="AK13" i="12"/>
  <c r="AK15" i="12"/>
  <c r="AK16" i="12"/>
  <c r="AK29" i="12"/>
  <c r="W73" i="12"/>
  <c r="AO39" i="12"/>
  <c r="AR34" i="12" s="1"/>
  <c r="AO29" i="12"/>
  <c r="AS33" i="12" s="1"/>
  <c r="L60" i="12"/>
  <c r="AJ47" i="12"/>
  <c r="AJ17" i="12"/>
  <c r="AJ30" i="12"/>
  <c r="R21" i="12"/>
  <c r="AJ56" i="12"/>
  <c r="R34" i="12"/>
  <c r="G34" i="12"/>
  <c r="L34" i="12" s="1"/>
  <c r="AH34" i="12"/>
  <c r="AS34" i="12"/>
  <c r="AG60" i="12"/>
  <c r="S20" i="12"/>
  <c r="S21" i="12" s="1"/>
  <c r="S19" i="12"/>
  <c r="S18" i="12"/>
  <c r="S17" i="12"/>
  <c r="S57" i="12"/>
  <c r="W56" i="12"/>
  <c r="S56" i="12"/>
  <c r="S59" i="12"/>
  <c r="S60" i="12" s="1"/>
  <c r="S58" i="12"/>
  <c r="S31" i="12"/>
  <c r="W30" i="12"/>
  <c r="S30" i="12"/>
  <c r="S33" i="12"/>
  <c r="S34" i="12" s="1"/>
  <c r="S32" i="12"/>
  <c r="W43" i="12"/>
  <c r="W60" i="12"/>
  <c r="AG21" i="12"/>
  <c r="AJ21" i="12" s="1"/>
  <c r="D130" i="3" s="1"/>
  <c r="H31" i="12"/>
  <c r="H30" i="12"/>
  <c r="H33" i="12"/>
  <c r="H34" i="12" s="1"/>
  <c r="H32" i="12"/>
  <c r="L30" i="12"/>
  <c r="AG34" i="12"/>
  <c r="I182" i="3" l="1"/>
  <c r="R40" i="30"/>
  <c r="AG22" i="30"/>
  <c r="AG17" i="30"/>
  <c r="AG26" i="30" s="1"/>
  <c r="J182" i="3"/>
  <c r="S40" i="30"/>
  <c r="AI24" i="30"/>
  <c r="AI17" i="30"/>
  <c r="AI26" i="30" s="1"/>
  <c r="M171" i="3"/>
  <c r="O171" i="3" s="1"/>
  <c r="M141" i="3"/>
  <c r="V32" i="30" s="1"/>
  <c r="AE171" i="3"/>
  <c r="M196" i="3"/>
  <c r="O138" i="3"/>
  <c r="O196" i="3" s="1"/>
  <c r="AE138" i="3"/>
  <c r="AE196" i="3" s="1"/>
  <c r="K151" i="3"/>
  <c r="T40" i="30" s="1"/>
  <c r="J203" i="3"/>
  <c r="J211" i="3" s="1"/>
  <c r="X151" i="3"/>
  <c r="J180" i="3"/>
  <c r="J150" i="3"/>
  <c r="S39" i="30" s="1"/>
  <c r="X130" i="3"/>
  <c r="K170" i="3"/>
  <c r="K149" i="3"/>
  <c r="T38" i="30" s="1"/>
  <c r="E196" i="3"/>
  <c r="E171" i="3"/>
  <c r="E170" i="3"/>
  <c r="D163" i="3"/>
  <c r="D193" i="3"/>
  <c r="D132" i="3"/>
  <c r="D159" i="3" s="1"/>
  <c r="AT59" i="12"/>
  <c r="AJ34" i="12"/>
  <c r="AR56" i="12" s="1"/>
  <c r="AR57" i="12"/>
  <c r="AO86" i="12"/>
  <c r="AU37" i="12" s="1"/>
  <c r="AR59" i="12"/>
  <c r="AR55" i="12"/>
  <c r="L59" i="13"/>
  <c r="L42" i="13"/>
  <c r="H26" i="13"/>
  <c r="H27" i="13"/>
  <c r="H28" i="13"/>
  <c r="H33" i="13"/>
  <c r="AK56" i="12"/>
  <c r="AK59" i="12"/>
  <c r="AK60" i="12" s="1"/>
  <c r="AK58" i="12"/>
  <c r="AK57" i="12"/>
  <c r="AO69" i="12"/>
  <c r="AT36" i="12" s="1"/>
  <c r="AK18" i="12"/>
  <c r="AK17" i="12"/>
  <c r="AK20" i="12"/>
  <c r="AK21" i="12" s="1"/>
  <c r="AK19" i="12"/>
  <c r="AO30" i="12"/>
  <c r="AT33" i="12" s="1"/>
  <c r="AK31" i="12"/>
  <c r="AK30" i="12"/>
  <c r="AK33" i="12"/>
  <c r="AK34" i="12" s="1"/>
  <c r="AK32" i="12"/>
  <c r="AO43" i="12"/>
  <c r="AT34" i="12" s="1"/>
  <c r="AO56" i="12"/>
  <c r="AT35" i="12" s="1"/>
  <c r="AJ60" i="12"/>
  <c r="W34" i="12"/>
  <c r="AT55" i="12"/>
  <c r="AS55" i="12"/>
  <c r="AT57" i="12"/>
  <c r="AS57" i="12"/>
  <c r="W47" i="12"/>
  <c r="L47" i="12"/>
  <c r="M170" i="3" l="1"/>
  <c r="AK15" i="30"/>
  <c r="AK24" i="30" s="1"/>
  <c r="W32" i="30"/>
  <c r="X32" i="30" s="1"/>
  <c r="AE141" i="3"/>
  <c r="O141" i="3"/>
  <c r="AE170" i="3"/>
  <c r="O170" i="3"/>
  <c r="J181" i="3"/>
  <c r="J204" i="3"/>
  <c r="J212" i="3" s="1"/>
  <c r="X152" i="3"/>
  <c r="X131" i="3"/>
  <c r="K203" i="3"/>
  <c r="K211" i="3" s="1"/>
  <c r="K180" i="3"/>
  <c r="K150" i="3"/>
  <c r="T39" i="30" s="1"/>
  <c r="Y130" i="3"/>
  <c r="Y151" i="3"/>
  <c r="N154" i="3"/>
  <c r="K182" i="3"/>
  <c r="AO34" i="12"/>
  <c r="AU33" i="12" s="1"/>
  <c r="AO47" i="12"/>
  <c r="AU34" i="12" s="1"/>
  <c r="AR58" i="12"/>
  <c r="AT58" i="12"/>
  <c r="AO73" i="12"/>
  <c r="AU36" i="12" s="1"/>
  <c r="AS58" i="12"/>
  <c r="AO60" i="12"/>
  <c r="AU35" i="12" s="1"/>
  <c r="AT56" i="12"/>
  <c r="AS56" i="12"/>
  <c r="K204" i="3" l="1"/>
  <c r="K212" i="3" s="1"/>
  <c r="K181" i="3"/>
  <c r="Y152" i="3"/>
  <c r="Y131" i="3"/>
  <c r="AE193" i="3"/>
  <c r="AE15" i="11"/>
  <c r="AE25" i="11" s="1"/>
  <c r="AD15" i="11"/>
  <c r="AD25" i="11" s="1"/>
  <c r="AC15" i="11"/>
  <c r="AC25" i="11" s="1"/>
  <c r="AB15" i="11"/>
  <c r="AB25" i="11" s="1"/>
  <c r="AE4" i="11"/>
  <c r="AE14" i="11" s="1"/>
  <c r="AD4" i="11"/>
  <c r="AD14" i="11" s="1"/>
  <c r="AC4" i="11"/>
  <c r="AC14" i="11" s="1"/>
  <c r="AB4" i="11"/>
  <c r="AB14" i="11" s="1"/>
  <c r="L24" i="11"/>
  <c r="AP22" i="11" s="1"/>
  <c r="L80" i="11"/>
  <c r="AP74" i="11" s="1"/>
  <c r="L76" i="11"/>
  <c r="AP70" i="11" s="1"/>
  <c r="F88" i="11"/>
  <c r="E88" i="11"/>
  <c r="D88" i="11"/>
  <c r="C88" i="11"/>
  <c r="O87" i="11"/>
  <c r="N87" i="11"/>
  <c r="M87" i="11"/>
  <c r="AQ81" i="11" s="1"/>
  <c r="L87" i="11"/>
  <c r="AP81" i="11" s="1"/>
  <c r="J87" i="11"/>
  <c r="S100" i="11" s="1"/>
  <c r="I87" i="11"/>
  <c r="R100" i="11" s="1"/>
  <c r="H87" i="11"/>
  <c r="Q100" i="11" s="1"/>
  <c r="G87" i="11"/>
  <c r="P100" i="11" s="1"/>
  <c r="O86" i="11"/>
  <c r="N86" i="11"/>
  <c r="M86" i="11"/>
  <c r="AQ80" i="11" s="1"/>
  <c r="L86" i="11"/>
  <c r="AP80" i="11" s="1"/>
  <c r="J86" i="11"/>
  <c r="S99" i="11" s="1"/>
  <c r="I86" i="11"/>
  <c r="R99" i="11" s="1"/>
  <c r="H86" i="11"/>
  <c r="Q99" i="11" s="1"/>
  <c r="G86" i="11"/>
  <c r="P99" i="11" s="1"/>
  <c r="O85" i="11"/>
  <c r="N85" i="11"/>
  <c r="M85" i="11"/>
  <c r="AQ79" i="11" s="1"/>
  <c r="L85" i="11"/>
  <c r="AP79" i="11" s="1"/>
  <c r="J85" i="11"/>
  <c r="S98" i="11" s="1"/>
  <c r="I85" i="11"/>
  <c r="R98" i="11" s="1"/>
  <c r="H85" i="11"/>
  <c r="Q98" i="11" s="1"/>
  <c r="G85" i="11"/>
  <c r="P98" i="11" s="1"/>
  <c r="O84" i="11"/>
  <c r="N84" i="11"/>
  <c r="M84" i="11"/>
  <c r="AQ78" i="11" s="1"/>
  <c r="L84" i="11"/>
  <c r="AP78" i="11" s="1"/>
  <c r="J84" i="11"/>
  <c r="S97" i="11" s="1"/>
  <c r="I84" i="11"/>
  <c r="R97" i="11" s="1"/>
  <c r="H84" i="11"/>
  <c r="Q97" i="11" s="1"/>
  <c r="G84" i="11"/>
  <c r="P97" i="11" s="1"/>
  <c r="O83" i="11"/>
  <c r="N83" i="11"/>
  <c r="M83" i="11"/>
  <c r="AQ77" i="11" s="1"/>
  <c r="L83" i="11"/>
  <c r="AP77" i="11" s="1"/>
  <c r="J83" i="11"/>
  <c r="S96" i="11" s="1"/>
  <c r="I83" i="11"/>
  <c r="R96" i="11" s="1"/>
  <c r="H83" i="11"/>
  <c r="Q96" i="11" s="1"/>
  <c r="G83" i="11"/>
  <c r="P96" i="11" s="1"/>
  <c r="O82" i="11"/>
  <c r="N82" i="11"/>
  <c r="M82" i="11"/>
  <c r="AQ76" i="11" s="1"/>
  <c r="L82" i="11"/>
  <c r="AP76" i="11" s="1"/>
  <c r="J82" i="11"/>
  <c r="S95" i="11" s="1"/>
  <c r="I82" i="11"/>
  <c r="R95" i="11" s="1"/>
  <c r="H82" i="11"/>
  <c r="Q95" i="11" s="1"/>
  <c r="G82" i="11"/>
  <c r="P95" i="11" s="1"/>
  <c r="O81" i="11"/>
  <c r="N81" i="11"/>
  <c r="M81" i="11"/>
  <c r="AQ75" i="11" s="1"/>
  <c r="L81" i="11"/>
  <c r="AP75" i="11" s="1"/>
  <c r="J81" i="11"/>
  <c r="S94" i="11" s="1"/>
  <c r="I81" i="11"/>
  <c r="R94" i="11" s="1"/>
  <c r="H81" i="11"/>
  <c r="Q94" i="11" s="1"/>
  <c r="G81" i="11"/>
  <c r="P94" i="11" s="1"/>
  <c r="O80" i="11"/>
  <c r="N80" i="11"/>
  <c r="M80" i="11"/>
  <c r="AQ74" i="11" s="1"/>
  <c r="J80" i="11"/>
  <c r="S93" i="11" s="1"/>
  <c r="I80" i="11"/>
  <c r="R93" i="11" s="1"/>
  <c r="H80" i="11"/>
  <c r="G80" i="11"/>
  <c r="O79" i="11"/>
  <c r="N79" i="11"/>
  <c r="M79" i="11"/>
  <c r="AQ73" i="11" s="1"/>
  <c r="L79" i="11"/>
  <c r="AP73" i="11" s="1"/>
  <c r="J79" i="11"/>
  <c r="S92" i="11" s="1"/>
  <c r="I79" i="11"/>
  <c r="R92" i="11" s="1"/>
  <c r="H79" i="11"/>
  <c r="Q92" i="11" s="1"/>
  <c r="G79" i="11"/>
  <c r="P92" i="11" s="1"/>
  <c r="O78" i="11"/>
  <c r="N78" i="11"/>
  <c r="M78" i="11"/>
  <c r="AQ72" i="11" s="1"/>
  <c r="L78" i="11"/>
  <c r="AP72" i="11" s="1"/>
  <c r="J78" i="11"/>
  <c r="S91" i="11" s="1"/>
  <c r="I78" i="11"/>
  <c r="R91" i="11" s="1"/>
  <c r="H78" i="11"/>
  <c r="Q91" i="11" s="1"/>
  <c r="G78" i="11"/>
  <c r="P91" i="11" s="1"/>
  <c r="O77" i="11"/>
  <c r="N77" i="11"/>
  <c r="M77" i="11"/>
  <c r="AQ71" i="11" s="1"/>
  <c r="L77" i="11"/>
  <c r="AP71" i="11" s="1"/>
  <c r="J77" i="11"/>
  <c r="S90" i="11" s="1"/>
  <c r="I77" i="11"/>
  <c r="R90" i="11" s="1"/>
  <c r="H77" i="11"/>
  <c r="Q90" i="11" s="1"/>
  <c r="G77" i="11"/>
  <c r="P90" i="11" s="1"/>
  <c r="O76" i="11"/>
  <c r="N76" i="11"/>
  <c r="M76" i="11"/>
  <c r="AQ70" i="11" s="1"/>
  <c r="J76" i="11"/>
  <c r="S89" i="11" s="1"/>
  <c r="I76" i="11"/>
  <c r="R89" i="11" s="1"/>
  <c r="H76" i="11"/>
  <c r="Q89" i="11" s="1"/>
  <c r="G76" i="11"/>
  <c r="P89" i="11" s="1"/>
  <c r="E75" i="11"/>
  <c r="D75" i="11"/>
  <c r="V83" i="11" s="1"/>
  <c r="C75" i="11"/>
  <c r="O74" i="11"/>
  <c r="N74" i="11"/>
  <c r="M74" i="11"/>
  <c r="AQ69" i="11" s="1"/>
  <c r="L74" i="11"/>
  <c r="AP69" i="11" s="1"/>
  <c r="J74" i="11"/>
  <c r="I74" i="11"/>
  <c r="H74" i="11"/>
  <c r="G74" i="11"/>
  <c r="O73" i="11"/>
  <c r="N73" i="11"/>
  <c r="M73" i="11"/>
  <c r="AQ68" i="11" s="1"/>
  <c r="L73" i="11"/>
  <c r="AP68" i="11" s="1"/>
  <c r="J73" i="11"/>
  <c r="I73" i="11"/>
  <c r="H73" i="11"/>
  <c r="G73" i="11"/>
  <c r="O72" i="11"/>
  <c r="N72" i="11"/>
  <c r="M72" i="11"/>
  <c r="AQ67" i="11" s="1"/>
  <c r="L72" i="11"/>
  <c r="AP67" i="11" s="1"/>
  <c r="J72" i="11"/>
  <c r="I72" i="11"/>
  <c r="H72" i="11"/>
  <c r="G72" i="11"/>
  <c r="O71" i="11"/>
  <c r="N71" i="11"/>
  <c r="M71" i="11"/>
  <c r="AQ66" i="11" s="1"/>
  <c r="L71" i="11"/>
  <c r="AP66" i="11" s="1"/>
  <c r="J71" i="11"/>
  <c r="I71" i="11"/>
  <c r="H71" i="11"/>
  <c r="G71" i="11"/>
  <c r="O70" i="11"/>
  <c r="N70" i="11"/>
  <c r="M70" i="11"/>
  <c r="AQ65" i="11" s="1"/>
  <c r="L70" i="11"/>
  <c r="AP65" i="11" s="1"/>
  <c r="J70" i="11"/>
  <c r="I70" i="11"/>
  <c r="H70" i="11"/>
  <c r="G70" i="11"/>
  <c r="O69" i="11"/>
  <c r="N69" i="11"/>
  <c r="M69" i="11"/>
  <c r="AQ64" i="11" s="1"/>
  <c r="L69" i="11"/>
  <c r="AP64" i="11" s="1"/>
  <c r="J69" i="11"/>
  <c r="I69" i="11"/>
  <c r="H69" i="11"/>
  <c r="G69" i="11"/>
  <c r="O68" i="11"/>
  <c r="N68" i="11"/>
  <c r="M68" i="11"/>
  <c r="AQ63" i="11" s="1"/>
  <c r="L68" i="11"/>
  <c r="AP63" i="11" s="1"/>
  <c r="J68" i="11"/>
  <c r="I68" i="11"/>
  <c r="H68" i="11"/>
  <c r="G68" i="11"/>
  <c r="O67" i="11"/>
  <c r="N67" i="11"/>
  <c r="M67" i="11"/>
  <c r="AQ62" i="11" s="1"/>
  <c r="L67" i="11"/>
  <c r="AP62" i="11" s="1"/>
  <c r="J67" i="11"/>
  <c r="J75" i="11" s="1"/>
  <c r="I67" i="11"/>
  <c r="I75" i="11" s="1"/>
  <c r="H67" i="11"/>
  <c r="H75" i="11" s="1"/>
  <c r="G67" i="11"/>
  <c r="G75" i="11" s="1"/>
  <c r="O66" i="11"/>
  <c r="N66" i="11"/>
  <c r="M66" i="11"/>
  <c r="AQ61" i="11" s="1"/>
  <c r="L66" i="11"/>
  <c r="AP61" i="11" s="1"/>
  <c r="J66" i="11"/>
  <c r="I66" i="11"/>
  <c r="H66" i="11"/>
  <c r="G66" i="11"/>
  <c r="O65" i="11"/>
  <c r="N65" i="11"/>
  <c r="M65" i="11"/>
  <c r="AQ60" i="11" s="1"/>
  <c r="L65" i="11"/>
  <c r="AP60" i="11" s="1"/>
  <c r="J65" i="11"/>
  <c r="I65" i="11"/>
  <c r="H65" i="11"/>
  <c r="G65" i="11"/>
  <c r="O64" i="11"/>
  <c r="N64" i="11"/>
  <c r="M64" i="11"/>
  <c r="AQ59" i="11" s="1"/>
  <c r="L64" i="11"/>
  <c r="AP59" i="11" s="1"/>
  <c r="J64" i="11"/>
  <c r="I64" i="11"/>
  <c r="H64" i="11"/>
  <c r="G64" i="11"/>
  <c r="O63" i="11"/>
  <c r="N63" i="11"/>
  <c r="M63" i="11"/>
  <c r="AQ58" i="11" s="1"/>
  <c r="L63" i="11"/>
  <c r="AP58" i="11" s="1"/>
  <c r="J63" i="11"/>
  <c r="I63" i="11"/>
  <c r="H63" i="11"/>
  <c r="G63" i="11"/>
  <c r="F62" i="11"/>
  <c r="E62" i="11"/>
  <c r="D62" i="11"/>
  <c r="V82" i="11" s="1"/>
  <c r="C62" i="11"/>
  <c r="O61" i="11"/>
  <c r="N61" i="11"/>
  <c r="M61" i="11"/>
  <c r="AQ57" i="11" s="1"/>
  <c r="L61" i="11"/>
  <c r="AP57" i="11" s="1"/>
  <c r="J61" i="11"/>
  <c r="I61" i="11"/>
  <c r="H61" i="11"/>
  <c r="G61" i="11"/>
  <c r="O60" i="11"/>
  <c r="N60" i="11"/>
  <c r="M60" i="11"/>
  <c r="AQ56" i="11" s="1"/>
  <c r="L60" i="11"/>
  <c r="AP56" i="11" s="1"/>
  <c r="J60" i="11"/>
  <c r="I60" i="11"/>
  <c r="H60" i="11"/>
  <c r="G60" i="11"/>
  <c r="O59" i="11"/>
  <c r="N59" i="11"/>
  <c r="M59" i="11"/>
  <c r="AQ55" i="11" s="1"/>
  <c r="L59" i="11"/>
  <c r="AP55" i="11" s="1"/>
  <c r="J59" i="11"/>
  <c r="I59" i="11"/>
  <c r="H59" i="11"/>
  <c r="G59" i="11"/>
  <c r="O58" i="11"/>
  <c r="N58" i="11"/>
  <c r="M58" i="11"/>
  <c r="AQ54" i="11" s="1"/>
  <c r="L58" i="11"/>
  <c r="AP54" i="11" s="1"/>
  <c r="J58" i="11"/>
  <c r="I58" i="11"/>
  <c r="H58" i="11"/>
  <c r="G58" i="11"/>
  <c r="O57" i="11"/>
  <c r="N57" i="11"/>
  <c r="M57" i="11"/>
  <c r="AQ53" i="11" s="1"/>
  <c r="L57" i="11"/>
  <c r="AP53" i="11" s="1"/>
  <c r="J57" i="11"/>
  <c r="I57" i="11"/>
  <c r="H57" i="11"/>
  <c r="G57" i="11"/>
  <c r="O56" i="11"/>
  <c r="N56" i="11"/>
  <c r="M56" i="11"/>
  <c r="AQ52" i="11" s="1"/>
  <c r="L56" i="11"/>
  <c r="AP52" i="11" s="1"/>
  <c r="J56" i="11"/>
  <c r="I56" i="11"/>
  <c r="H56" i="11"/>
  <c r="G56" i="11"/>
  <c r="O55" i="11"/>
  <c r="N55" i="11"/>
  <c r="M55" i="11"/>
  <c r="AQ51" i="11" s="1"/>
  <c r="L55" i="11"/>
  <c r="AP51" i="11" s="1"/>
  <c r="J55" i="11"/>
  <c r="I55" i="11"/>
  <c r="H55" i="11"/>
  <c r="G55" i="11"/>
  <c r="O54" i="11"/>
  <c r="N54" i="11"/>
  <c r="M54" i="11"/>
  <c r="AQ50" i="11" s="1"/>
  <c r="L54" i="11"/>
  <c r="AP50" i="11" s="1"/>
  <c r="J54" i="11"/>
  <c r="J62" i="11" s="1"/>
  <c r="I54" i="11"/>
  <c r="I62" i="11" s="1"/>
  <c r="H54" i="11"/>
  <c r="G54" i="11"/>
  <c r="O53" i="11"/>
  <c r="N53" i="11"/>
  <c r="M53" i="11"/>
  <c r="AQ49" i="11" s="1"/>
  <c r="L53" i="11"/>
  <c r="AP49" i="11" s="1"/>
  <c r="J53" i="11"/>
  <c r="I53" i="11"/>
  <c r="H53" i="11"/>
  <c r="G53" i="11"/>
  <c r="O52" i="11"/>
  <c r="N52" i="11"/>
  <c r="M52" i="11"/>
  <c r="AQ48" i="11" s="1"/>
  <c r="L52" i="11"/>
  <c r="AP48" i="11" s="1"/>
  <c r="J52" i="11"/>
  <c r="I52" i="11"/>
  <c r="H52" i="11"/>
  <c r="G52" i="11"/>
  <c r="O51" i="11"/>
  <c r="N51" i="11"/>
  <c r="M51" i="11"/>
  <c r="AQ47" i="11" s="1"/>
  <c r="L51" i="11"/>
  <c r="AP47" i="11" s="1"/>
  <c r="J51" i="11"/>
  <c r="I51" i="11"/>
  <c r="H51" i="11"/>
  <c r="G51" i="11"/>
  <c r="O50" i="11"/>
  <c r="N50" i="11"/>
  <c r="M50" i="11"/>
  <c r="AQ46" i="11" s="1"/>
  <c r="L50" i="11"/>
  <c r="AP46" i="11" s="1"/>
  <c r="J50" i="11"/>
  <c r="I50" i="11"/>
  <c r="H50" i="11"/>
  <c r="G50" i="11"/>
  <c r="F49" i="11"/>
  <c r="E49" i="11"/>
  <c r="D49" i="11"/>
  <c r="V81" i="11" s="1"/>
  <c r="C49" i="11"/>
  <c r="O48" i="11"/>
  <c r="N48" i="11"/>
  <c r="M48" i="11"/>
  <c r="AQ45" i="11" s="1"/>
  <c r="L48" i="11"/>
  <c r="AP45" i="11" s="1"/>
  <c r="J48" i="11"/>
  <c r="I48" i="11"/>
  <c r="H48" i="11"/>
  <c r="G48" i="11"/>
  <c r="O47" i="11"/>
  <c r="N47" i="11"/>
  <c r="M47" i="11"/>
  <c r="AQ44" i="11" s="1"/>
  <c r="L47" i="11"/>
  <c r="AP44" i="11" s="1"/>
  <c r="J47" i="11"/>
  <c r="I47" i="11"/>
  <c r="H47" i="11"/>
  <c r="G47" i="11"/>
  <c r="O46" i="11"/>
  <c r="N46" i="11"/>
  <c r="M46" i="11"/>
  <c r="AQ43" i="11" s="1"/>
  <c r="L46" i="11"/>
  <c r="AP43" i="11" s="1"/>
  <c r="J46" i="11"/>
  <c r="I46" i="11"/>
  <c r="H46" i="11"/>
  <c r="G46" i="11"/>
  <c r="O45" i="11"/>
  <c r="N45" i="11"/>
  <c r="M45" i="11"/>
  <c r="AQ42" i="11" s="1"/>
  <c r="L45" i="11"/>
  <c r="AP42" i="11" s="1"/>
  <c r="J45" i="11"/>
  <c r="I45" i="11"/>
  <c r="H45" i="11"/>
  <c r="G45" i="11"/>
  <c r="O44" i="11"/>
  <c r="N44" i="11"/>
  <c r="M44" i="11"/>
  <c r="AQ41" i="11" s="1"/>
  <c r="L44" i="11"/>
  <c r="AP41" i="11" s="1"/>
  <c r="J44" i="11"/>
  <c r="I44" i="11"/>
  <c r="H44" i="11"/>
  <c r="G44" i="11"/>
  <c r="O43" i="11"/>
  <c r="N43" i="11"/>
  <c r="M43" i="11"/>
  <c r="AQ40" i="11" s="1"/>
  <c r="L43" i="11"/>
  <c r="AP40" i="11" s="1"/>
  <c r="J43" i="11"/>
  <c r="I43" i="11"/>
  <c r="H43" i="11"/>
  <c r="G43" i="11"/>
  <c r="O42" i="11"/>
  <c r="N42" i="11"/>
  <c r="M42" i="11"/>
  <c r="AQ39" i="11" s="1"/>
  <c r="L42" i="11"/>
  <c r="AP39" i="11" s="1"/>
  <c r="J42" i="11"/>
  <c r="I42" i="11"/>
  <c r="H42" i="11"/>
  <c r="G42" i="11"/>
  <c r="O41" i="11"/>
  <c r="N41" i="11"/>
  <c r="M41" i="11"/>
  <c r="AQ38" i="11" s="1"/>
  <c r="L41" i="11"/>
  <c r="AP38" i="11" s="1"/>
  <c r="J41" i="11"/>
  <c r="I41" i="11"/>
  <c r="H41" i="11"/>
  <c r="H49" i="11" s="1"/>
  <c r="G41" i="11"/>
  <c r="G49" i="11" s="1"/>
  <c r="O40" i="11"/>
  <c r="N40" i="11"/>
  <c r="M40" i="11"/>
  <c r="AQ37" i="11" s="1"/>
  <c r="L40" i="11"/>
  <c r="AP37" i="11" s="1"/>
  <c r="J40" i="11"/>
  <c r="I40" i="11"/>
  <c r="H40" i="11"/>
  <c r="G40" i="11"/>
  <c r="O39" i="11"/>
  <c r="N39" i="11"/>
  <c r="M39" i="11"/>
  <c r="AQ36" i="11" s="1"/>
  <c r="L39" i="11"/>
  <c r="AP36" i="11" s="1"/>
  <c r="J39" i="11"/>
  <c r="I39" i="11"/>
  <c r="H39" i="11"/>
  <c r="G39" i="11"/>
  <c r="O38" i="11"/>
  <c r="N38" i="11"/>
  <c r="M38" i="11"/>
  <c r="AQ35" i="11" s="1"/>
  <c r="L38" i="11"/>
  <c r="AP35" i="11" s="1"/>
  <c r="J38" i="11"/>
  <c r="I38" i="11"/>
  <c r="H38" i="11"/>
  <c r="G38" i="11"/>
  <c r="O37" i="11"/>
  <c r="N37" i="11"/>
  <c r="M37" i="11"/>
  <c r="AQ34" i="11" s="1"/>
  <c r="L37" i="11"/>
  <c r="AP34" i="11" s="1"/>
  <c r="J37" i="11"/>
  <c r="I37" i="11"/>
  <c r="H37" i="11"/>
  <c r="G37" i="11"/>
  <c r="F36" i="11"/>
  <c r="E36" i="11"/>
  <c r="D36" i="11"/>
  <c r="V80" i="11" s="1"/>
  <c r="C36" i="11"/>
  <c r="O35" i="11"/>
  <c r="N35" i="11"/>
  <c r="M35" i="11"/>
  <c r="AQ33" i="11" s="1"/>
  <c r="L35" i="11"/>
  <c r="AP33" i="11" s="1"/>
  <c r="J35" i="11"/>
  <c r="I35" i="11"/>
  <c r="H35" i="11"/>
  <c r="G35" i="11"/>
  <c r="O34" i="11"/>
  <c r="N34" i="11"/>
  <c r="M34" i="11"/>
  <c r="AQ32" i="11" s="1"/>
  <c r="L34" i="11"/>
  <c r="AP32" i="11" s="1"/>
  <c r="J34" i="11"/>
  <c r="I34" i="11"/>
  <c r="H34" i="11"/>
  <c r="G34" i="11"/>
  <c r="O33" i="11"/>
  <c r="N33" i="11"/>
  <c r="M33" i="11"/>
  <c r="AQ31" i="11" s="1"/>
  <c r="L33" i="11"/>
  <c r="AP31" i="11" s="1"/>
  <c r="J33" i="11"/>
  <c r="I33" i="11"/>
  <c r="H33" i="11"/>
  <c r="G33" i="11"/>
  <c r="O32" i="11"/>
  <c r="N32" i="11"/>
  <c r="M32" i="11"/>
  <c r="AQ30" i="11" s="1"/>
  <c r="L32" i="11"/>
  <c r="AP30" i="11" s="1"/>
  <c r="J32" i="11"/>
  <c r="I32" i="11"/>
  <c r="H32" i="11"/>
  <c r="G32" i="11"/>
  <c r="O31" i="11"/>
  <c r="N31" i="11"/>
  <c r="M31" i="11"/>
  <c r="AQ29" i="11" s="1"/>
  <c r="L31" i="11"/>
  <c r="AP29" i="11" s="1"/>
  <c r="J31" i="11"/>
  <c r="I31" i="11"/>
  <c r="H31" i="11"/>
  <c r="G31" i="11"/>
  <c r="O30" i="11"/>
  <c r="N30" i="11"/>
  <c r="M30" i="11"/>
  <c r="AQ28" i="11" s="1"/>
  <c r="L30" i="11"/>
  <c r="AP28" i="11" s="1"/>
  <c r="J30" i="11"/>
  <c r="I30" i="11"/>
  <c r="H30" i="11"/>
  <c r="G30" i="11"/>
  <c r="O29" i="11"/>
  <c r="N29" i="11"/>
  <c r="M29" i="11"/>
  <c r="AQ27" i="11" s="1"/>
  <c r="L29" i="11"/>
  <c r="AP27" i="11" s="1"/>
  <c r="J29" i="11"/>
  <c r="I29" i="11"/>
  <c r="H29" i="11"/>
  <c r="G29" i="11"/>
  <c r="O28" i="11"/>
  <c r="N28" i="11"/>
  <c r="M28" i="11"/>
  <c r="AQ26" i="11" s="1"/>
  <c r="L28" i="11"/>
  <c r="AP26" i="11" s="1"/>
  <c r="J28" i="11"/>
  <c r="J36" i="11" s="1"/>
  <c r="I28" i="11"/>
  <c r="I36" i="11" s="1"/>
  <c r="H28" i="11"/>
  <c r="G28" i="11"/>
  <c r="G36" i="11" s="1"/>
  <c r="O27" i="11"/>
  <c r="N27" i="11"/>
  <c r="M27" i="11"/>
  <c r="AQ25" i="11" s="1"/>
  <c r="L27" i="11"/>
  <c r="AP25" i="11" s="1"/>
  <c r="J27" i="11"/>
  <c r="I27" i="11"/>
  <c r="H27" i="11"/>
  <c r="G27" i="11"/>
  <c r="O26" i="11"/>
  <c r="N26" i="11"/>
  <c r="M26" i="11"/>
  <c r="AQ24" i="11" s="1"/>
  <c r="L26" i="11"/>
  <c r="AP24" i="11" s="1"/>
  <c r="J26" i="11"/>
  <c r="I26" i="11"/>
  <c r="H26" i="11"/>
  <c r="G26" i="11"/>
  <c r="O25" i="11"/>
  <c r="N25" i="11"/>
  <c r="M25" i="11"/>
  <c r="AQ23" i="11" s="1"/>
  <c r="L25" i="11"/>
  <c r="AP23" i="11" s="1"/>
  <c r="J25" i="11"/>
  <c r="I25" i="11"/>
  <c r="H25" i="11"/>
  <c r="G25" i="11"/>
  <c r="O24" i="11"/>
  <c r="N24" i="11"/>
  <c r="M24" i="11"/>
  <c r="AQ22" i="11" s="1"/>
  <c r="J24" i="11"/>
  <c r="I24" i="11"/>
  <c r="H24" i="11"/>
  <c r="G24" i="11"/>
  <c r="F23" i="11"/>
  <c r="E23" i="11"/>
  <c r="D23" i="11"/>
  <c r="V79" i="11" s="1"/>
  <c r="C23" i="11"/>
  <c r="J22" i="11"/>
  <c r="I22" i="11"/>
  <c r="H22" i="11"/>
  <c r="G22" i="11"/>
  <c r="J21" i="11"/>
  <c r="I21" i="11"/>
  <c r="H21" i="11"/>
  <c r="G21" i="11"/>
  <c r="J20" i="11"/>
  <c r="I20" i="11"/>
  <c r="H20" i="11"/>
  <c r="G20" i="11"/>
  <c r="J19" i="11"/>
  <c r="I19" i="11"/>
  <c r="H19" i="11"/>
  <c r="G19" i="11"/>
  <c r="J18" i="11"/>
  <c r="I18" i="11"/>
  <c r="H18" i="11"/>
  <c r="G18" i="11"/>
  <c r="J17" i="11"/>
  <c r="I17" i="11"/>
  <c r="H17" i="11"/>
  <c r="G17" i="11"/>
  <c r="Y15" i="11"/>
  <c r="Y25" i="11" s="1"/>
  <c r="X15" i="11"/>
  <c r="X25" i="11" s="1"/>
  <c r="W15" i="11"/>
  <c r="W25" i="11" s="1"/>
  <c r="V15" i="11"/>
  <c r="V25" i="11" s="1"/>
  <c r="J16" i="11"/>
  <c r="I16" i="11"/>
  <c r="H16" i="11"/>
  <c r="G16" i="11"/>
  <c r="J15" i="11"/>
  <c r="J23" i="11" s="1"/>
  <c r="I15" i="11"/>
  <c r="I23" i="11" s="1"/>
  <c r="H15" i="11"/>
  <c r="H23" i="11" s="1"/>
  <c r="G15" i="11"/>
  <c r="G23" i="11" s="1"/>
  <c r="J14" i="11"/>
  <c r="I14" i="11"/>
  <c r="H14" i="11"/>
  <c r="G14" i="11"/>
  <c r="J13" i="11"/>
  <c r="I13" i="11"/>
  <c r="H13" i="11"/>
  <c r="G13" i="11"/>
  <c r="J12" i="11"/>
  <c r="I12" i="11"/>
  <c r="H12" i="11"/>
  <c r="G12" i="11"/>
  <c r="J11" i="11"/>
  <c r="I11" i="11"/>
  <c r="H11" i="11"/>
  <c r="G11" i="11"/>
  <c r="AQ9" i="11"/>
  <c r="AP9" i="11"/>
  <c r="Y4" i="11"/>
  <c r="Y14" i="11" s="1"/>
  <c r="X4" i="11"/>
  <c r="X14" i="11" s="1"/>
  <c r="W4" i="11"/>
  <c r="W14" i="11" s="1"/>
  <c r="V4" i="11"/>
  <c r="V14" i="11" s="1"/>
  <c r="AO2" i="11"/>
  <c r="AO11" i="11" s="1"/>
  <c r="AO12" i="11" s="1"/>
  <c r="AO13" i="11" s="1"/>
  <c r="AO14" i="11" s="1"/>
  <c r="AO15" i="11" s="1"/>
  <c r="AO16" i="11" s="1"/>
  <c r="AO17" i="11" s="1"/>
  <c r="AO18" i="11" s="1"/>
  <c r="AO19" i="11" s="1"/>
  <c r="AO20" i="11" s="1"/>
  <c r="AO21" i="11" s="1"/>
  <c r="AO22" i="11" s="1"/>
  <c r="AO23" i="11" s="1"/>
  <c r="AO24" i="11" s="1"/>
  <c r="AO25" i="11" s="1"/>
  <c r="AO26" i="11" s="1"/>
  <c r="AO27" i="11" s="1"/>
  <c r="AO28" i="11" s="1"/>
  <c r="AO29" i="11" s="1"/>
  <c r="AO30" i="11" s="1"/>
  <c r="AO31" i="11" s="1"/>
  <c r="AO32" i="11" s="1"/>
  <c r="AO33" i="11" s="1"/>
  <c r="AO34" i="11" s="1"/>
  <c r="AO35" i="11" s="1"/>
  <c r="AO36" i="11" s="1"/>
  <c r="AO37" i="11" s="1"/>
  <c r="AO38" i="11" s="1"/>
  <c r="AO39" i="11" s="1"/>
  <c r="AO40" i="11" s="1"/>
  <c r="AO41" i="11" s="1"/>
  <c r="AO42" i="11" s="1"/>
  <c r="AO43" i="11" s="1"/>
  <c r="AO44" i="11" s="1"/>
  <c r="AO45" i="11" s="1"/>
  <c r="AO46" i="11" s="1"/>
  <c r="AO47" i="11" s="1"/>
  <c r="AO48" i="11" s="1"/>
  <c r="AO49" i="11" s="1"/>
  <c r="AO50" i="11" s="1"/>
  <c r="AO51" i="11" s="1"/>
  <c r="AO52" i="11" s="1"/>
  <c r="AO53" i="11" s="1"/>
  <c r="AO54" i="11" s="1"/>
  <c r="AO55" i="11" s="1"/>
  <c r="AL11" i="11"/>
  <c r="R58" i="11" l="1"/>
  <c r="R32" i="11"/>
  <c r="V24" i="11"/>
  <c r="V23" i="11"/>
  <c r="AC23" i="11"/>
  <c r="AC24" i="11"/>
  <c r="W23" i="11"/>
  <c r="W24" i="11"/>
  <c r="AD23" i="11"/>
  <c r="AD24" i="11"/>
  <c r="V13" i="11"/>
  <c r="V12" i="11"/>
  <c r="W12" i="11"/>
  <c r="W13" i="11"/>
  <c r="Y23" i="11"/>
  <c r="Y24" i="11"/>
  <c r="AB5" i="11"/>
  <c r="AB13" i="11"/>
  <c r="AB12" i="11"/>
  <c r="X23" i="11"/>
  <c r="X24" i="11"/>
  <c r="X12" i="11"/>
  <c r="X13" i="11"/>
  <c r="AC12" i="11"/>
  <c r="AC13" i="11"/>
  <c r="Y12" i="11"/>
  <c r="Y13" i="11"/>
  <c r="AD12" i="11"/>
  <c r="AD13" i="11"/>
  <c r="AE23" i="11"/>
  <c r="AE24" i="11"/>
  <c r="AE7" i="11"/>
  <c r="AE12" i="11"/>
  <c r="AE13" i="11"/>
  <c r="AB24" i="11"/>
  <c r="AB23" i="11"/>
  <c r="AO56" i="11"/>
  <c r="AO57" i="11" s="1"/>
  <c r="AO58" i="11" s="1"/>
  <c r="AO59" i="11" s="1"/>
  <c r="AO60" i="11" s="1"/>
  <c r="AO61" i="11" s="1"/>
  <c r="AO62" i="11" s="1"/>
  <c r="AO63" i="11" s="1"/>
  <c r="AO64" i="11" s="1"/>
  <c r="AO65" i="11" s="1"/>
  <c r="AO66" i="11" s="1"/>
  <c r="AO67" i="11" s="1"/>
  <c r="AO68" i="11" s="1"/>
  <c r="AO69" i="11" s="1"/>
  <c r="AO70" i="11" s="1"/>
  <c r="AO71" i="11" s="1"/>
  <c r="AO72" i="11" s="1"/>
  <c r="AO73" i="11" s="1"/>
  <c r="AO74" i="11" s="1"/>
  <c r="AO75" i="11" s="1"/>
  <c r="AO76" i="11" s="1"/>
  <c r="AO77" i="11" s="1"/>
  <c r="AO78" i="11" s="1"/>
  <c r="AO79" i="11" s="1"/>
  <c r="AO80" i="11" s="1"/>
  <c r="AO81" i="11" s="1"/>
  <c r="AO82" i="11" s="1"/>
  <c r="AO83" i="11" s="1"/>
  <c r="AO84" i="11" s="1"/>
  <c r="AO85" i="11" s="1"/>
  <c r="AO86" i="11" s="1"/>
  <c r="AO87" i="11" s="1"/>
  <c r="AO88" i="11" s="1"/>
  <c r="AO89" i="11" s="1"/>
  <c r="AO90" i="11" s="1"/>
  <c r="AO91" i="11" s="1"/>
  <c r="AO92" i="11" s="1"/>
  <c r="AO93" i="11" s="1"/>
  <c r="AO94" i="11" s="1"/>
  <c r="AO95" i="11" s="1"/>
  <c r="AO96" i="11" s="1"/>
  <c r="AO97" i="11" s="1"/>
  <c r="AO98" i="11" s="1"/>
  <c r="AO99" i="11" s="1"/>
  <c r="AO100" i="11" s="1"/>
  <c r="AO101" i="11" s="1"/>
  <c r="AO102" i="11" s="1"/>
  <c r="AO103" i="11" s="1"/>
  <c r="AO104" i="11" s="1"/>
  <c r="AO105" i="11" s="1"/>
  <c r="AO106" i="11" s="1"/>
  <c r="AO107" i="11" s="1"/>
  <c r="AO108" i="11" s="1"/>
  <c r="AO109" i="11" s="1"/>
  <c r="AO110" i="11" s="1"/>
  <c r="AO111" i="11" s="1"/>
  <c r="AO112" i="11" s="1"/>
  <c r="AO113" i="11" s="1"/>
  <c r="AO114" i="11" s="1"/>
  <c r="AO115" i="11" s="1"/>
  <c r="AO116" i="11" s="1"/>
  <c r="AO117" i="11" s="1"/>
  <c r="AO118" i="11" s="1"/>
  <c r="AO119" i="11" s="1"/>
  <c r="AO120" i="11" s="1"/>
  <c r="AO121" i="11" s="1"/>
  <c r="AO122" i="11" s="1"/>
  <c r="AO123" i="11" s="1"/>
  <c r="AO124" i="11" s="1"/>
  <c r="AO125" i="11" s="1"/>
  <c r="AO126" i="11" s="1"/>
  <c r="AO127" i="11" s="1"/>
  <c r="AO128" i="11" s="1"/>
  <c r="AO129" i="11" s="1"/>
  <c r="AO130" i="11" s="1"/>
  <c r="AO131" i="11" s="1"/>
  <c r="AO132" i="11" s="1"/>
  <c r="AO133" i="11" s="1"/>
  <c r="AO134" i="11" s="1"/>
  <c r="AO135" i="11" s="1"/>
  <c r="AO136" i="11" s="1"/>
  <c r="V5" i="11"/>
  <c r="V6" i="11"/>
  <c r="V8" i="11"/>
  <c r="V9" i="11"/>
  <c r="V7" i="11"/>
  <c r="V11" i="11"/>
  <c r="W6" i="11"/>
  <c r="W8" i="11"/>
  <c r="W5" i="11"/>
  <c r="W7" i="11"/>
  <c r="W9" i="11"/>
  <c r="W11" i="11"/>
  <c r="AB7" i="11"/>
  <c r="AB9" i="11"/>
  <c r="AB11" i="11"/>
  <c r="AC6" i="11"/>
  <c r="AC8" i="11"/>
  <c r="AC5" i="11"/>
  <c r="AC9" i="11"/>
  <c r="AC11" i="11"/>
  <c r="Y5" i="11"/>
  <c r="Y7" i="11"/>
  <c r="Y9" i="11"/>
  <c r="Y6" i="11"/>
  <c r="Y8" i="11"/>
  <c r="Y11" i="11"/>
  <c r="G88" i="11"/>
  <c r="P101" i="11" s="1"/>
  <c r="AE22" i="11" s="1"/>
  <c r="P93" i="11"/>
  <c r="AD5" i="11"/>
  <c r="AD9" i="11"/>
  <c r="AD6" i="11"/>
  <c r="AD8" i="11"/>
  <c r="AD11" i="11"/>
  <c r="S55" i="11"/>
  <c r="H88" i="11"/>
  <c r="Q101" i="11" s="1"/>
  <c r="AB22" i="11" s="1"/>
  <c r="Q93" i="11"/>
  <c r="AE5" i="11"/>
  <c r="AE9" i="11"/>
  <c r="AE6" i="11"/>
  <c r="AE11" i="11"/>
  <c r="X5" i="11"/>
  <c r="X7" i="11"/>
  <c r="X9" i="11"/>
  <c r="X6" i="11"/>
  <c r="X8" i="11"/>
  <c r="X11" i="11"/>
  <c r="O193" i="3"/>
  <c r="O88" i="11"/>
  <c r="Y21" i="11" s="1"/>
  <c r="Y10" i="11"/>
  <c r="O101" i="11"/>
  <c r="Y22" i="11" s="1"/>
  <c r="X10" i="11"/>
  <c r="N101" i="11"/>
  <c r="X22" i="11" s="1"/>
  <c r="W10" i="11"/>
  <c r="V84" i="11"/>
  <c r="M101" i="11"/>
  <c r="W22" i="11" s="1"/>
  <c r="V10" i="11"/>
  <c r="L101" i="11"/>
  <c r="V22" i="11" s="1"/>
  <c r="M49" i="11"/>
  <c r="W18" i="11" s="1"/>
  <c r="R50" i="11"/>
  <c r="S51" i="11"/>
  <c r="N49" i="11"/>
  <c r="X18" i="11" s="1"/>
  <c r="S80" i="11"/>
  <c r="S24" i="11"/>
  <c r="S41" i="11"/>
  <c r="P24" i="11"/>
  <c r="S53" i="11"/>
  <c r="Q76" i="11"/>
  <c r="R77" i="11"/>
  <c r="R78" i="11"/>
  <c r="S81" i="11"/>
  <c r="S83" i="11"/>
  <c r="S84" i="11"/>
  <c r="S85" i="11"/>
  <c r="S86" i="11"/>
  <c r="S87" i="11"/>
  <c r="P58" i="11"/>
  <c r="Q74" i="11"/>
  <c r="R52" i="11"/>
  <c r="R60" i="11"/>
  <c r="P54" i="11"/>
  <c r="J49" i="11"/>
  <c r="AD7" i="11" s="1"/>
  <c r="Q58" i="11"/>
  <c r="R28" i="11"/>
  <c r="Q47" i="11"/>
  <c r="S45" i="11"/>
  <c r="S59" i="11"/>
  <c r="S57" i="11"/>
  <c r="G62" i="11"/>
  <c r="AE8" i="11" s="1"/>
  <c r="J88" i="11"/>
  <c r="S101" i="11" s="1"/>
  <c r="AD22" i="11" s="1"/>
  <c r="Q32" i="11"/>
  <c r="S63" i="11"/>
  <c r="Q41" i="11"/>
  <c r="H36" i="11"/>
  <c r="AB6" i="11" s="1"/>
  <c r="R54" i="11"/>
  <c r="I49" i="11"/>
  <c r="R62" i="11" s="1"/>
  <c r="AC19" i="11" s="1"/>
  <c r="R80" i="11"/>
  <c r="I88" i="11"/>
  <c r="R101" i="11" s="1"/>
  <c r="AC22" i="11" s="1"/>
  <c r="P36" i="11"/>
  <c r="AE17" i="11" s="1"/>
  <c r="S37" i="11"/>
  <c r="S47" i="11"/>
  <c r="P57" i="11"/>
  <c r="Q54" i="11"/>
  <c r="H62" i="11"/>
  <c r="Q75" i="11" s="1"/>
  <c r="AB20" i="11" s="1"/>
  <c r="R61" i="11"/>
  <c r="R24" i="11"/>
  <c r="R26" i="11"/>
  <c r="S48" i="11"/>
  <c r="P50" i="11"/>
  <c r="Q52" i="11"/>
  <c r="P61" i="11"/>
  <c r="M62" i="11"/>
  <c r="W19" i="11" s="1"/>
  <c r="S65" i="11"/>
  <c r="R66" i="11"/>
  <c r="S77" i="11"/>
  <c r="P81" i="11"/>
  <c r="P83" i="11"/>
  <c r="P84" i="11"/>
  <c r="P85" i="11"/>
  <c r="N36" i="11"/>
  <c r="X17" i="11" s="1"/>
  <c r="R29" i="11"/>
  <c r="Q30" i="11"/>
  <c r="R47" i="11"/>
  <c r="S35" i="11"/>
  <c r="S39" i="11"/>
  <c r="Q48" i="11"/>
  <c r="O49" i="11"/>
  <c r="Y18" i="11" s="1"/>
  <c r="Q50" i="11"/>
  <c r="R65" i="11"/>
  <c r="P53" i="11"/>
  <c r="R68" i="11"/>
  <c r="P65" i="11"/>
  <c r="S31" i="11"/>
  <c r="S44" i="11"/>
  <c r="R27" i="11"/>
  <c r="S29" i="11"/>
  <c r="S42" i="11"/>
  <c r="R56" i="11"/>
  <c r="L49" i="11"/>
  <c r="V18" i="11" s="1"/>
  <c r="Q64" i="11"/>
  <c r="R25" i="11"/>
  <c r="Q26" i="11"/>
  <c r="S27" i="11"/>
  <c r="S40" i="11"/>
  <c r="Q51" i="11"/>
  <c r="S52" i="11"/>
  <c r="Q55" i="11"/>
  <c r="Q59" i="11"/>
  <c r="R64" i="11"/>
  <c r="S25" i="11"/>
  <c r="S38" i="11"/>
  <c r="R30" i="11"/>
  <c r="R31" i="11"/>
  <c r="S33" i="11"/>
  <c r="S46" i="11"/>
  <c r="L36" i="11"/>
  <c r="V17" i="11" s="1"/>
  <c r="Q67" i="11"/>
  <c r="Q71" i="11"/>
  <c r="R79" i="11"/>
  <c r="P86" i="11"/>
  <c r="P87" i="11"/>
  <c r="L88" i="11"/>
  <c r="S60" i="11"/>
  <c r="Q61" i="11"/>
  <c r="S66" i="11"/>
  <c r="N75" i="11"/>
  <c r="X20" i="11" s="1"/>
  <c r="Q24" i="11"/>
  <c r="P25" i="11"/>
  <c r="R39" i="11"/>
  <c r="P27" i="11"/>
  <c r="R41" i="11"/>
  <c r="P29" i="11"/>
  <c r="P31" i="11"/>
  <c r="R45" i="11"/>
  <c r="P33" i="11"/>
  <c r="P37" i="11"/>
  <c r="P39" i="11"/>
  <c r="P41" i="11"/>
  <c r="P45" i="11"/>
  <c r="R63" i="11"/>
  <c r="P52" i="11"/>
  <c r="Q53" i="11"/>
  <c r="Q56" i="11"/>
  <c r="Q57" i="11"/>
  <c r="P60" i="11"/>
  <c r="O62" i="11"/>
  <c r="Y19" i="11" s="1"/>
  <c r="P63" i="11"/>
  <c r="S64" i="11"/>
  <c r="Q65" i="11"/>
  <c r="P66" i="11"/>
  <c r="S68" i="11"/>
  <c r="S70" i="11"/>
  <c r="S71" i="11"/>
  <c r="S72" i="11"/>
  <c r="S73" i="11"/>
  <c r="S76" i="11"/>
  <c r="P77" i="11"/>
  <c r="P78" i="11"/>
  <c r="P79" i="11"/>
  <c r="P80" i="11"/>
  <c r="Q81" i="11"/>
  <c r="Q83" i="11"/>
  <c r="Q84" i="11"/>
  <c r="Q85" i="11"/>
  <c r="Q86" i="11"/>
  <c r="Q87" i="11"/>
  <c r="M88" i="11"/>
  <c r="R76" i="11"/>
  <c r="S78" i="11"/>
  <c r="S79" i="11"/>
  <c r="AL12" i="11"/>
  <c r="AL13" i="11" s="1"/>
  <c r="AL14" i="11" s="1"/>
  <c r="AL15" i="11" s="1"/>
  <c r="AL16" i="11" s="1"/>
  <c r="AL17" i="11" s="1"/>
  <c r="AL18" i="11" s="1"/>
  <c r="AL19" i="11" s="1"/>
  <c r="AL20" i="11" s="1"/>
  <c r="AL21" i="11" s="1"/>
  <c r="AL22" i="11" s="1"/>
  <c r="AL23" i="11" s="1"/>
  <c r="AL24" i="11" s="1"/>
  <c r="AL25" i="11" s="1"/>
  <c r="AL26" i="11" s="1"/>
  <c r="AL27" i="11" s="1"/>
  <c r="AL28" i="11" s="1"/>
  <c r="AL29" i="11" s="1"/>
  <c r="AL30" i="11" s="1"/>
  <c r="AL31" i="11" s="1"/>
  <c r="AL32" i="11" s="1"/>
  <c r="AL33" i="11" s="1"/>
  <c r="AL34" i="11" s="1"/>
  <c r="AL35" i="11" s="1"/>
  <c r="AL36" i="11" s="1"/>
  <c r="AL37" i="11" s="1"/>
  <c r="AL38" i="11" s="1"/>
  <c r="AL39" i="11" s="1"/>
  <c r="AL40" i="11" s="1"/>
  <c r="AL41" i="11" s="1"/>
  <c r="AL42" i="11" s="1"/>
  <c r="AL43" i="11" s="1"/>
  <c r="AL44" i="11" s="1"/>
  <c r="AL45" i="11" s="1"/>
  <c r="AL46" i="11" s="1"/>
  <c r="AL47" i="11" s="1"/>
  <c r="AL48" i="11" s="1"/>
  <c r="AL49" i="11" s="1"/>
  <c r="AL50" i="11" s="1"/>
  <c r="AL51" i="11" s="1"/>
  <c r="AL52" i="11" s="1"/>
  <c r="AL53" i="11" s="1"/>
  <c r="AL54" i="11" s="1"/>
  <c r="AL55" i="11" s="1"/>
  <c r="AL56" i="11" s="1"/>
  <c r="AL57" i="11" s="1"/>
  <c r="AL58" i="11" s="1"/>
  <c r="AL59" i="11" s="1"/>
  <c r="AL60" i="11" s="1"/>
  <c r="AL61" i="11" s="1"/>
  <c r="AL62" i="11" s="1"/>
  <c r="AL63" i="11" s="1"/>
  <c r="AL64" i="11" s="1"/>
  <c r="AL65" i="11" s="1"/>
  <c r="AL66" i="11" s="1"/>
  <c r="AL67" i="11" s="1"/>
  <c r="AL68" i="11" s="1"/>
  <c r="AL69" i="11" s="1"/>
  <c r="AL70" i="11" s="1"/>
  <c r="AL71" i="11" s="1"/>
  <c r="AL72" i="11" s="1"/>
  <c r="AL73" i="11" s="1"/>
  <c r="AL74" i="11" s="1"/>
  <c r="AL75" i="11" s="1"/>
  <c r="R37" i="11"/>
  <c r="Q25" i="11"/>
  <c r="Q27" i="11"/>
  <c r="Q29" i="11"/>
  <c r="Q31" i="11"/>
  <c r="Q33" i="11"/>
  <c r="O36" i="11"/>
  <c r="Y17" i="11" s="1"/>
  <c r="P48" i="11"/>
  <c r="N62" i="11"/>
  <c r="X19" i="11" s="1"/>
  <c r="S50" i="11"/>
  <c r="P51" i="11"/>
  <c r="S54" i="11"/>
  <c r="P55" i="11"/>
  <c r="R70" i="11"/>
  <c r="S58" i="11"/>
  <c r="P59" i="11"/>
  <c r="S61" i="11"/>
  <c r="L62" i="11"/>
  <c r="V19" i="11" s="1"/>
  <c r="Q63" i="11"/>
  <c r="P64" i="11"/>
  <c r="Q66" i="11"/>
  <c r="P67" i="11"/>
  <c r="P68" i="11"/>
  <c r="P70" i="11"/>
  <c r="P71" i="11"/>
  <c r="P72" i="11"/>
  <c r="P73" i="11"/>
  <c r="P74" i="11"/>
  <c r="L75" i="11"/>
  <c r="P76" i="11"/>
  <c r="Q77" i="11"/>
  <c r="Q78" i="11"/>
  <c r="Q79" i="11"/>
  <c r="Q80" i="11"/>
  <c r="R81" i="11"/>
  <c r="R83" i="11"/>
  <c r="R84" i="11"/>
  <c r="R85" i="11"/>
  <c r="R86" i="11"/>
  <c r="R87" i="11"/>
  <c r="N88" i="11"/>
  <c r="X21" i="11" s="1"/>
  <c r="P49" i="11"/>
  <c r="AE18" i="11" s="1"/>
  <c r="P82" i="11"/>
  <c r="Q82" i="11"/>
  <c r="R82" i="11"/>
  <c r="S82" i="11"/>
  <c r="R72" i="11"/>
  <c r="R73" i="11"/>
  <c r="Q73" i="11"/>
  <c r="M75" i="11"/>
  <c r="Q43" i="11"/>
  <c r="R43" i="11"/>
  <c r="R33" i="11"/>
  <c r="S34" i="11"/>
  <c r="Q37" i="11"/>
  <c r="R51" i="11"/>
  <c r="R38" i="11"/>
  <c r="Q40" i="11"/>
  <c r="Q45" i="11"/>
  <c r="R59" i="11"/>
  <c r="R46" i="11"/>
  <c r="R57" i="11"/>
  <c r="R44" i="11"/>
  <c r="Q46" i="11"/>
  <c r="S26" i="11"/>
  <c r="S28" i="11"/>
  <c r="S32" i="11"/>
  <c r="P34" i="11"/>
  <c r="Q34" i="11"/>
  <c r="Q35" i="11"/>
  <c r="S36" i="11"/>
  <c r="AD17" i="11" s="1"/>
  <c r="Q39" i="11"/>
  <c r="R53" i="11"/>
  <c r="R40" i="11"/>
  <c r="Q42" i="11"/>
  <c r="Q38" i="11"/>
  <c r="P26" i="11"/>
  <c r="P28" i="11"/>
  <c r="Q28" i="11"/>
  <c r="P32" i="11"/>
  <c r="R48" i="11"/>
  <c r="R35" i="11"/>
  <c r="R55" i="11"/>
  <c r="R42" i="11"/>
  <c r="Q44" i="11"/>
  <c r="R34" i="11"/>
  <c r="P30" i="11"/>
  <c r="M36" i="11"/>
  <c r="W17" i="11" s="1"/>
  <c r="Q68" i="11"/>
  <c r="P69" i="11"/>
  <c r="P47" i="11"/>
  <c r="Q60" i="11"/>
  <c r="R67" i="11"/>
  <c r="S67" i="11"/>
  <c r="Q69" i="11"/>
  <c r="Q70" i="11"/>
  <c r="O75" i="11"/>
  <c r="Y20" i="11" s="1"/>
  <c r="R69" i="11"/>
  <c r="S69" i="11"/>
  <c r="Q72" i="11"/>
  <c r="R74" i="11"/>
  <c r="S30" i="11"/>
  <c r="P35" i="11"/>
  <c r="P38" i="11"/>
  <c r="P40" i="11"/>
  <c r="P42" i="11"/>
  <c r="S43" i="11"/>
  <c r="P44" i="11"/>
  <c r="P46" i="11"/>
  <c r="S56" i="11"/>
  <c r="S75" i="11"/>
  <c r="AD20" i="11" s="1"/>
  <c r="R71" i="11"/>
  <c r="S74" i="11"/>
  <c r="P43" i="11"/>
  <c r="P56" i="11"/>
  <c r="AE10" i="11" l="1"/>
  <c r="P88" i="11"/>
  <c r="AE21" i="11" s="1"/>
  <c r="Q88" i="11"/>
  <c r="AB21" i="11" s="1"/>
  <c r="AD10" i="11"/>
  <c r="AC7" i="11"/>
  <c r="W20" i="11"/>
  <c r="AB10" i="11"/>
  <c r="AC10" i="11"/>
  <c r="AB8" i="11"/>
  <c r="V20" i="11"/>
  <c r="W21" i="11"/>
  <c r="V21" i="11"/>
  <c r="P75" i="11"/>
  <c r="AE20" i="11" s="1"/>
  <c r="P62" i="11"/>
  <c r="AE19" i="11" s="1"/>
  <c r="S62" i="11"/>
  <c r="AD19" i="11" s="1"/>
  <c r="R88" i="11"/>
  <c r="AC21" i="11" s="1"/>
  <c r="S49" i="11"/>
  <c r="AD18" i="11" s="1"/>
  <c r="S88" i="11"/>
  <c r="AD21" i="11" s="1"/>
  <c r="Q62" i="11"/>
  <c r="AB19" i="11" s="1"/>
  <c r="R75" i="11"/>
  <c r="AC20" i="11" s="1"/>
  <c r="Q36" i="11"/>
  <c r="AB17" i="11" s="1"/>
  <c r="R49" i="11"/>
  <c r="AC18" i="11" s="1"/>
  <c r="R36" i="11"/>
  <c r="AC17" i="11" s="1"/>
  <c r="Q49" i="11"/>
  <c r="AB18" i="11" s="1"/>
  <c r="F36" i="9" l="1"/>
  <c r="F37" i="9"/>
  <c r="F38" i="9"/>
  <c r="H38" i="9" s="1"/>
  <c r="J36" i="9"/>
  <c r="J37" i="9"/>
  <c r="J38" i="9"/>
  <c r="J35" i="9"/>
  <c r="J33" i="9"/>
  <c r="F34" i="9"/>
  <c r="A34" i="9" s="1"/>
  <c r="F35" i="9"/>
  <c r="A35" i="9" s="1"/>
  <c r="F33" i="9"/>
  <c r="A33" i="9" s="1"/>
  <c r="J34" i="9"/>
  <c r="G31" i="3" s="1"/>
  <c r="F9" i="9"/>
  <c r="G9" i="9" s="1"/>
  <c r="I9" i="9" s="1"/>
  <c r="J9" i="9" s="1"/>
  <c r="D20" i="9"/>
  <c r="E20" i="9"/>
  <c r="D21" i="9"/>
  <c r="E21" i="9"/>
  <c r="D22" i="9"/>
  <c r="E22" i="9"/>
  <c r="S15" i="9"/>
  <c r="S16" i="9" s="1"/>
  <c r="R15" i="9"/>
  <c r="R16" i="9" s="1"/>
  <c r="Q15" i="9"/>
  <c r="Q16" i="9" s="1"/>
  <c r="S6" i="9"/>
  <c r="R6" i="9"/>
  <c r="Q6" i="9"/>
  <c r="H31" i="3" l="1"/>
  <c r="H125" i="3" s="1"/>
  <c r="Q16" i="30" s="1"/>
  <c r="D31" i="3"/>
  <c r="D125" i="3" s="1"/>
  <c r="D158" i="3" s="1"/>
  <c r="F31" i="3"/>
  <c r="F125" i="3" s="1"/>
  <c r="F158" i="3" s="1"/>
  <c r="E31" i="3"/>
  <c r="E125" i="3" s="1"/>
  <c r="E158" i="3" s="1"/>
  <c r="H37" i="9"/>
  <c r="F58" i="9"/>
  <c r="H33" i="9"/>
  <c r="F54" i="9"/>
  <c r="H35" i="9"/>
  <c r="F56" i="9"/>
  <c r="H34" i="9"/>
  <c r="F55" i="9"/>
  <c r="H36" i="9"/>
  <c r="F57" i="9"/>
  <c r="F20" i="9"/>
  <c r="S7" i="9"/>
  <c r="L20" i="9" s="1"/>
  <c r="F22" i="9"/>
  <c r="Q19" i="9"/>
  <c r="R19" i="9"/>
  <c r="Q7" i="9"/>
  <c r="L22" i="9" s="1"/>
  <c r="F26" i="3" s="1"/>
  <c r="F21" i="9"/>
  <c r="S19" i="9"/>
  <c r="R7" i="9"/>
  <c r="L21" i="9" s="1"/>
  <c r="H158" i="3" l="1"/>
  <c r="I26" i="3"/>
  <c r="I152" i="3" s="1"/>
  <c r="R41" i="30" s="1"/>
  <c r="H26" i="3"/>
  <c r="G26" i="3"/>
  <c r="G125" i="3"/>
  <c r="P16" i="30" s="1"/>
  <c r="W16" i="30" s="1"/>
  <c r="X16" i="30" s="1"/>
  <c r="S8" i="9"/>
  <c r="G20" i="9" s="1"/>
  <c r="H23" i="3" s="1"/>
  <c r="R8" i="9"/>
  <c r="G21" i="9" s="1"/>
  <c r="G23" i="3" s="1"/>
  <c r="Q8" i="9"/>
  <c r="G22" i="9" s="1"/>
  <c r="F23" i="3" s="1"/>
  <c r="R20" i="9"/>
  <c r="Q20" i="9"/>
  <c r="S20" i="9"/>
  <c r="I153" i="3" l="1"/>
  <c r="Q10" i="9"/>
  <c r="R10" i="9"/>
  <c r="I148" i="3"/>
  <c r="S10" i="9"/>
  <c r="G158" i="3"/>
  <c r="I183" i="3"/>
  <c r="I22" i="9"/>
  <c r="J22" i="9" s="1"/>
  <c r="F11" i="2"/>
  <c r="F11" i="19"/>
  <c r="F41" i="19" s="1"/>
  <c r="F42" i="19" s="1"/>
  <c r="I21" i="9"/>
  <c r="I179" i="3" l="1"/>
  <c r="R37" i="30"/>
  <c r="I184" i="3"/>
  <c r="R42" i="30"/>
  <c r="F25" i="3"/>
  <c r="F124" i="3" s="1"/>
  <c r="F157" i="3" s="1"/>
  <c r="K22" i="9"/>
  <c r="W164" i="3"/>
  <c r="W146" i="3"/>
  <c r="I149" i="3"/>
  <c r="I202" i="3"/>
  <c r="I210" i="3" s="1"/>
  <c r="W147" i="3"/>
  <c r="W165" i="3"/>
  <c r="I20" i="9"/>
  <c r="I203" i="3" l="1"/>
  <c r="I211" i="3" s="1"/>
  <c r="R38" i="30"/>
  <c r="F126" i="3"/>
  <c r="F152" i="3" s="1"/>
  <c r="F183" i="3" s="1"/>
  <c r="W130" i="3"/>
  <c r="W151" i="3"/>
  <c r="I180" i="3"/>
  <c r="W131" i="3" s="1"/>
  <c r="I150" i="3"/>
  <c r="F156" i="3"/>
  <c r="J20" i="9"/>
  <c r="K20" i="9" s="1"/>
  <c r="I204" i="3" l="1"/>
  <c r="I212" i="3" s="1"/>
  <c r="R39" i="30"/>
  <c r="F188" i="3"/>
  <c r="W152" i="3"/>
  <c r="I181" i="3"/>
  <c r="M18" i="9"/>
  <c r="H25" i="3"/>
  <c r="H124" i="3" s="1"/>
  <c r="Q15" i="30" s="1"/>
  <c r="H157" i="3" l="1"/>
  <c r="H126" i="3"/>
  <c r="Q18" i="30" s="1"/>
  <c r="AF12" i="30" s="1"/>
  <c r="C11" i="19"/>
  <c r="AF21" i="30" l="1"/>
  <c r="H156" i="3"/>
  <c r="H188" i="3"/>
  <c r="H152" i="3"/>
  <c r="E11" i="19"/>
  <c r="E40" i="19" s="1"/>
  <c r="E41" i="19" s="1"/>
  <c r="E42" i="19" s="1"/>
  <c r="H183" i="3" l="1"/>
  <c r="Q41" i="30"/>
  <c r="E37" i="19"/>
  <c r="J21" i="9" l="1"/>
  <c r="G25" i="3" l="1"/>
  <c r="G124" i="3" s="1"/>
  <c r="P15" i="30" s="1"/>
  <c r="W15" i="30" s="1"/>
  <c r="X15" i="30" s="1"/>
  <c r="K21" i="9"/>
  <c r="G126" i="3" l="1"/>
  <c r="G157" i="3"/>
  <c r="C11" i="2"/>
  <c r="F12" i="9"/>
  <c r="G12" i="9" s="1"/>
  <c r="D23" i="3" s="1"/>
  <c r="F11" i="9"/>
  <c r="G11" i="9" s="1"/>
  <c r="E23" i="3" s="1"/>
  <c r="F10" i="9"/>
  <c r="G10" i="9" s="1"/>
  <c r="I10" i="9" s="1"/>
  <c r="J10" i="9" s="1"/>
  <c r="O188" i="3" l="1"/>
  <c r="P18" i="30"/>
  <c r="G152" i="3"/>
  <c r="G188" i="3"/>
  <c r="G156" i="3"/>
  <c r="E11" i="2"/>
  <c r="C35" i="17"/>
  <c r="C36" i="17" s="1"/>
  <c r="C60" i="3" s="1"/>
  <c r="F16" i="17"/>
  <c r="I11" i="9"/>
  <c r="J11" i="9" s="1"/>
  <c r="E25" i="3" s="1"/>
  <c r="E124" i="3" s="1"/>
  <c r="I12" i="9"/>
  <c r="J12" i="9" s="1"/>
  <c r="D25" i="3" s="1"/>
  <c r="D124" i="3" s="1"/>
  <c r="G183" i="3" l="1"/>
  <c r="P41" i="30"/>
  <c r="W41" i="30" s="1"/>
  <c r="X41" i="30" s="1"/>
  <c r="AE12" i="30"/>
  <c r="W18" i="30"/>
  <c r="X18" i="30" s="1"/>
  <c r="E157" i="3"/>
  <c r="E126" i="3"/>
  <c r="D157" i="3"/>
  <c r="D126" i="3"/>
  <c r="E38" i="19"/>
  <c r="E38" i="2"/>
  <c r="E41" i="2"/>
  <c r="E42" i="2" s="1"/>
  <c r="E43" i="2" s="1"/>
  <c r="E39" i="2"/>
  <c r="BT30" i="16"/>
  <c r="BT31" i="16" s="1"/>
  <c r="D58" i="3" s="1"/>
  <c r="D135" i="3" s="1"/>
  <c r="D153" i="3" s="1"/>
  <c r="CA28" i="16"/>
  <c r="CA29" i="16"/>
  <c r="BS30" i="16"/>
  <c r="BS31" i="16" s="1"/>
  <c r="E58" i="3" s="1"/>
  <c r="E135" i="3" s="1"/>
  <c r="CB28" i="16"/>
  <c r="CB29" i="16"/>
  <c r="BX23" i="16"/>
  <c r="BX28" i="16"/>
  <c r="BY28" i="16"/>
  <c r="BY29" i="16"/>
  <c r="BZ28" i="16"/>
  <c r="BZ29" i="16"/>
  <c r="BX29" i="16"/>
  <c r="CC24" i="16"/>
  <c r="G21" i="17"/>
  <c r="G35" i="17"/>
  <c r="E21" i="17"/>
  <c r="E35" i="17"/>
  <c r="D21" i="17"/>
  <c r="D35" i="17"/>
  <c r="H21" i="17"/>
  <c r="H24" i="17" s="1"/>
  <c r="H35" i="17"/>
  <c r="H36" i="17" s="1"/>
  <c r="H60" i="3" s="1"/>
  <c r="F21" i="17"/>
  <c r="F35" i="17"/>
  <c r="C21" i="17"/>
  <c r="CA31" i="16"/>
  <c r="CA30" i="16"/>
  <c r="CA23" i="16"/>
  <c r="C18" i="17"/>
  <c r="C17" i="17"/>
  <c r="C16" i="17"/>
  <c r="E17" i="17"/>
  <c r="E16" i="17"/>
  <c r="E18" i="17"/>
  <c r="F18" i="17"/>
  <c r="F17" i="17"/>
  <c r="CB23" i="16"/>
  <c r="CB30" i="16"/>
  <c r="G16" i="17"/>
  <c r="G18" i="17"/>
  <c r="G17" i="17"/>
  <c r="D18" i="17"/>
  <c r="D16" i="17"/>
  <c r="D17" i="17"/>
  <c r="H17" i="17"/>
  <c r="H16" i="17"/>
  <c r="H18" i="17"/>
  <c r="BZ30" i="16"/>
  <c r="BY23" i="16"/>
  <c r="BY30" i="16"/>
  <c r="BZ23" i="16"/>
  <c r="BX30" i="16"/>
  <c r="CC34" i="16"/>
  <c r="L40" i="4"/>
  <c r="M32" i="4"/>
  <c r="L32" i="4"/>
  <c r="L17" i="4"/>
  <c r="L16" i="4"/>
  <c r="P13" i="4"/>
  <c r="AE21" i="30" l="1"/>
  <c r="D152" i="3"/>
  <c r="D183" i="3" s="1"/>
  <c r="D156" i="3"/>
  <c r="D188" i="3"/>
  <c r="E188" i="3"/>
  <c r="E156" i="3"/>
  <c r="E152" i="3"/>
  <c r="E183" i="3" s="1"/>
  <c r="E168" i="3"/>
  <c r="E153" i="3"/>
  <c r="E184" i="3" s="1"/>
  <c r="D168" i="3"/>
  <c r="D184" i="3"/>
  <c r="F36" i="17"/>
  <c r="F60" i="3" s="1"/>
  <c r="D36" i="17"/>
  <c r="D60" i="3" s="1"/>
  <c r="E36" i="17"/>
  <c r="E60" i="3" s="1"/>
  <c r="G36" i="17"/>
  <c r="G60" i="3" s="1"/>
  <c r="F34" i="2"/>
  <c r="CC23" i="16"/>
  <c r="CC27" i="16"/>
  <c r="CD23" i="16"/>
  <c r="CD28" i="16"/>
  <c r="CD29" i="16"/>
  <c r="BQ30" i="16"/>
  <c r="CC33" i="16"/>
  <c r="BR30" i="16"/>
  <c r="CC28" i="16"/>
  <c r="CC29" i="16"/>
  <c r="CE35" i="16"/>
  <c r="CE28" i="16"/>
  <c r="BP30" i="16"/>
  <c r="BP31" i="16" s="1"/>
  <c r="H58" i="3" s="1"/>
  <c r="H135" i="3" s="1"/>
  <c r="Q27" i="30" s="1"/>
  <c r="CE29" i="16"/>
  <c r="CE36" i="16"/>
  <c r="CK19" i="16"/>
  <c r="CK20" i="16" s="1"/>
  <c r="CK22" i="16"/>
  <c r="CK23" i="16" s="1"/>
  <c r="CC30" i="16"/>
  <c r="CC25" i="16"/>
  <c r="CC31" i="16"/>
  <c r="CC26" i="16"/>
  <c r="CC32" i="16"/>
  <c r="CD30" i="16"/>
  <c r="D24" i="17"/>
  <c r="D25" i="17" s="1"/>
  <c r="D26" i="17" s="1"/>
  <c r="D59" i="3" s="1"/>
  <c r="C24" i="17"/>
  <c r="E24" i="17"/>
  <c r="E25" i="17" s="1"/>
  <c r="E26" i="17" s="1"/>
  <c r="E59" i="3" s="1"/>
  <c r="F24" i="17"/>
  <c r="F25" i="17" s="1"/>
  <c r="F26" i="17" s="1"/>
  <c r="F59" i="3" s="1"/>
  <c r="G24" i="17"/>
  <c r="CE31" i="16"/>
  <c r="CE30" i="16"/>
  <c r="CE32" i="16"/>
  <c r="CE23" i="16"/>
  <c r="CE24" i="16"/>
  <c r="CE33" i="16"/>
  <c r="CE26" i="16"/>
  <c r="CE34" i="16"/>
  <c r="CE27" i="16"/>
  <c r="CE25" i="16"/>
  <c r="F62" i="3" l="1"/>
  <c r="F136" i="3" s="1"/>
  <c r="F169" i="3" s="1"/>
  <c r="E62" i="3"/>
  <c r="E136" i="3" s="1"/>
  <c r="E169" i="3" s="1"/>
  <c r="H168" i="3"/>
  <c r="H153" i="3"/>
  <c r="D62" i="3"/>
  <c r="BR31" i="16"/>
  <c r="F58" i="3" s="1"/>
  <c r="F135" i="3" s="1"/>
  <c r="BQ31" i="16"/>
  <c r="G58" i="3" s="1"/>
  <c r="O201" i="3"/>
  <c r="G25" i="17"/>
  <c r="G26" i="17" s="1"/>
  <c r="G59" i="3" s="1"/>
  <c r="G62" i="3" s="1"/>
  <c r="BO35" i="16"/>
  <c r="C25" i="17"/>
  <c r="C26" i="17" s="1"/>
  <c r="C59" i="3" s="1"/>
  <c r="C62" i="3" s="1"/>
  <c r="H25" i="17"/>
  <c r="H26" i="17" s="1"/>
  <c r="H59" i="3" s="1"/>
  <c r="H62" i="3" s="1"/>
  <c r="C34" i="2"/>
  <c r="H184" i="3" l="1"/>
  <c r="Q42" i="30"/>
  <c r="G135" i="3"/>
  <c r="P27" i="30" s="1"/>
  <c r="W27" i="30" s="1"/>
  <c r="X27" i="30" s="1"/>
  <c r="E63" i="3"/>
  <c r="E137" i="3" s="1"/>
  <c r="E195" i="3" s="1"/>
  <c r="C63" i="3"/>
  <c r="C136" i="3"/>
  <c r="C169" i="3" s="1"/>
  <c r="D136" i="3"/>
  <c r="D169" i="3" s="1"/>
  <c r="D63" i="3"/>
  <c r="D137" i="3" s="1"/>
  <c r="D151" i="3" s="1"/>
  <c r="H63" i="3"/>
  <c r="H137" i="3" s="1"/>
  <c r="Q29" i="30" s="1"/>
  <c r="AF14" i="30" s="1"/>
  <c r="H136" i="3"/>
  <c r="G63" i="3"/>
  <c r="G137" i="3" s="1"/>
  <c r="P29" i="30" s="1"/>
  <c r="G136" i="3"/>
  <c r="P28" i="30" s="1"/>
  <c r="W28" i="30" s="1"/>
  <c r="X28" i="30" s="1"/>
  <c r="F63" i="3"/>
  <c r="F137" i="3" s="1"/>
  <c r="G153" i="3"/>
  <c r="P42" i="30" s="1"/>
  <c r="W42" i="30" s="1"/>
  <c r="X42" i="30" s="1"/>
  <c r="G168" i="3"/>
  <c r="F153" i="3"/>
  <c r="F184" i="3" s="1"/>
  <c r="F168" i="3"/>
  <c r="Y169" i="3"/>
  <c r="Y170" i="3"/>
  <c r="F37" i="19"/>
  <c r="D33" i="19"/>
  <c r="AE14" i="30" l="1"/>
  <c r="W29" i="30"/>
  <c r="X29" i="30" s="1"/>
  <c r="H169" i="3"/>
  <c r="Q28" i="30"/>
  <c r="AF23" i="30"/>
  <c r="AF17" i="30"/>
  <c r="AF26" i="30" s="1"/>
  <c r="F21" i="2"/>
  <c r="F41" i="2" s="1"/>
  <c r="F42" i="2" s="1"/>
  <c r="F43" i="2" s="1"/>
  <c r="G184" i="3"/>
  <c r="G169" i="3"/>
  <c r="E165" i="3"/>
  <c r="E148" i="3"/>
  <c r="E149" i="3" s="1"/>
  <c r="E151" i="3"/>
  <c r="E182" i="3" s="1"/>
  <c r="G165" i="3"/>
  <c r="G151" i="3"/>
  <c r="P40" i="30" s="1"/>
  <c r="G195" i="3"/>
  <c r="G148" i="3"/>
  <c r="P37" i="30" s="1"/>
  <c r="H165" i="3"/>
  <c r="H195" i="3"/>
  <c r="H151" i="3"/>
  <c r="H148" i="3"/>
  <c r="Q37" i="30" s="1"/>
  <c r="D195" i="3"/>
  <c r="D165" i="3"/>
  <c r="D182" i="3"/>
  <c r="D148" i="3"/>
  <c r="F165" i="3"/>
  <c r="F195" i="3"/>
  <c r="F151" i="3"/>
  <c r="F182" i="3" s="1"/>
  <c r="F148" i="3"/>
  <c r="T125" i="3" s="1"/>
  <c r="F65" i="4"/>
  <c r="E65" i="4"/>
  <c r="D65" i="4"/>
  <c r="C65" i="4"/>
  <c r="G65" i="4"/>
  <c r="C62" i="4"/>
  <c r="D62" i="4"/>
  <c r="E62" i="4"/>
  <c r="F62" i="4"/>
  <c r="G62" i="4"/>
  <c r="M13" i="4"/>
  <c r="N13" i="4"/>
  <c r="O13" i="4"/>
  <c r="L13" i="4"/>
  <c r="D61" i="4"/>
  <c r="E61" i="4"/>
  <c r="F61" i="4"/>
  <c r="G61" i="4"/>
  <c r="C61" i="4"/>
  <c r="A61" i="4"/>
  <c r="D60" i="4"/>
  <c r="E60" i="4"/>
  <c r="F60" i="4"/>
  <c r="G60" i="4"/>
  <c r="C60" i="4"/>
  <c r="A60" i="4"/>
  <c r="D59" i="4"/>
  <c r="E59" i="4"/>
  <c r="F59" i="4"/>
  <c r="G59" i="4"/>
  <c r="C59" i="4"/>
  <c r="A59" i="4"/>
  <c r="D57" i="4"/>
  <c r="M24" i="4" s="1"/>
  <c r="E57" i="4"/>
  <c r="N24" i="4" s="1"/>
  <c r="F57" i="4"/>
  <c r="O24" i="4" s="1"/>
  <c r="G57" i="4"/>
  <c r="P24" i="4" s="1"/>
  <c r="C57" i="4"/>
  <c r="L24" i="4" s="1"/>
  <c r="A57" i="4"/>
  <c r="D55" i="4"/>
  <c r="E55" i="4"/>
  <c r="F55" i="4"/>
  <c r="G55" i="4"/>
  <c r="C55" i="4"/>
  <c r="A55" i="4"/>
  <c r="D54" i="4"/>
  <c r="E54" i="4"/>
  <c r="F54" i="4"/>
  <c r="G54" i="4"/>
  <c r="C54" i="4"/>
  <c r="A54" i="4"/>
  <c r="D53" i="4"/>
  <c r="E53" i="4"/>
  <c r="F53" i="4"/>
  <c r="G53" i="4"/>
  <c r="C53" i="4"/>
  <c r="A53" i="4"/>
  <c r="D52" i="4"/>
  <c r="E52" i="4"/>
  <c r="F52" i="4"/>
  <c r="G52" i="4"/>
  <c r="C52" i="4"/>
  <c r="A52" i="4"/>
  <c r="D22" i="4"/>
  <c r="E22" i="4"/>
  <c r="F22" i="4"/>
  <c r="G22" i="4"/>
  <c r="C22" i="4"/>
  <c r="D44" i="4"/>
  <c r="F44" i="4"/>
  <c r="G44" i="4"/>
  <c r="C44" i="4"/>
  <c r="E44" i="4"/>
  <c r="D37" i="4"/>
  <c r="E37" i="4"/>
  <c r="F37" i="4"/>
  <c r="G37" i="4"/>
  <c r="C37" i="4"/>
  <c r="D11" i="4"/>
  <c r="E11" i="4"/>
  <c r="F11" i="4"/>
  <c r="G11" i="4"/>
  <c r="C11" i="4"/>
  <c r="D28" i="4"/>
  <c r="E28" i="4"/>
  <c r="F28" i="4"/>
  <c r="G28" i="4"/>
  <c r="C28" i="4"/>
  <c r="G4" i="4"/>
  <c r="F4" i="4"/>
  <c r="E4" i="4"/>
  <c r="D4" i="4"/>
  <c r="C4" i="4"/>
  <c r="H182" i="3" l="1"/>
  <c r="Q40" i="30"/>
  <c r="AE23" i="30"/>
  <c r="AE17" i="30"/>
  <c r="AE26" i="30" s="1"/>
  <c r="G182" i="3"/>
  <c r="E179" i="3"/>
  <c r="S147" i="3" s="1"/>
  <c r="S146" i="3"/>
  <c r="E202" i="3"/>
  <c r="E210" i="3" s="1"/>
  <c r="F202" i="3"/>
  <c r="F210" i="3" s="1"/>
  <c r="F149" i="3"/>
  <c r="F179" i="3"/>
  <c r="T146" i="3"/>
  <c r="T164" i="3"/>
  <c r="H149" i="3"/>
  <c r="Q38" i="30" s="1"/>
  <c r="H179" i="3"/>
  <c r="V147" i="3" s="1"/>
  <c r="H202" i="3"/>
  <c r="H210" i="3" s="1"/>
  <c r="V146" i="3"/>
  <c r="D202" i="3"/>
  <c r="D210" i="3" s="1"/>
  <c r="D149" i="3"/>
  <c r="D179" i="3"/>
  <c r="R147" i="3" s="1"/>
  <c r="R146" i="3"/>
  <c r="G149" i="3"/>
  <c r="P38" i="30" s="1"/>
  <c r="G179" i="3"/>
  <c r="G202" i="3"/>
  <c r="G210" i="3" s="1"/>
  <c r="U146" i="3"/>
  <c r="E150" i="3"/>
  <c r="E203" i="3"/>
  <c r="E211" i="3" s="1"/>
  <c r="S151" i="3"/>
  <c r="E180" i="3"/>
  <c r="S130" i="3"/>
  <c r="V164" i="3"/>
  <c r="AE195" i="3"/>
  <c r="D21" i="2"/>
  <c r="C21" i="2"/>
  <c r="V125" i="3"/>
  <c r="O199" i="3"/>
  <c r="G51" i="4"/>
  <c r="F51" i="4"/>
  <c r="C51" i="4"/>
  <c r="E51" i="4"/>
  <c r="D51" i="4"/>
  <c r="U147" i="3" l="1"/>
  <c r="H180" i="3"/>
  <c r="H150" i="3"/>
  <c r="Q39" i="30" s="1"/>
  <c r="H203" i="3"/>
  <c r="H211" i="3" s="1"/>
  <c r="V151" i="3"/>
  <c r="V130" i="3"/>
  <c r="S152" i="3"/>
  <c r="S131" i="3"/>
  <c r="D180" i="3"/>
  <c r="D203" i="3"/>
  <c r="D211" i="3" s="1"/>
  <c r="R151" i="3"/>
  <c r="D150" i="3"/>
  <c r="R130" i="3"/>
  <c r="T147" i="3"/>
  <c r="T165" i="3"/>
  <c r="G150" i="3"/>
  <c r="P39" i="30" s="1"/>
  <c r="G180" i="3"/>
  <c r="G203" i="3"/>
  <c r="G211" i="3" s="1"/>
  <c r="U151" i="3"/>
  <c r="U130" i="3"/>
  <c r="E181" i="3"/>
  <c r="E204" i="3"/>
  <c r="E212" i="3" s="1"/>
  <c r="F180" i="3"/>
  <c r="F203" i="3"/>
  <c r="F211" i="3" s="1"/>
  <c r="F150" i="3"/>
  <c r="T151" i="3"/>
  <c r="T130" i="3"/>
  <c r="T169" i="3"/>
  <c r="V165" i="3"/>
  <c r="V169" i="3"/>
  <c r="X164" i="3"/>
  <c r="F38" i="2"/>
  <c r="W125" i="3"/>
  <c r="X125" i="3"/>
  <c r="F39" i="2"/>
  <c r="F38" i="19"/>
  <c r="D34" i="2"/>
  <c r="T152" i="3" l="1"/>
  <c r="T131" i="3"/>
  <c r="D204" i="3"/>
  <c r="D212" i="3" s="1"/>
  <c r="D181" i="3"/>
  <c r="G181" i="3"/>
  <c r="G204" i="3"/>
  <c r="G212" i="3" s="1"/>
  <c r="H181" i="3"/>
  <c r="H204" i="3"/>
  <c r="H212" i="3" s="1"/>
  <c r="F181" i="3"/>
  <c r="F204" i="3"/>
  <c r="F212" i="3" s="1"/>
  <c r="U152" i="3"/>
  <c r="U131" i="3"/>
  <c r="R152" i="3"/>
  <c r="R131" i="3"/>
  <c r="V152" i="3"/>
  <c r="V131" i="3"/>
  <c r="X169" i="3"/>
  <c r="W169" i="3"/>
  <c r="X165" i="3"/>
  <c r="W170" i="3"/>
  <c r="W126" i="3"/>
  <c r="X126" i="3"/>
  <c r="OO19" i="15"/>
  <c r="OO23" i="15"/>
  <c r="OO24" i="15" s="1"/>
  <c r="X170" i="3" l="1"/>
  <c r="OJ26" i="15"/>
  <c r="OO26" i="15"/>
  <c r="CA24" i="16"/>
  <c r="CA16" i="16"/>
  <c r="CA33" i="16" s="1"/>
  <c r="CA15" i="16"/>
  <c r="BX14" i="16"/>
  <c r="BX16" i="16" l="1"/>
  <c r="BX33" i="16" s="1"/>
  <c r="BX31" i="16"/>
  <c r="CA26" i="16"/>
  <c r="BX15" i="16"/>
  <c r="CA17" i="16"/>
  <c r="CA32" i="16"/>
  <c r="CA25" i="16"/>
  <c r="BX24" i="16"/>
  <c r="CD14" i="16"/>
  <c r="BZ14" i="16"/>
  <c r="CB14" i="16"/>
  <c r="BY14" i="16"/>
  <c r="BY31" i="16" s="1"/>
  <c r="BX26" i="16" l="1"/>
  <c r="BX17" i="16"/>
  <c r="BX34" i="16" s="1"/>
  <c r="CA27" i="16"/>
  <c r="CA34" i="16"/>
  <c r="CB24" i="16"/>
  <c r="CB31" i="16"/>
  <c r="BZ15" i="16"/>
  <c r="BZ32" i="16" s="1"/>
  <c r="BZ31" i="16"/>
  <c r="CD24" i="16"/>
  <c r="CD31" i="16"/>
  <c r="BX25" i="16"/>
  <c r="BX32" i="16"/>
  <c r="CD16" i="16"/>
  <c r="CD15" i="16"/>
  <c r="BY24" i="16"/>
  <c r="BY15" i="16"/>
  <c r="BY16" i="16"/>
  <c r="BY33" i="16" s="1"/>
  <c r="BX27" i="16"/>
  <c r="CB16" i="16"/>
  <c r="CB15" i="16"/>
  <c r="BZ24" i="16"/>
  <c r="BZ16" i="16"/>
  <c r="BZ33" i="16" s="1"/>
  <c r="CD17" i="16" l="1"/>
  <c r="CD34" i="16" s="1"/>
  <c r="CD25" i="16"/>
  <c r="CD32" i="16"/>
  <c r="CB17" i="16"/>
  <c r="CB25" i="16"/>
  <c r="CB32" i="16"/>
  <c r="CB26" i="16"/>
  <c r="CB33" i="16"/>
  <c r="BY17" i="16"/>
  <c r="BY34" i="16" s="1"/>
  <c r="BY32" i="16"/>
  <c r="CD26" i="16"/>
  <c r="CD33" i="16"/>
  <c r="BZ25" i="16"/>
  <c r="BY25" i="16"/>
  <c r="BZ17" i="16"/>
  <c r="BZ26" i="16"/>
  <c r="BY26" i="16"/>
  <c r="CD27" i="16" l="1"/>
  <c r="BZ34" i="16"/>
  <c r="CB27" i="16"/>
  <c r="CB34" i="16"/>
  <c r="BY27" i="16"/>
  <c r="BZ27" i="16"/>
  <c r="R169" i="3" l="1"/>
  <c r="O195" i="3"/>
  <c r="R164" i="3" l="1"/>
  <c r="U164" i="3"/>
  <c r="R125" i="3"/>
  <c r="U125" i="3"/>
  <c r="S164" i="3"/>
  <c r="R165" i="3"/>
  <c r="U169" i="3" l="1"/>
  <c r="U165" i="3"/>
  <c r="S169" i="3"/>
  <c r="S165" i="3"/>
  <c r="S125" i="3" l="1"/>
  <c r="R170" i="3" l="1"/>
  <c r="U170" i="3" l="1"/>
  <c r="U126" i="3"/>
  <c r="S170" i="3"/>
  <c r="S126" i="3"/>
  <c r="V170" i="3"/>
  <c r="V126" i="3"/>
  <c r="T170" i="3"/>
  <c r="T126" i="3"/>
  <c r="R126" i="3"/>
  <c r="BQ55" i="15"/>
  <c r="BS55" i="15" s="1"/>
  <c r="BW55" i="15"/>
  <c r="BX55" i="15" s="1"/>
  <c r="BZ55" i="15"/>
  <c r="BQ56" i="15"/>
  <c r="BS56" i="15" s="1"/>
  <c r="BW56" i="15"/>
  <c r="BX56" i="15" s="1"/>
  <c r="BZ56" i="15"/>
  <c r="BQ57" i="15"/>
  <c r="BR57" i="15" s="1"/>
  <c r="BW57" i="15"/>
  <c r="BX57" i="15" s="1"/>
  <c r="BZ57" i="15"/>
  <c r="BQ58" i="15"/>
  <c r="BS58" i="15" s="1"/>
  <c r="BW58" i="15"/>
  <c r="BX58" i="15" s="1"/>
  <c r="BZ58" i="15"/>
  <c r="BQ59" i="15"/>
  <c r="BR59" i="15" s="1"/>
  <c r="BW59" i="15"/>
  <c r="BX59" i="15" s="1"/>
  <c r="BZ59" i="15"/>
  <c r="BQ60" i="15"/>
  <c r="BW60" i="15"/>
  <c r="BX60" i="15" s="1"/>
  <c r="BZ60" i="15"/>
  <c r="BQ61" i="15"/>
  <c r="BS61" i="15" s="1"/>
  <c r="BW61" i="15"/>
  <c r="BX61" i="15" s="1"/>
  <c r="BZ61" i="15"/>
  <c r="BQ62" i="15"/>
  <c r="BR62" i="15" s="1"/>
  <c r="BW62" i="15"/>
  <c r="BX62" i="15" s="1"/>
  <c r="BZ62" i="15"/>
  <c r="BQ63" i="15"/>
  <c r="BR63" i="15" s="1"/>
  <c r="BW63" i="15"/>
  <c r="BX63" i="15" s="1"/>
  <c r="BZ63" i="15"/>
  <c r="BQ64" i="15"/>
  <c r="BW64" i="15"/>
  <c r="BX64" i="15" s="1"/>
  <c r="BZ64" i="15"/>
  <c r="BQ65" i="15"/>
  <c r="BR65" i="15" s="1"/>
  <c r="BW65" i="15"/>
  <c r="BX65" i="15" s="1"/>
  <c r="BZ65" i="15"/>
  <c r="BQ66" i="15"/>
  <c r="BS66" i="15" s="1"/>
  <c r="BW66" i="15"/>
  <c r="BX66" i="15" s="1"/>
  <c r="BZ66" i="15"/>
  <c r="BQ67" i="15"/>
  <c r="BS67" i="15" s="1"/>
  <c r="BW67" i="15"/>
  <c r="BX67" i="15" s="1"/>
  <c r="BZ67" i="15"/>
  <c r="BQ68" i="15"/>
  <c r="BW68" i="15"/>
  <c r="BX68" i="15" s="1"/>
  <c r="BZ68" i="15"/>
  <c r="BQ69" i="15"/>
  <c r="BW69" i="15"/>
  <c r="BX69" i="15" s="1"/>
  <c r="BZ69" i="15"/>
  <c r="BQ70" i="15"/>
  <c r="BS70" i="15" s="1"/>
  <c r="BS84" i="15" s="1"/>
  <c r="BW70" i="15"/>
  <c r="BX70" i="15" s="1"/>
  <c r="BZ70" i="15"/>
  <c r="BQ71" i="15"/>
  <c r="BS71" i="15" s="1"/>
  <c r="BS83" i="15" s="1"/>
  <c r="BW71" i="15"/>
  <c r="BX71" i="15" s="1"/>
  <c r="BZ71" i="15"/>
  <c r="BQ72" i="15"/>
  <c r="BS72" i="15" s="1"/>
  <c r="BS82" i="15" s="1"/>
  <c r="BW72" i="15"/>
  <c r="BX72" i="15" s="1"/>
  <c r="BZ72" i="15"/>
  <c r="BQ73" i="15"/>
  <c r="BS73" i="15" s="1"/>
  <c r="BW73" i="15"/>
  <c r="BX73" i="15" s="1"/>
  <c r="BZ73" i="15"/>
  <c r="BR70" i="15" l="1"/>
  <c r="BS59" i="15"/>
  <c r="BR72" i="15"/>
  <c r="BR82" i="15" s="1"/>
  <c r="BT55" i="15"/>
  <c r="BS68" i="15"/>
  <c r="BQ82" i="15"/>
  <c r="BS63" i="15"/>
  <c r="BS65" i="15"/>
  <c r="BQ85" i="15"/>
  <c r="CF49" i="15"/>
  <c r="BS69" i="15"/>
  <c r="BS85" i="15" s="1"/>
  <c r="BQ83" i="15"/>
  <c r="BS64" i="15"/>
  <c r="BQ84" i="15"/>
  <c r="BS57" i="15"/>
  <c r="BR55" i="15"/>
  <c r="BU55" i="15" s="1"/>
  <c r="CF50" i="15"/>
  <c r="CE51" i="15"/>
  <c r="CF52" i="15"/>
  <c r="CE52" i="15"/>
  <c r="BR68" i="15"/>
  <c r="BR66" i="15"/>
  <c r="BR64" i="15"/>
  <c r="BT62" i="15"/>
  <c r="BR58" i="15"/>
  <c r="CF51" i="15"/>
  <c r="BR73" i="15"/>
  <c r="BR71" i="15"/>
  <c r="BR69" i="15"/>
  <c r="BR67" i="15"/>
  <c r="BT61" i="15"/>
  <c r="BR61" i="15"/>
  <c r="BU61" i="15" s="1"/>
  <c r="CE49" i="15"/>
  <c r="CE50" i="15"/>
  <c r="BR60" i="15"/>
  <c r="BS60" i="15"/>
  <c r="BT60" i="15"/>
  <c r="BR84" i="15"/>
  <c r="BT56" i="15"/>
  <c r="BR56" i="15"/>
  <c r="CF53" i="15"/>
  <c r="CE53" i="15"/>
  <c r="BT63" i="15"/>
  <c r="BT57" i="15"/>
  <c r="BT59" i="15"/>
  <c r="BU59" i="15" s="1"/>
  <c r="BS62" i="15"/>
  <c r="BT73" i="15"/>
  <c r="BT72" i="15"/>
  <c r="BT82" i="15" s="1"/>
  <c r="BT71" i="15"/>
  <c r="BT83" i="15" s="1"/>
  <c r="BT70" i="15"/>
  <c r="BT84" i="15" s="1"/>
  <c r="BT69" i="15"/>
  <c r="BT68" i="15"/>
  <c r="BT67" i="15"/>
  <c r="BT66" i="15"/>
  <c r="BT65" i="15"/>
  <c r="BT64" i="15"/>
  <c r="BT58" i="15"/>
  <c r="CF57" i="15" l="1"/>
  <c r="CF61" i="15" s="1"/>
  <c r="BU56" i="15"/>
  <c r="BS81" i="15"/>
  <c r="BU62" i="15"/>
  <c r="BU57" i="15"/>
  <c r="BU63" i="15"/>
  <c r="BU65" i="15"/>
  <c r="BU60" i="15"/>
  <c r="CF58" i="15"/>
  <c r="CF62" i="15" s="1"/>
  <c r="BU73" i="15"/>
  <c r="BR83" i="15"/>
  <c r="BU71" i="15"/>
  <c r="CD53" i="15" s="1"/>
  <c r="BU72" i="15"/>
  <c r="CE57" i="15"/>
  <c r="CE61" i="15" s="1"/>
  <c r="BU58" i="15"/>
  <c r="BU64" i="15"/>
  <c r="BU84" i="15" s="1"/>
  <c r="BX84" i="15" s="1"/>
  <c r="BU70" i="15"/>
  <c r="BU67" i="15"/>
  <c r="BU66" i="15"/>
  <c r="BU69" i="15"/>
  <c r="BU83" i="15" s="1"/>
  <c r="BX83" i="15" s="1"/>
  <c r="BU68" i="15"/>
  <c r="BR85" i="15"/>
  <c r="BS80" i="15"/>
  <c r="BR81" i="15"/>
  <c r="BT81" i="15"/>
  <c r="BT85" i="15"/>
  <c r="CD49" i="15"/>
  <c r="BT80" i="15"/>
  <c r="CE58" i="15"/>
  <c r="CE62" i="15" s="1"/>
  <c r="BR80" i="15"/>
  <c r="BU85" i="15" l="1"/>
  <c r="BX85" i="15" s="1"/>
  <c r="BU82" i="15"/>
  <c r="BX82" i="15" s="1"/>
  <c r="CD51" i="15"/>
  <c r="CD57" i="15" s="1"/>
  <c r="M37" i="3" s="1"/>
  <c r="CD52" i="15"/>
  <c r="CD50" i="15"/>
  <c r="CD58" i="15" s="1"/>
  <c r="M38" i="3" s="1"/>
  <c r="CD61" i="15" l="1"/>
  <c r="M128" i="3"/>
  <c r="CD62" i="15"/>
  <c r="M129" i="3"/>
  <c r="V21" i="30" s="1"/>
  <c r="W21" i="30" s="1"/>
  <c r="X21" i="30" s="1"/>
  <c r="M190" i="3" l="1"/>
  <c r="V20" i="30"/>
  <c r="W20" i="30" s="1"/>
  <c r="X20" i="30" s="1"/>
  <c r="O128" i="3"/>
  <c r="O190" i="3" s="1"/>
  <c r="M161" i="3"/>
  <c r="AE161" i="3" s="1"/>
  <c r="AE128" i="3"/>
  <c r="AE190" i="3" s="1"/>
  <c r="M162" i="3"/>
  <c r="M191" i="3"/>
  <c r="O129" i="3"/>
  <c r="O191" i="3" s="1"/>
  <c r="AE129" i="3"/>
  <c r="AE191" i="3" s="1"/>
  <c r="O161" i="3"/>
  <c r="O162" i="3" l="1"/>
  <c r="AE162" i="3"/>
  <c r="CD44" i="15" l="1"/>
  <c r="BE45" i="15" s="1"/>
  <c r="BG54" i="15" l="1"/>
  <c r="BG46" i="15"/>
  <c r="BG52" i="15"/>
  <c r="BQ52" i="15" s="1"/>
  <c r="BG48" i="15"/>
  <c r="BQ48" i="15" s="1"/>
  <c r="BS48" i="15" s="1"/>
  <c r="BG49" i="15"/>
  <c r="BR48" i="15"/>
  <c r="BT48" i="15"/>
  <c r="BZ54" i="15"/>
  <c r="BW54" i="15"/>
  <c r="BX54" i="15" s="1"/>
  <c r="BQ54" i="15"/>
  <c r="BG47" i="15"/>
  <c r="BG50" i="15"/>
  <c r="BG53" i="15"/>
  <c r="BG51" i="15"/>
  <c r="BZ46" i="15"/>
  <c r="BZ48" i="15" l="1"/>
  <c r="BQ49" i="15"/>
  <c r="BW49" i="15"/>
  <c r="BX49" i="15" s="1"/>
  <c r="BW46" i="15"/>
  <c r="BX46" i="15" s="1"/>
  <c r="BQ46" i="15"/>
  <c r="BZ49" i="15"/>
  <c r="BW52" i="15"/>
  <c r="BX52" i="15" s="1"/>
  <c r="BZ52" i="15"/>
  <c r="BW48" i="15"/>
  <c r="BX48" i="15" s="1"/>
  <c r="BZ50" i="15"/>
  <c r="BQ50" i="15"/>
  <c r="BW50" i="15"/>
  <c r="BX50" i="15" s="1"/>
  <c r="BR52" i="15"/>
  <c r="BS52" i="15"/>
  <c r="BT52" i="15"/>
  <c r="BQ47" i="15"/>
  <c r="BW47" i="15"/>
  <c r="BZ47" i="15"/>
  <c r="BG76" i="15"/>
  <c r="BU48" i="15"/>
  <c r="BQ51" i="15"/>
  <c r="BW51" i="15"/>
  <c r="BX51" i="15" s="1"/>
  <c r="BZ51" i="15"/>
  <c r="BZ53" i="15"/>
  <c r="BQ53" i="15"/>
  <c r="BW53" i="15"/>
  <c r="BX53" i="15" s="1"/>
  <c r="BT54" i="15"/>
  <c r="BS54" i="15"/>
  <c r="BR54" i="15"/>
  <c r="BG77" i="15"/>
  <c r="BI77" i="15" s="1"/>
  <c r="BZ75" i="15" l="1"/>
  <c r="CF48" i="15"/>
  <c r="CF54" i="15" s="1"/>
  <c r="BU54" i="15"/>
  <c r="BR46" i="15"/>
  <c r="BT46" i="15"/>
  <c r="BS46" i="15"/>
  <c r="BT49" i="15"/>
  <c r="BS49" i="15"/>
  <c r="BR49" i="15"/>
  <c r="BU49" i="15" s="1"/>
  <c r="BX47" i="15"/>
  <c r="BW75" i="15"/>
  <c r="BS51" i="15"/>
  <c r="BT51" i="15"/>
  <c r="BR51" i="15"/>
  <c r="BS53" i="15"/>
  <c r="BT53" i="15"/>
  <c r="BR53" i="15"/>
  <c r="BU53" i="15" s="1"/>
  <c r="CF56" i="15"/>
  <c r="BT50" i="15"/>
  <c r="BS50" i="15"/>
  <c r="BR50" i="15"/>
  <c r="BU50" i="15" s="1"/>
  <c r="BQ80" i="15"/>
  <c r="BS47" i="15"/>
  <c r="BT47" i="15"/>
  <c r="BQ81" i="15"/>
  <c r="BR47" i="15"/>
  <c r="BQ75" i="15"/>
  <c r="BU52" i="15"/>
  <c r="BT75" i="15" l="1"/>
  <c r="BS75" i="15"/>
  <c r="BU51" i="15"/>
  <c r="BQ89" i="15"/>
  <c r="BU46" i="15"/>
  <c r="BU80" i="15" s="1"/>
  <c r="BX80" i="15" s="1"/>
  <c r="BU47" i="15"/>
  <c r="BR75" i="15"/>
  <c r="BU75" i="15" s="1"/>
  <c r="CF59" i="15"/>
  <c r="BX75" i="15"/>
  <c r="CE48" i="15"/>
  <c r="CE54" i="15" l="1"/>
  <c r="CE56" i="15"/>
  <c r="BU81" i="15"/>
  <c r="CD48" i="15"/>
  <c r="CD54" i="15" l="1"/>
  <c r="M36" i="3"/>
  <c r="CD56" i="15"/>
  <c r="BX81" i="15"/>
  <c r="BX86" i="15" s="1"/>
  <c r="BU86" i="15"/>
  <c r="CE59" i="15"/>
  <c r="M127" i="3" l="1"/>
  <c r="V19" i="30" s="1"/>
  <c r="W19" i="30" s="1"/>
  <c r="X19" i="30" s="1"/>
  <c r="M35" i="3"/>
  <c r="C17" i="30" s="1"/>
  <c r="CD59" i="15"/>
  <c r="D16" i="30" l="1"/>
  <c r="C16" i="30"/>
  <c r="C38" i="30" s="1"/>
  <c r="C41" i="30"/>
  <c r="C42" i="30" s="1"/>
  <c r="C43" i="30" s="1"/>
  <c r="C17" i="19"/>
  <c r="C17" i="2"/>
  <c r="AE127" i="3"/>
  <c r="AE189" i="3" s="1"/>
  <c r="M160" i="3"/>
  <c r="M189" i="3"/>
  <c r="O127" i="3"/>
  <c r="O189" i="3" s="1"/>
  <c r="M132" i="3"/>
  <c r="V24" i="30" l="1"/>
  <c r="M151" i="3"/>
  <c r="V40" i="30" s="1"/>
  <c r="W40" i="30" s="1"/>
  <c r="X40" i="30" s="1"/>
  <c r="D38" i="30"/>
  <c r="D41" i="30"/>
  <c r="D42" i="30" s="1"/>
  <c r="D43" i="30" s="1"/>
  <c r="O160" i="3"/>
  <c r="AE160" i="3"/>
  <c r="C16" i="2"/>
  <c r="C38" i="2" s="1"/>
  <c r="D16" i="2"/>
  <c r="C41" i="2"/>
  <c r="C42" i="2" s="1"/>
  <c r="C43" i="2" s="1"/>
  <c r="M148" i="3"/>
  <c r="V37" i="30" s="1"/>
  <c r="W37" i="30" s="1"/>
  <c r="X37" i="30" s="1"/>
  <c r="M159" i="3"/>
  <c r="O132" i="3"/>
  <c r="AE132" i="3"/>
  <c r="C16" i="19"/>
  <c r="C40" i="19"/>
  <c r="C41" i="19" s="1"/>
  <c r="C42" i="19" s="1"/>
  <c r="W24" i="30" l="1"/>
  <c r="X24" i="30" s="1"/>
  <c r="AK13" i="30"/>
  <c r="AE151" i="3"/>
  <c r="M182" i="3"/>
  <c r="O151" i="3"/>
  <c r="D16" i="19"/>
  <c r="C37" i="19"/>
  <c r="D41" i="2"/>
  <c r="D42" i="2" s="1"/>
  <c r="D43" i="2" s="1"/>
  <c r="D38" i="2"/>
  <c r="O159" i="3"/>
  <c r="AE159" i="3"/>
  <c r="M149" i="3"/>
  <c r="V38" i="30" s="1"/>
  <c r="W38" i="30" s="1"/>
  <c r="X38" i="30" s="1"/>
  <c r="O148" i="3"/>
  <c r="G80" i="30" s="1"/>
  <c r="M179" i="3"/>
  <c r="AA146" i="3"/>
  <c r="M202" i="3"/>
  <c r="M210" i="3" s="1"/>
  <c r="AE148" i="3"/>
  <c r="AE202" i="3" s="1"/>
  <c r="AA125" i="3"/>
  <c r="AA164" i="3"/>
  <c r="AK22" i="30" l="1"/>
  <c r="AK17" i="30"/>
  <c r="AK26" i="30" s="1"/>
  <c r="D37" i="19"/>
  <c r="D40" i="19"/>
  <c r="D41" i="19" s="1"/>
  <c r="D42" i="19" s="1"/>
  <c r="AE179" i="3"/>
  <c r="O179" i="3"/>
  <c r="G81" i="30" s="1"/>
  <c r="AA126" i="3"/>
  <c r="AA147" i="3"/>
  <c r="AA165" i="3"/>
  <c r="G80" i="19"/>
  <c r="O202" i="3"/>
  <c r="G80" i="2"/>
  <c r="AE182" i="3"/>
  <c r="O182" i="3"/>
  <c r="D39" i="30" s="1"/>
  <c r="AE149" i="3"/>
  <c r="AE203" i="3" s="1"/>
  <c r="M180" i="3"/>
  <c r="M203" i="3"/>
  <c r="M211" i="3" s="1"/>
  <c r="O149" i="3"/>
  <c r="G100" i="30" s="1"/>
  <c r="AA169" i="3"/>
  <c r="M150" i="3"/>
  <c r="V39" i="30" s="1"/>
  <c r="W39" i="30" s="1"/>
  <c r="X39" i="30" s="1"/>
  <c r="AA151" i="3"/>
  <c r="AA130" i="3"/>
  <c r="G100" i="2" l="1"/>
  <c r="G100" i="19"/>
  <c r="O203" i="3"/>
  <c r="D38" i="19"/>
  <c r="D39" i="2"/>
  <c r="M204" i="3"/>
  <c r="M212" i="3" s="1"/>
  <c r="M181" i="3"/>
  <c r="O150" i="3"/>
  <c r="O204" i="3" s="1"/>
  <c r="AE150" i="3"/>
  <c r="AE204" i="3" s="1"/>
  <c r="AA131" i="3"/>
  <c r="O180" i="3"/>
  <c r="G101" i="30" s="1"/>
  <c r="AA152" i="3"/>
  <c r="AA170" i="3"/>
  <c r="AE180" i="3"/>
  <c r="G81" i="19"/>
  <c r="G81" i="2"/>
  <c r="G101" i="2" l="1"/>
  <c r="G101" i="19"/>
  <c r="AE181" i="3"/>
  <c r="O181" i="3"/>
  <c r="C39" i="30" s="1"/>
  <c r="C38" i="19" l="1"/>
  <c r="C39" i="2"/>
  <c r="DB45" i="15"/>
  <c r="DB42" i="15" s="1"/>
  <c r="DE46" i="15" l="1"/>
  <c r="DE52" i="15"/>
  <c r="DO52" i="15" s="1"/>
  <c r="DE53" i="15"/>
  <c r="DX53" i="15" s="1"/>
  <c r="DE47" i="15"/>
  <c r="DE54" i="15"/>
  <c r="DX54" i="15" s="1"/>
  <c r="DE49" i="15"/>
  <c r="DO49" i="15" s="1"/>
  <c r="DR49" i="15" s="1"/>
  <c r="DE51" i="15"/>
  <c r="DE50" i="15"/>
  <c r="DU50" i="15" s="1"/>
  <c r="DV50" i="15" s="1"/>
  <c r="DO46" i="15"/>
  <c r="DU46" i="15"/>
  <c r="DX46" i="15"/>
  <c r="DP52" i="15"/>
  <c r="DR52" i="15"/>
  <c r="DQ52" i="15"/>
  <c r="DE48" i="15"/>
  <c r="DU49" i="15"/>
  <c r="DV49" i="15" s="1"/>
  <c r="DX52" i="15"/>
  <c r="DO53" i="15"/>
  <c r="DU52" i="15" l="1"/>
  <c r="DV52" i="15" s="1"/>
  <c r="DO50" i="15"/>
  <c r="DR50" i="15" s="1"/>
  <c r="DU53" i="15"/>
  <c r="DV53" i="15" s="1"/>
  <c r="DU51" i="15"/>
  <c r="DV51" i="15" s="1"/>
  <c r="DO51" i="15"/>
  <c r="DX51" i="15"/>
  <c r="DQ49" i="15"/>
  <c r="DP49" i="15"/>
  <c r="DU47" i="15"/>
  <c r="DV47" i="15" s="1"/>
  <c r="DO47" i="15"/>
  <c r="DX47" i="15"/>
  <c r="DX49" i="15"/>
  <c r="DX50" i="15"/>
  <c r="DO54" i="15"/>
  <c r="DU54" i="15"/>
  <c r="DV54" i="15" s="1"/>
  <c r="DU48" i="15"/>
  <c r="DV48" i="15" s="1"/>
  <c r="DO48" i="15"/>
  <c r="DO80" i="15" s="1"/>
  <c r="DX48" i="15"/>
  <c r="DR46" i="15"/>
  <c r="DP46" i="15"/>
  <c r="DQ46" i="15"/>
  <c r="DS52" i="15"/>
  <c r="DP50" i="15"/>
  <c r="DQ50" i="15"/>
  <c r="DV46" i="15"/>
  <c r="DR53" i="15"/>
  <c r="DP53" i="15"/>
  <c r="DQ53" i="15"/>
  <c r="DE74" i="15"/>
  <c r="DS49" i="15" l="1"/>
  <c r="DX75" i="15"/>
  <c r="DR47" i="15"/>
  <c r="DP47" i="15"/>
  <c r="DP75" i="15" s="1"/>
  <c r="DQ47" i="15"/>
  <c r="DO81" i="15"/>
  <c r="DO89" i="15" s="1"/>
  <c r="DU75" i="15"/>
  <c r="DR54" i="15"/>
  <c r="DQ54" i="15"/>
  <c r="DP54" i="15"/>
  <c r="DQ51" i="15"/>
  <c r="DR51" i="15"/>
  <c r="DP51" i="15"/>
  <c r="DS51" i="15" s="1"/>
  <c r="DO75" i="15"/>
  <c r="ED48" i="15"/>
  <c r="DQ48" i="15"/>
  <c r="DQ75" i="15" s="1"/>
  <c r="DP48" i="15"/>
  <c r="DR48" i="15"/>
  <c r="DV75" i="15"/>
  <c r="EC48" i="15"/>
  <c r="DS46" i="15"/>
  <c r="DS50" i="15"/>
  <c r="DS53" i="15"/>
  <c r="DS47" i="15" l="1"/>
  <c r="DR75" i="15"/>
  <c r="DS75" i="15" s="1"/>
  <c r="DS54" i="15"/>
  <c r="DS81" i="15"/>
  <c r="DV81" i="15" s="1"/>
  <c r="EC56" i="15"/>
  <c r="EC54" i="15"/>
  <c r="DS48" i="15"/>
  <c r="DS80" i="15" s="1"/>
  <c r="EB48" i="15"/>
  <c r="ED54" i="15"/>
  <c r="ED56" i="15"/>
  <c r="DS86" i="15" l="1"/>
  <c r="DV80" i="15"/>
  <c r="DV86" i="15" s="1"/>
  <c r="CF60" i="15"/>
  <c r="ED59" i="15"/>
  <c r="L36" i="3"/>
  <c r="EB54" i="15"/>
  <c r="EB56" i="15"/>
  <c r="CE60" i="15"/>
  <c r="EC59" i="15"/>
  <c r="L127" i="3" l="1"/>
  <c r="U19" i="30" s="1"/>
  <c r="L35" i="3"/>
  <c r="EB59" i="15"/>
  <c r="CD60" i="15"/>
  <c r="ED61" i="15"/>
  <c r="CF63" i="15"/>
  <c r="CE63" i="15"/>
  <c r="EC61" i="15"/>
  <c r="EB61" i="15" l="1"/>
  <c r="CD63" i="15"/>
  <c r="L132" i="3"/>
  <c r="U24" i="30" s="1"/>
  <c r="AJ13" i="30" s="1"/>
  <c r="L160" i="3"/>
  <c r="L189" i="3"/>
  <c r="AJ22" i="30" l="1"/>
  <c r="AJ17" i="30"/>
  <c r="AJ26" i="30" s="1"/>
  <c r="L148" i="3"/>
  <c r="U37" i="30" s="1"/>
  <c r="L159" i="3"/>
  <c r="L151" i="3"/>
  <c r="U40" i="30" s="1"/>
  <c r="L182" i="3" l="1"/>
  <c r="Z125" i="3"/>
  <c r="Z146" i="3"/>
  <c r="L149" i="3"/>
  <c r="U38" i="30" s="1"/>
  <c r="L179" i="3"/>
  <c r="Z164" i="3"/>
  <c r="L202" i="3"/>
  <c r="L210" i="3" s="1"/>
  <c r="Z169" i="3" l="1"/>
  <c r="L203" i="3"/>
  <c r="L211" i="3" s="1"/>
  <c r="J215" i="3" s="1"/>
  <c r="J216" i="3" s="1"/>
  <c r="Z151" i="3"/>
  <c r="L150" i="3"/>
  <c r="U39" i="30" s="1"/>
  <c r="L180" i="3"/>
  <c r="Z130" i="3"/>
  <c r="Z147" i="3"/>
  <c r="Z165" i="3"/>
  <c r="Z126" i="3"/>
  <c r="Z131" i="3" l="1"/>
  <c r="Z170" i="3"/>
  <c r="Z152" i="3"/>
  <c r="L204" i="3"/>
  <c r="L212" i="3" s="1"/>
  <c r="L18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Stefán Þór Kristinsson</author>
  </authors>
  <commentList>
    <comment ref="I27" authorId="0" shapeId="0" xr:uid="{F91603A0-AF16-4F61-8B05-ABB33F9ED2C4}">
      <text>
        <r>
          <rPr>
            <b/>
            <sz val="9"/>
            <color indexed="81"/>
            <rFont val="Tahoma"/>
            <family val="2"/>
          </rPr>
          <t>Stefán Þór Kristinsson:</t>
        </r>
        <r>
          <rPr>
            <sz val="9"/>
            <color indexed="81"/>
            <rFont val="Tahoma"/>
            <family val="2"/>
          </rPr>
          <t xml:space="preserve">
veitur.is/kolefnisspor</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<sst xmlns="http://schemas.openxmlformats.org/spreadsheetml/2006/main" count="4685" uniqueCount="1316">
  <si>
    <t>Umhverfi</t>
  </si>
  <si>
    <t>Losun (án landnotkunar og skógræktar)</t>
  </si>
  <si>
    <t>Einingar</t>
  </si>
  <si>
    <t>Samtals</t>
  </si>
  <si>
    <t>tCO2í</t>
  </si>
  <si>
    <t>https://www.ust.is/loft/losun-grodurhusalofttegunda/losun-islands/</t>
  </si>
  <si>
    <t>Orka</t>
  </si>
  <si>
    <t>Iðnaður og efnanotkun</t>
  </si>
  <si>
    <t>Landbúnaður</t>
  </si>
  <si>
    <t>Úrgangur</t>
  </si>
  <si>
    <t>Fiskiskip</t>
  </si>
  <si>
    <t>Vegasamgöngur</t>
  </si>
  <si>
    <t>Innanlandsflug</t>
  </si>
  <si>
    <t>Strandsiglingar</t>
  </si>
  <si>
    <t>Vélar og tæki</t>
  </si>
  <si>
    <t>Eldsneytisbruni vegna iðnaðar</t>
  </si>
  <si>
    <t>Jarðvarmavirkjanir</t>
  </si>
  <si>
    <t>Annað</t>
  </si>
  <si>
    <t>Losun skipt eftir skuldbindingu (án landnotkunar og skógræktar)</t>
  </si>
  <si>
    <t>Iðnaður</t>
  </si>
  <si>
    <t>Steinefnaiðnaður</t>
  </si>
  <si>
    <t>Efnaiðnaður</t>
  </si>
  <si>
    <t>Málmiðnaður</t>
  </si>
  <si>
    <t>Leysiefni</t>
  </si>
  <si>
    <t>F-gös (m.a. kælimiðlar)</t>
  </si>
  <si>
    <t>Efnanotkun</t>
  </si>
  <si>
    <t>Iðragerjun</t>
  </si>
  <si>
    <t>Meðhöndlun húsdýraáburðar</t>
  </si>
  <si>
    <t>Nytjajarðvegur</t>
  </si>
  <si>
    <t>Áburður</t>
  </si>
  <si>
    <t>Urðun úrgangs</t>
  </si>
  <si>
    <t>Jarðgerð</t>
  </si>
  <si>
    <t>Brennsla og opinn bruni</t>
  </si>
  <si>
    <t>Meðhöndlun skólps</t>
  </si>
  <si>
    <t>Losun BÁS</t>
  </si>
  <si>
    <t>Annað - Orka</t>
  </si>
  <si>
    <t>Annað - Iðnaður</t>
  </si>
  <si>
    <t>Losun frá staðbundnum iðnaði sem fellur undir viðskiptakerfi ESB</t>
  </si>
  <si>
    <t>Eldsneytisbruni (orka), staðbundinn iðnaður (CO2)</t>
  </si>
  <si>
    <t>Kísil- og kísilmálmframleiðsla (CO2)</t>
  </si>
  <si>
    <t>Álframleiðsla (CO2 og PFC)</t>
  </si>
  <si>
    <t>Heildarlosun Íslands 1990-2022</t>
  </si>
  <si>
    <t>Ár</t>
  </si>
  <si>
    <t>Iðnaðarferlar og vörunotkun</t>
  </si>
  <si>
    <t>Landnotkun</t>
  </si>
  <si>
    <t>207.48</t>
  </si>
  <si>
    <t>694.21</t>
  </si>
  <si>
    <t>1840.5</t>
  </si>
  <si>
    <t>902.66</t>
  </si>
  <si>
    <t>7731.98</t>
  </si>
  <si>
    <t>212.03</t>
  </si>
  <si>
    <t>675.18</t>
  </si>
  <si>
    <t>790.99</t>
  </si>
  <si>
    <t>7739.4</t>
  </si>
  <si>
    <t>225.59</t>
  </si>
  <si>
    <t>653.61</t>
  </si>
  <si>
    <t>585.01</t>
  </si>
  <si>
    <t>7729.42</t>
  </si>
  <si>
    <t>236.41</t>
  </si>
  <si>
    <t>654.62</t>
  </si>
  <si>
    <t>2003.84</t>
  </si>
  <si>
    <t>551.64</t>
  </si>
  <si>
    <t>7738.69</t>
  </si>
  <si>
    <t>244.83</t>
  </si>
  <si>
    <t>657.93</t>
  </si>
  <si>
    <t>1952.74</t>
  </si>
  <si>
    <t>520.89</t>
  </si>
  <si>
    <t>7728.9</t>
  </si>
  <si>
    <t>255.42</t>
  </si>
  <si>
    <t>637.98</t>
  </si>
  <si>
    <t>2057.53</t>
  </si>
  <si>
    <t>553.03</t>
  </si>
  <si>
    <t>7714.98</t>
  </si>
  <si>
    <t>264.77</t>
  </si>
  <si>
    <t>650.8</t>
  </si>
  <si>
    <t>2113.01</t>
  </si>
  <si>
    <t>530.11</t>
  </si>
  <si>
    <t>7708.21</t>
  </si>
  <si>
    <t>272.27</t>
  </si>
  <si>
    <t>641.52</t>
  </si>
  <si>
    <t>2152.86</t>
  </si>
  <si>
    <t>649.01</t>
  </si>
  <si>
    <t>7703.51</t>
  </si>
  <si>
    <t>275.06</t>
  </si>
  <si>
    <t>2146.5</t>
  </si>
  <si>
    <t>785.21</t>
  </si>
  <si>
    <t>7704.97</t>
  </si>
  <si>
    <t>283.13</t>
  </si>
  <si>
    <t>652.03</t>
  </si>
  <si>
    <t>2202.98</t>
  </si>
  <si>
    <t>938.98</t>
  </si>
  <si>
    <t>7711.63</t>
  </si>
  <si>
    <t>292.51</t>
  </si>
  <si>
    <t>637.26</t>
  </si>
  <si>
    <t>2185.17</t>
  </si>
  <si>
    <t>991.77</t>
  </si>
  <si>
    <t>7722.9</t>
  </si>
  <si>
    <t>302.15</t>
  </si>
  <si>
    <t>633.74</t>
  </si>
  <si>
    <t>2073.84</t>
  </si>
  <si>
    <t>990.98</t>
  </si>
  <si>
    <t>7732.75</t>
  </si>
  <si>
    <t>306.71</t>
  </si>
  <si>
    <t>617.17</t>
  </si>
  <si>
    <t>2183.75</t>
  </si>
  <si>
    <t>978.94</t>
  </si>
  <si>
    <t>7750.46</t>
  </si>
  <si>
    <t>307.82</t>
  </si>
  <si>
    <t>609.41</t>
  </si>
  <si>
    <t>2172.67</t>
  </si>
  <si>
    <t>966.74</t>
  </si>
  <si>
    <t>7746.78</t>
  </si>
  <si>
    <t>316.83</t>
  </si>
  <si>
    <t>601.39</t>
  </si>
  <si>
    <t>2271.55</t>
  </si>
  <si>
    <t>974.79</t>
  </si>
  <si>
    <t>7746.2</t>
  </si>
  <si>
    <t>309.54</t>
  </si>
  <si>
    <t>603.84</t>
  </si>
  <si>
    <t>2158.47</t>
  </si>
  <si>
    <t>950.49</t>
  </si>
  <si>
    <t>7745.98</t>
  </si>
  <si>
    <t>333.14</t>
  </si>
  <si>
    <t>629.88</t>
  </si>
  <si>
    <t>2221.71</t>
  </si>
  <si>
    <t>1394.39</t>
  </si>
  <si>
    <t>7798.54</t>
  </si>
  <si>
    <t>336.6</t>
  </si>
  <si>
    <t>646.68</t>
  </si>
  <si>
    <t>1538.47</t>
  </si>
  <si>
    <t>7700.27</t>
  </si>
  <si>
    <t>319.08</t>
  </si>
  <si>
    <t>663.15</t>
  </si>
  <si>
    <t>2234.88</t>
  </si>
  <si>
    <t>2049.92</t>
  </si>
  <si>
    <t>7741.91</t>
  </si>
  <si>
    <t>309.25</t>
  </si>
  <si>
    <t>653.49</t>
  </si>
  <si>
    <t>1866.99</t>
  </si>
  <si>
    <t>7785.76</t>
  </si>
  <si>
    <t>305.68</t>
  </si>
  <si>
    <t>639.63</t>
  </si>
  <si>
    <t>2026.7</t>
  </si>
  <si>
    <t>1895.6</t>
  </si>
  <si>
    <t>7767.35</t>
  </si>
  <si>
    <t>286.54</t>
  </si>
  <si>
    <t>637.69</t>
  </si>
  <si>
    <t>1905.05</t>
  </si>
  <si>
    <t>1825.95</t>
  </si>
  <si>
    <t>7747.26</t>
  </si>
  <si>
    <t>266.23</t>
  </si>
  <si>
    <t>632.57</t>
  </si>
  <si>
    <t>1855.89</t>
  </si>
  <si>
    <t>1894.11</t>
  </si>
  <si>
    <t>7753.28</t>
  </si>
  <si>
    <t>265.53</t>
  </si>
  <si>
    <t>616.94</t>
  </si>
  <si>
    <t>1820.52</t>
  </si>
  <si>
    <t>1942.48</t>
  </si>
  <si>
    <t>7753.79</t>
  </si>
  <si>
    <t>265.57</t>
  </si>
  <si>
    <t>661.09</t>
  </si>
  <si>
    <t>1808.91</t>
  </si>
  <si>
    <t>1917.11</t>
  </si>
  <si>
    <t>7748.01</t>
  </si>
  <si>
    <t>264.57</t>
  </si>
  <si>
    <t>650.33</t>
  </si>
  <si>
    <t>1853.75</t>
  </si>
  <si>
    <t>1965.74</t>
  </si>
  <si>
    <t>7739.22</t>
  </si>
  <si>
    <t>260.83</t>
  </si>
  <si>
    <t>650.24</t>
  </si>
  <si>
    <t>1829.01</t>
  </si>
  <si>
    <t>1947.76</t>
  </si>
  <si>
    <t>7720.33</t>
  </si>
  <si>
    <t>258.41</t>
  </si>
  <si>
    <t>651.08</t>
  </si>
  <si>
    <t>1870.24</t>
  </si>
  <si>
    <t>1994.09</t>
  </si>
  <si>
    <t>7693.13</t>
  </si>
  <si>
    <t>253.72</t>
  </si>
  <si>
    <t>628.3</t>
  </si>
  <si>
    <t>1911.17</t>
  </si>
  <si>
    <t>2035.23</t>
  </si>
  <si>
    <t>7680.25</t>
  </si>
  <si>
    <t>222.02</t>
  </si>
  <si>
    <t>610.91</t>
  </si>
  <si>
    <t>1853.99</t>
  </si>
  <si>
    <t>2002.07</t>
  </si>
  <si>
    <t>7693.37</t>
  </si>
  <si>
    <t>244.09</t>
  </si>
  <si>
    <t>609.48</t>
  </si>
  <si>
    <t>1664.62</t>
  </si>
  <si>
    <t>1977.27</t>
  </si>
  <si>
    <t>7701.7</t>
  </si>
  <si>
    <t>242.68</t>
  </si>
  <si>
    <t>612.75</t>
  </si>
  <si>
    <t>2011.92</t>
  </si>
  <si>
    <t>7699.04</t>
  </si>
  <si>
    <t>233.6</t>
  </si>
  <si>
    <t>596.26</t>
  </si>
  <si>
    <t>1819.34</t>
  </si>
  <si>
    <t>2016.8</t>
  </si>
  <si>
    <t>7757.03</t>
  </si>
  <si>
    <t>Year:</t>
  </si>
  <si>
    <t>Inventory</t>
  </si>
  <si>
    <r>
      <t>Emissions (tCO</t>
    </r>
    <r>
      <rPr>
        <b/>
        <u/>
        <vertAlign val="subscript"/>
        <sz val="12"/>
        <color theme="1"/>
        <rFont val="Arial"/>
        <family val="2"/>
        <scheme val="minor"/>
      </rPr>
      <t>2</t>
    </r>
    <r>
      <rPr>
        <b/>
        <u/>
        <sz val="12"/>
        <color theme="1"/>
        <rFont val="Arial"/>
        <family val="2"/>
        <scheme val="minor"/>
      </rPr>
      <t xml:space="preserve"> íg)</t>
    </r>
  </si>
  <si>
    <t>Total</t>
  </si>
  <si>
    <t>Scope 1</t>
  </si>
  <si>
    <t>Scope 2</t>
  </si>
  <si>
    <t>Scope 3</t>
  </si>
  <si>
    <t>Energy</t>
  </si>
  <si>
    <t>Electricity</t>
  </si>
  <si>
    <t xml:space="preserve">  Distribution losses</t>
  </si>
  <si>
    <t>Heat</t>
  </si>
  <si>
    <t>Construction - stationary energy</t>
  </si>
  <si>
    <t>Transport</t>
  </si>
  <si>
    <t>On-road</t>
  </si>
  <si>
    <t>Waterborne navigation</t>
  </si>
  <si>
    <t xml:space="preserve">  WTW</t>
  </si>
  <si>
    <t>Aviation</t>
  </si>
  <si>
    <t>Waste</t>
  </si>
  <si>
    <t>Landfill</t>
  </si>
  <si>
    <t xml:space="preserve">  Originating within RVK</t>
  </si>
  <si>
    <t>Composting</t>
  </si>
  <si>
    <t>Foreign inciniration</t>
  </si>
  <si>
    <t>Domestic inciniration</t>
  </si>
  <si>
    <t>Fráveita</t>
  </si>
  <si>
    <t>AFOLU</t>
  </si>
  <si>
    <t>Livestock farming</t>
  </si>
  <si>
    <t>Land use</t>
  </si>
  <si>
    <t>IPPU</t>
  </si>
  <si>
    <t>Product use</t>
  </si>
  <si>
    <t>Construction materials</t>
  </si>
  <si>
    <t>Other industry</t>
  </si>
  <si>
    <t>Total per capita</t>
  </si>
  <si>
    <t>BASIC</t>
  </si>
  <si>
    <t>BASIC +</t>
  </si>
  <si>
    <t>BASIC + S3</t>
  </si>
  <si>
    <t>Emissions sector</t>
  </si>
  <si>
    <t>Sub-sector</t>
  </si>
  <si>
    <t>Summary -</t>
  </si>
  <si>
    <r>
      <t>t CO</t>
    </r>
    <r>
      <rPr>
        <vertAlign val="subscript"/>
        <sz val="12"/>
        <color rgb="FF000000"/>
        <rFont val="Arial"/>
        <family val="2"/>
      </rPr>
      <t>2</t>
    </r>
    <r>
      <rPr>
        <sz val="12"/>
        <color rgb="FF000000"/>
        <rFont val="Arial"/>
        <family val="2"/>
      </rPr>
      <t>-equivalents</t>
    </r>
  </si>
  <si>
    <r>
      <t>t CO</t>
    </r>
    <r>
      <rPr>
        <vertAlign val="subscript"/>
        <sz val="12"/>
        <color rgb="FF000000"/>
        <rFont val="Arial"/>
        <family val="2"/>
      </rPr>
      <t>2</t>
    </r>
    <r>
      <rPr>
        <sz val="12"/>
        <color rgb="FF000000"/>
        <rFont val="Arial"/>
        <family val="2"/>
      </rPr>
      <t>-equivalents per capita</t>
    </r>
  </si>
  <si>
    <t>BASIC+</t>
  </si>
  <si>
    <t>Ár:</t>
  </si>
  <si>
    <t>Samantekt</t>
  </si>
  <si>
    <t>Losun (tCO2 íg)</t>
  </si>
  <si>
    <t>Umfang 1</t>
  </si>
  <si>
    <t>Umfang 2</t>
  </si>
  <si>
    <t>Umfang 3</t>
  </si>
  <si>
    <t>Orkunotkun</t>
  </si>
  <si>
    <t>Raforka</t>
  </si>
  <si>
    <t xml:space="preserve"> Vegna dreifitapa</t>
  </si>
  <si>
    <t>Hitaveita</t>
  </si>
  <si>
    <t>Byggingar - staðbundin eldsneytisnotkun</t>
  </si>
  <si>
    <t>Samgöngur</t>
  </si>
  <si>
    <t>Götuumferð</t>
  </si>
  <si>
    <t>Skipaumferð</t>
  </si>
  <si>
    <t xml:space="preserve"> WTW</t>
  </si>
  <si>
    <t>Flugumferð</t>
  </si>
  <si>
    <t>Urðun</t>
  </si>
  <si>
    <t xml:space="preserve">  Upprunið innan RVK</t>
  </si>
  <si>
    <t>Brennsla erlendis</t>
  </si>
  <si>
    <t>Brennsla innanlands</t>
  </si>
  <si>
    <t>Landbúnaður og landnotkun</t>
  </si>
  <si>
    <t>Búfjárræktun</t>
  </si>
  <si>
    <t>Skógrækt</t>
  </si>
  <si>
    <t>Efnanotkun og iðnaður</t>
  </si>
  <si>
    <t>Byggingariðnaður - efni</t>
  </si>
  <si>
    <t>Samtals á íbúa</t>
  </si>
  <si>
    <t>Losunarflokkur</t>
  </si>
  <si>
    <t>Undirflokkur</t>
  </si>
  <si>
    <t xml:space="preserve">Samantekt - </t>
  </si>
  <si>
    <t>t CO2-ígilda</t>
  </si>
  <si>
    <t>t CO2 ígilda á íbúa</t>
  </si>
  <si>
    <t>Breyting m.v. 2019 (t CO₂ íg)</t>
  </si>
  <si>
    <t>Breyting m.v. 2019 (%)</t>
  </si>
  <si>
    <t>2030 - Áætlun</t>
  </si>
  <si>
    <t>2030 - Markmið</t>
  </si>
  <si>
    <t>2030                Áætlað</t>
  </si>
  <si>
    <t>2030 Markmið</t>
  </si>
  <si>
    <t>Fólksfjöldi Reykjavík</t>
  </si>
  <si>
    <t>Fólksfjöldi Ísland</t>
  </si>
  <si>
    <t>Staðbundin eldsneytisnotkun</t>
  </si>
  <si>
    <t>Fólksbifreiðar</t>
  </si>
  <si>
    <t>Hópbifreiðar</t>
  </si>
  <si>
    <t>2030            Áætlað</t>
  </si>
  <si>
    <t>Vörubifreiðar</t>
  </si>
  <si>
    <t>N/A</t>
  </si>
  <si>
    <t>Brennsla</t>
  </si>
  <si>
    <t>Búfjárrækt</t>
  </si>
  <si>
    <t>Annar iðnaður</t>
  </si>
  <si>
    <t>BASIC+ S3</t>
  </si>
  <si>
    <t>Loftslagsbókhald Reykjavíkur</t>
  </si>
  <si>
    <t>Mannfjöldi eftir kyni, aldri og sveitarfélögum 1998-2024 - Sveitarfélagaskipan 1. janúar 2024</t>
  </si>
  <si>
    <t>Almennar upplýsingar</t>
  </si>
  <si>
    <t>Hagstofa</t>
  </si>
  <si>
    <t>2014</t>
  </si>
  <si>
    <t>2015</t>
  </si>
  <si>
    <t>2016</t>
  </si>
  <si>
    <t>2017</t>
  </si>
  <si>
    <t>2018</t>
  </si>
  <si>
    <t>2019</t>
  </si>
  <si>
    <t>2020</t>
  </si>
  <si>
    <t>2021</t>
  </si>
  <si>
    <t>2022</t>
  </si>
  <si>
    <t>2023</t>
  </si>
  <si>
    <t>2024</t>
  </si>
  <si>
    <t>Fólksfjöldi HBS</t>
  </si>
  <si>
    <t>Hlutfall RVK</t>
  </si>
  <si>
    <t>Reykjavíkurborg</t>
  </si>
  <si>
    <t>Kópavogsbær</t>
  </si>
  <si>
    <t>Hlutfall HBS</t>
  </si>
  <si>
    <t>Seltjarnarnesbær</t>
  </si>
  <si>
    <t>Garðabær</t>
  </si>
  <si>
    <t>GDP Ísland</t>
  </si>
  <si>
    <t>statista.com/statistics/398966/gross-domestic-product-gdp-in-iceland/</t>
  </si>
  <si>
    <t>Staðgreiðsluskyldar launagreiðslur eftir búsetu</t>
  </si>
  <si>
    <t>Hafnarfjarðarkaupstaður</t>
  </si>
  <si>
    <t>Mosfellsbær</t>
  </si>
  <si>
    <t>HBS</t>
  </si>
  <si>
    <t>Alls</t>
  </si>
  <si>
    <t>https://ust.is/loft/losun-grodurhusalofttegunda/gagnabirtir/</t>
  </si>
  <si>
    <t>kWst</t>
  </si>
  <si>
    <t>Raforkuspá/Notkunarflokkunarskýrsla</t>
  </si>
  <si>
    <t>Losunarstuðull</t>
  </si>
  <si>
    <t>gCO2/kWst</t>
  </si>
  <si>
    <t>UOS Stuðull</t>
  </si>
  <si>
    <t>Losun vegna raforku</t>
  </si>
  <si>
    <r>
      <t xml:space="preserve"> </t>
    </r>
    <r>
      <rPr>
        <sz val="9"/>
        <color rgb="FF000000"/>
        <rFont val="Arial"/>
        <family val="2"/>
      </rPr>
      <t>Þar af vegna dreifitapa</t>
    </r>
  </si>
  <si>
    <t>Hitavatnsvinnsla HBS</t>
  </si>
  <si>
    <t>GL</t>
  </si>
  <si>
    <t>Hlutfall í RVK</t>
  </si>
  <si>
    <t>60,3%</t>
  </si>
  <si>
    <t>Hitavatnsvinnsla</t>
  </si>
  <si>
    <t>https://www.veitur.is/utgefid-efni/hitaveita</t>
  </si>
  <si>
    <t>gCO2/m3</t>
  </si>
  <si>
    <t>Losun vegna hitaveitu</t>
  </si>
  <si>
    <t>Magn ekið</t>
  </si>
  <si>
    <t>M km</t>
  </si>
  <si>
    <t>Mannvit - umferðarlíkan</t>
  </si>
  <si>
    <t>Leið 1</t>
  </si>
  <si>
    <t>Losun vegna götuumferðar</t>
  </si>
  <si>
    <t>https://ssh.is/images/stories/Samgongumal/2017_Greinagerd_Umferdarspa_2030_LOKA.pdf</t>
  </si>
  <si>
    <t>https://www.samgongustofa.is/umferd/tolfraedi/onnur-tolfraedi/</t>
  </si>
  <si>
    <t>Hópferðabifreiðar</t>
  </si>
  <si>
    <t>Eldsneytisspá</t>
  </si>
  <si>
    <t>Fjöldi skipakoma</t>
  </si>
  <si>
    <t>https://www.faxafloahafnir.is/utstreymisbokhald/</t>
  </si>
  <si>
    <t>Losun vegna skipa</t>
  </si>
  <si>
    <t xml:space="preserve"> Með Well to tank</t>
  </si>
  <si>
    <t>Fjöldi flughreyfinga</t>
  </si>
  <si>
    <t>https://www.isavia.is/fyrirtaekid/um-isavia/utgefid-efni/flugtolur/flugtolur</t>
  </si>
  <si>
    <t>Losun vegna flugumferðar</t>
  </si>
  <si>
    <t>Úrgangur og fráveita</t>
  </si>
  <si>
    <t>Magn urðað</t>
  </si>
  <si>
    <t>t</t>
  </si>
  <si>
    <t>https://sorpa.is/um-sorpu/utgefid-efni/arsskyrslur</t>
  </si>
  <si>
    <t>Magn urðað - RVK</t>
  </si>
  <si>
    <t>Losun vegna urðunar</t>
  </si>
  <si>
    <t>sorpagraentbokhald2020undirritad.pdf (dccweb.net)</t>
  </si>
  <si>
    <t>Urðun úrgangs Reykjavíkur</t>
  </si>
  <si>
    <t>Magn jarðgert</t>
  </si>
  <si>
    <t>Losun vegna jarðgerðar</t>
  </si>
  <si>
    <t>Jarðgerð úrgangs Reykjavíkur</t>
  </si>
  <si>
    <t>Magn sent út til brennslu</t>
  </si>
  <si>
    <t>Losun vegna brennslu erlendis</t>
  </si>
  <si>
    <t>Brennsla úrgangs Reykjavíkur</t>
  </si>
  <si>
    <t>Magn brennt</t>
  </si>
  <si>
    <t xml:space="preserve">  Þar af upprunið í Reykjavík</t>
  </si>
  <si>
    <t>Losun vegna brennslu</t>
  </si>
  <si>
    <t>Losun metans vegna dom fráveitu</t>
  </si>
  <si>
    <t>Metanlosun ekki tekin með</t>
  </si>
  <si>
    <t>Losun glaðlofts vegna dom fráveitu</t>
  </si>
  <si>
    <t>Losun metans vegna fiskverkunar</t>
  </si>
  <si>
    <t>Losun vegna fráveitu</t>
  </si>
  <si>
    <t>Samtals losun vegna úrgangs</t>
  </si>
  <si>
    <t>Losun vegna landnotkunar og skógræktar</t>
  </si>
  <si>
    <t>https://www.stjornarradid.is/verkefni/atvinnuvegir/landbunadur/maelabord-landbunadarins-/</t>
  </si>
  <si>
    <t>4A - Skóglendi</t>
  </si>
  <si>
    <t>4B - Ræktað land</t>
  </si>
  <si>
    <t>4C - Graslendi</t>
  </si>
  <si>
    <t>4C2/4D Landgræðsla og votlendi</t>
  </si>
  <si>
    <t>Losun vegna búfjárræktunar</t>
  </si>
  <si>
    <t xml:space="preserve">  Þar af vegna sauðfés</t>
  </si>
  <si>
    <t xml:space="preserve">  Þar af vegna nautgripa</t>
  </si>
  <si>
    <t xml:space="preserve">  Þar af vegna svína</t>
  </si>
  <si>
    <t xml:space="preserve">  Þar af vegna hrossa</t>
  </si>
  <si>
    <t xml:space="preserve">  Þar af vegna geita</t>
  </si>
  <si>
    <t xml:space="preserve">  Þar af vegna hænsna</t>
  </si>
  <si>
    <t>.</t>
  </si>
  <si>
    <t>Efni í stað ósóneyðandi efna</t>
  </si>
  <si>
    <t>tCO2Í</t>
  </si>
  <si>
    <t>Heildar losun frá notkun kælimiðla</t>
  </si>
  <si>
    <t>Year</t>
  </si>
  <si>
    <t>2F1a Commercial</t>
  </si>
  <si>
    <t>2F1b Domestic</t>
  </si>
  <si>
    <t>2F1c Industrial</t>
  </si>
  <si>
    <t>2F1d Transport</t>
  </si>
  <si>
    <t>2F1e Mobile AC</t>
  </si>
  <si>
    <t>2F1f Stationary AC</t>
  </si>
  <si>
    <t>Total tCO₂e</t>
  </si>
  <si>
    <t>2F1a</t>
  </si>
  <si>
    <t>2F1b</t>
  </si>
  <si>
    <t>2F1c</t>
  </si>
  <si>
    <t>2F1d</t>
  </si>
  <si>
    <t>2F1e</t>
  </si>
  <si>
    <t>Hlutfall fiskiskipa</t>
  </si>
  <si>
    <t>-</t>
  </si>
  <si>
    <t xml:space="preserve">Losun fiskiskipa </t>
  </si>
  <si>
    <t>Hlutfall 2Fd - Transport</t>
  </si>
  <si>
    <t>Önnur losun</t>
  </si>
  <si>
    <t>Losun vegna kælimiðla innan RVK</t>
  </si>
  <si>
    <t>Aerosols í heildina</t>
  </si>
  <si>
    <t>ktCO2í</t>
  </si>
  <si>
    <t>Losun vegna Aerosols</t>
  </si>
  <si>
    <t>Glaðloft og gufa frá landspítala</t>
  </si>
  <si>
    <t>https://assets.ctfassets.net/8k0h54kbe6bj/6jVPhZQHd6dIJQ8utu5ZL8/edaf3fba9c92d39cc3cc290ce25da6f7/d9eaa75d-4ac7-47ea-a9a0-adf0706cdaff.pdf</t>
  </si>
  <si>
    <t>Losun vegna glaðlofts spítala</t>
  </si>
  <si>
    <t>Gufuframleiðsla spítala</t>
  </si>
  <si>
    <t>Leysiefni og eldsneytistengt (CFR 2D)</t>
  </si>
  <si>
    <t>LPG almenningur</t>
  </si>
  <si>
    <t>NIR</t>
  </si>
  <si>
    <t>LPG commercial, institutional</t>
  </si>
  <si>
    <t>LPG notkun samtals</t>
  </si>
  <si>
    <t>TJ</t>
  </si>
  <si>
    <t>Losun vegna notkunar kósangasa</t>
  </si>
  <si>
    <t>Sumolía í heildina</t>
  </si>
  <si>
    <t>Losun vegna smurolíu</t>
  </si>
  <si>
    <t>Paraffin í heildina</t>
  </si>
  <si>
    <t>Losun vegna Paraffin vax</t>
  </si>
  <si>
    <t>Annað (2D3) í heildina</t>
  </si>
  <si>
    <t>Losun vegna annað (2D3)</t>
  </si>
  <si>
    <t>Samtals losun vegna efnanotkunar</t>
  </si>
  <si>
    <t>Byggingariðnaður</t>
  </si>
  <si>
    <t>Hafin smíði á íbúðum í RVK</t>
  </si>
  <si>
    <t>Fimm ára meðaltal</t>
  </si>
  <si>
    <t>m2</t>
  </si>
  <si>
    <t>Íbúðir á framkvæmdarstigi</t>
  </si>
  <si>
    <t>HMS Íbúðir í byggingu</t>
  </si>
  <si>
    <t>Meðalstærð</t>
  </si>
  <si>
    <t>Byggingariðnaður - orka á verkstað</t>
  </si>
  <si>
    <t>Innlend matvælaframleiðsla</t>
  </si>
  <si>
    <t>kt CO2e</t>
  </si>
  <si>
    <t xml:space="preserve">  Metan</t>
  </si>
  <si>
    <t xml:space="preserve">  Glaðloft</t>
  </si>
  <si>
    <t>Hlutfall Fishmeal</t>
  </si>
  <si>
    <t>Losun matvælaframleiðslu í RVK</t>
  </si>
  <si>
    <t>Samantekt losunar</t>
  </si>
  <si>
    <t>Emissions Inventory</t>
  </si>
  <si>
    <t>Private cars</t>
  </si>
  <si>
    <t>Public vehicles</t>
  </si>
  <si>
    <t>Goods vehicles</t>
  </si>
  <si>
    <t>Landfilling</t>
  </si>
  <si>
    <t xml:space="preserve">Orkunotkun - </t>
  </si>
  <si>
    <t xml:space="preserve">Samgöngur - </t>
  </si>
  <si>
    <t>Úrgangur -</t>
  </si>
  <si>
    <t>Landbúnaður og landnotkun -</t>
  </si>
  <si>
    <t xml:space="preserve">Efnanotkun og iðnaður - </t>
  </si>
  <si>
    <t>Incineration</t>
  </si>
  <si>
    <t>Wastewater discharge</t>
  </si>
  <si>
    <t>Forestry</t>
  </si>
  <si>
    <t>Afolu</t>
  </si>
  <si>
    <t>Construction industry</t>
  </si>
  <si>
    <t>Stationary energy</t>
  </si>
  <si>
    <t>Energy -</t>
  </si>
  <si>
    <t>Transport -</t>
  </si>
  <si>
    <t>Waste -</t>
  </si>
  <si>
    <t>AFOLU -</t>
  </si>
  <si>
    <t>IPPU -</t>
  </si>
  <si>
    <t>Fyrir graf</t>
  </si>
  <si>
    <t>Land Use</t>
  </si>
  <si>
    <t>Byggingarefni</t>
  </si>
  <si>
    <t>tCO2e/m2</t>
  </si>
  <si>
    <t>Staðbundin orka á byggingarsvæði</t>
  </si>
  <si>
    <t>Orkunotkun -2023</t>
  </si>
  <si>
    <t>Eining</t>
  </si>
  <si>
    <t>Svæðisheiti</t>
  </si>
  <si>
    <t>Notendaflokkur [númer]</t>
  </si>
  <si>
    <t>Lýsing notkunarflokks</t>
  </si>
  <si>
    <t>Orkunotkun [kWh]</t>
  </si>
  <si>
    <t>Reykjavík</t>
  </si>
  <si>
    <t>0108</t>
  </si>
  <si>
    <t>Búrekstur</t>
  </si>
  <si>
    <t>W</t>
  </si>
  <si>
    <t>0109</t>
  </si>
  <si>
    <t>Fiskrækt</t>
  </si>
  <si>
    <t>0111</t>
  </si>
  <si>
    <t>Garðyrkja, lýsing</t>
  </si>
  <si>
    <t>0113</t>
  </si>
  <si>
    <t>Svínabú</t>
  </si>
  <si>
    <t>0116</t>
  </si>
  <si>
    <t>Garðyrkja og ylrækt annað en lýs</t>
  </si>
  <si>
    <t>0117</t>
  </si>
  <si>
    <t>Fóðurframleiðsla önnur en framle</t>
  </si>
  <si>
    <t>0121</t>
  </si>
  <si>
    <t>Skógræktarstöðvar</t>
  </si>
  <si>
    <t>kWh</t>
  </si>
  <si>
    <t>0122</t>
  </si>
  <si>
    <t>Fiskveiðar</t>
  </si>
  <si>
    <t>B</t>
  </si>
  <si>
    <t>CB</t>
  </si>
  <si>
    <t>IP</t>
  </si>
  <si>
    <t>E</t>
  </si>
  <si>
    <t>T</t>
  </si>
  <si>
    <t>S</t>
  </si>
  <si>
    <t>O</t>
  </si>
  <si>
    <t>0123</t>
  </si>
  <si>
    <t>Sportveiði</t>
  </si>
  <si>
    <t>Byggingar - Íbúðir</t>
  </si>
  <si>
    <t>Buildings</t>
  </si>
  <si>
    <t>0410</t>
  </si>
  <si>
    <t>Sláturhús - kjötiðnaður</t>
  </si>
  <si>
    <t>Byggingar - Rekstur</t>
  </si>
  <si>
    <t>Comercial Buildings</t>
  </si>
  <si>
    <t>0420</t>
  </si>
  <si>
    <t>Mjólkuriðnaður</t>
  </si>
  <si>
    <t>Atvinnurekstur</t>
  </si>
  <si>
    <t>Comercial Activities</t>
  </si>
  <si>
    <t>0431</t>
  </si>
  <si>
    <t>Fiskfrysting</t>
  </si>
  <si>
    <t>Iðnaðarferlar</t>
  </si>
  <si>
    <t>Industrial Processes</t>
  </si>
  <si>
    <t>0460</t>
  </si>
  <si>
    <t>Brauð og kökugerð</t>
  </si>
  <si>
    <t>0480</t>
  </si>
  <si>
    <t>Sælgætisgerð</t>
  </si>
  <si>
    <t>Of which electric vehicles</t>
  </si>
  <si>
    <t>0491</t>
  </si>
  <si>
    <t>Drykkjarvöruiðnaður</t>
  </si>
  <si>
    <t>Þjónusta</t>
  </si>
  <si>
    <t>Services</t>
  </si>
  <si>
    <t>Of which "other services"</t>
  </si>
  <si>
    <t>0492</t>
  </si>
  <si>
    <t>Annar matvælaiðnaður</t>
  </si>
  <si>
    <t>Other</t>
  </si>
  <si>
    <t>0520</t>
  </si>
  <si>
    <t>Fataiðnaður</t>
  </si>
  <si>
    <t>0530</t>
  </si>
  <si>
    <t>Leður og skóiðnaður</t>
  </si>
  <si>
    <t>0540</t>
  </si>
  <si>
    <t>Veiðarfæragerð</t>
  </si>
  <si>
    <t>0610</t>
  </si>
  <si>
    <t>Timbur og korkiðnaður</t>
  </si>
  <si>
    <t>0620</t>
  </si>
  <si>
    <t>Pappa og pappírsvörugerð</t>
  </si>
  <si>
    <t>0630</t>
  </si>
  <si>
    <t>Prentun, útgáfa og skyld starfse</t>
  </si>
  <si>
    <t>0700</t>
  </si>
  <si>
    <t>Gúmvöruiðnaður</t>
  </si>
  <si>
    <t>0820</t>
  </si>
  <si>
    <t>Framleiðsla á vörum úr olíu</t>
  </si>
  <si>
    <t>0821</t>
  </si>
  <si>
    <t>Malbikun</t>
  </si>
  <si>
    <t>0833</t>
  </si>
  <si>
    <t>Lifrarbr., lýsishreinsun</t>
  </si>
  <si>
    <t>0835</t>
  </si>
  <si>
    <t>Málningar-, lakk og límgerð</t>
  </si>
  <si>
    <t>0839</t>
  </si>
  <si>
    <t>Sápu- og þvottaefnisgerð</t>
  </si>
  <si>
    <t>0920</t>
  </si>
  <si>
    <t>Gleriðnaður</t>
  </si>
  <si>
    <t>0930</t>
  </si>
  <si>
    <t>Leirsmíði og postulínsiðnaður</t>
  </si>
  <si>
    <t>0940</t>
  </si>
  <si>
    <t>Sementsgerð</t>
  </si>
  <si>
    <t>0990</t>
  </si>
  <si>
    <t>Steinsteypugerð</t>
  </si>
  <si>
    <t>1020</t>
  </si>
  <si>
    <t>Annar undirstöðuiðnaður úr járni</t>
  </si>
  <si>
    <t>1210</t>
  </si>
  <si>
    <t>Járnsmiðjur</t>
  </si>
  <si>
    <t>1220</t>
  </si>
  <si>
    <t>Framleiðsla raftækja</t>
  </si>
  <si>
    <t>1230</t>
  </si>
  <si>
    <t>Skipasmíðar</t>
  </si>
  <si>
    <t>1240</t>
  </si>
  <si>
    <t>Framl samgöngutækja á landi</t>
  </si>
  <si>
    <t>1300</t>
  </si>
  <si>
    <t>Handiðnaður</t>
  </si>
  <si>
    <t>1400</t>
  </si>
  <si>
    <t>Byggingastarfs. og opinb. framkv</t>
  </si>
  <si>
    <t>1510</t>
  </si>
  <si>
    <t>Raforkuvinnsla</t>
  </si>
  <si>
    <t>1511</t>
  </si>
  <si>
    <t>Rafveitur</t>
  </si>
  <si>
    <t>1512</t>
  </si>
  <si>
    <t>Hitaveitur</t>
  </si>
  <si>
    <t>1521</t>
  </si>
  <si>
    <t>Vatnsveitur</t>
  </si>
  <si>
    <t>1522</t>
  </si>
  <si>
    <t>Sjúkrahús, elli- og vistheimili</t>
  </si>
  <si>
    <t>1523</t>
  </si>
  <si>
    <t>Skólar</t>
  </si>
  <si>
    <t>1524</t>
  </si>
  <si>
    <t>Sundlaugar og íþróttahús</t>
  </si>
  <si>
    <t>1527</t>
  </si>
  <si>
    <t>Félagsheimili</t>
  </si>
  <si>
    <t>1528</t>
  </si>
  <si>
    <t>Kirkjur</t>
  </si>
  <si>
    <t>1529</t>
  </si>
  <si>
    <t>Dagheimili og leikskólar</t>
  </si>
  <si>
    <t>1540</t>
  </si>
  <si>
    <t>Almenn stjórnsýsla</t>
  </si>
  <si>
    <t>1600</t>
  </si>
  <si>
    <t>Viðsk., handiðnir og óopinb þjón</t>
  </si>
  <si>
    <t>1611</t>
  </si>
  <si>
    <t>Heildverslun</t>
  </si>
  <si>
    <t>1612</t>
  </si>
  <si>
    <t>Smásöluverslun</t>
  </si>
  <si>
    <t>1621</t>
  </si>
  <si>
    <t>Veitingastaðir</t>
  </si>
  <si>
    <t>1622</t>
  </si>
  <si>
    <t>Gististaðir</t>
  </si>
  <si>
    <t>1631</t>
  </si>
  <si>
    <t>Samgöngur, aðrar en rafkn farart</t>
  </si>
  <si>
    <t>1632</t>
  </si>
  <si>
    <t>Póstur og sími</t>
  </si>
  <si>
    <t>1641</t>
  </si>
  <si>
    <t>Peningastofnanir</t>
  </si>
  <si>
    <t>1642</t>
  </si>
  <si>
    <t>Tryggingar og lífeyrissjóðir</t>
  </si>
  <si>
    <t>1643</t>
  </si>
  <si>
    <t>Þjónusta við atvinnurekstur</t>
  </si>
  <si>
    <t>1644</t>
  </si>
  <si>
    <t>Gagnaver</t>
  </si>
  <si>
    <t>1650</t>
  </si>
  <si>
    <t>Heilbrigðisþjón á vegum einkaaði</t>
  </si>
  <si>
    <t>1660</t>
  </si>
  <si>
    <t>Menningarmál</t>
  </si>
  <si>
    <t>1670</t>
  </si>
  <si>
    <t>Önnur þjónusta og handiðnir</t>
  </si>
  <si>
    <t>1700</t>
  </si>
  <si>
    <t>Rafknúin farartæki</t>
  </si>
  <si>
    <t>1811</t>
  </si>
  <si>
    <t>Götu- og hafnarlýsing</t>
  </si>
  <si>
    <t>1812</t>
  </si>
  <si>
    <t>Rafmagn til skipa</t>
  </si>
  <si>
    <t>1910</t>
  </si>
  <si>
    <t>Almenn heimilisnotkun án rafhita</t>
  </si>
  <si>
    <t>1920</t>
  </si>
  <si>
    <t>Almenn heimilisnotkun með rafhit</t>
  </si>
  <si>
    <t>1930</t>
  </si>
  <si>
    <t>Sérmæld rafhitun íbúðarhúsnæðis</t>
  </si>
  <si>
    <t>1940</t>
  </si>
  <si>
    <t>Sumarbústaðir</t>
  </si>
  <si>
    <t>Reykjavik samtals</t>
  </si>
  <si>
    <t>Götu- og hafnarlýsing ómæld</t>
  </si>
  <si>
    <t>Mikil minnkun milli ára skýrist af mælavæðingu götulýsingar</t>
  </si>
  <si>
    <t>Samtals með ómældu</t>
  </si>
  <si>
    <t xml:space="preserve">Tafla 1. sýnir meðalumferð á dag eftir mánuðum í þremur völdum sniðum innan höfuðborgarsvæðis. </t>
  </si>
  <si>
    <t>Höfuðborgarsvæðið</t>
  </si>
  <si>
    <t>Sniðtalning - RVK</t>
  </si>
  <si>
    <t>Hafnarfjarðarvegur sunnan Kópavogslækjar</t>
  </si>
  <si>
    <t>Reykjanesbraut við Dalveg í Kópavogi</t>
  </si>
  <si>
    <r>
      <t xml:space="preserve">Vesturlandsvegur (Nesbraut) móts við Skeljung, </t>
    </r>
    <r>
      <rPr>
        <sz val="8"/>
        <rFont val="Arial"/>
        <family val="2"/>
      </rPr>
      <t>(ofan Ártúnsbrekku)</t>
    </r>
  </si>
  <si>
    <t>Samanlögð meðalumferð á talningastöðum</t>
  </si>
  <si>
    <t>Meðalumfer/dag fyrir hvern mánuð lagður saman (reiknitala)</t>
  </si>
  <si>
    <t xml:space="preserve">          ---- Mismunur ----</t>
  </si>
  <si>
    <t>Sæbraut</t>
  </si>
  <si>
    <t xml:space="preserve">samtals </t>
  </si>
  <si>
    <t xml:space="preserve">Fjöldi bíla - </t>
  </si>
  <si>
    <t>29/7/2026 - RVK</t>
  </si>
  <si>
    <t>Fjöldi ökutækja</t>
  </si>
  <si>
    <t>Fjöldi í úrtaki</t>
  </si>
  <si>
    <t>Hlutfall í úrtaki</t>
  </si>
  <si>
    <t>Meðalakstur á dag</t>
  </si>
  <si>
    <t>Meðalakstur á ári</t>
  </si>
  <si>
    <t>Fjöldi bíla - lok árs 2022</t>
  </si>
  <si>
    <t>02/9/2025 - RVK</t>
  </si>
  <si>
    <t>Lengd vegkafla í km →</t>
  </si>
  <si>
    <t>Umferð</t>
  </si>
  <si>
    <t>Meðalumferð</t>
  </si>
  <si>
    <t>Fjöldi</t>
  </si>
  <si>
    <t>Bensín</t>
  </si>
  <si>
    <t>Emission factors (T/TJ)</t>
  </si>
  <si>
    <t>UST stuðlar 6.0.2</t>
  </si>
  <si>
    <t>UST stuðlar 6.0.1</t>
  </si>
  <si>
    <t>UST stuðlar</t>
  </si>
  <si>
    <t>Akstur</t>
  </si>
  <si>
    <r>
      <t>Ár↓    mán.↓   Vegnr</t>
    </r>
    <r>
      <rPr>
        <sz val="10"/>
        <rFont val="Arial"/>
        <family val="2"/>
      </rPr>
      <t>.→</t>
    </r>
  </si>
  <si>
    <t>40-03</t>
  </si>
  <si>
    <t>41-12</t>
  </si>
  <si>
    <t>49-01</t>
  </si>
  <si>
    <t>Uppsafnað</t>
  </si>
  <si>
    <t xml:space="preserve">Vegkaflar </t>
  </si>
  <si>
    <t xml:space="preserve">Samtals </t>
  </si>
  <si>
    <t>Orkugjafi/ökutækafl.</t>
  </si>
  <si>
    <t>L/100km</t>
  </si>
  <si>
    <t>L/km</t>
  </si>
  <si>
    <t>kg/L</t>
  </si>
  <si>
    <t>kg/km (kT/mkm)</t>
  </si>
  <si>
    <t>TJ/kT</t>
  </si>
  <si>
    <t>TJ/mkm</t>
  </si>
  <si>
    <t>CO2</t>
  </si>
  <si>
    <t>CH4</t>
  </si>
  <si>
    <t>N2O</t>
  </si>
  <si>
    <t>CO2-íg/L</t>
  </si>
  <si>
    <t>kg CO2 íg</t>
  </si>
  <si>
    <t>T CO2 íg</t>
  </si>
  <si>
    <t>gCO2/km</t>
  </si>
  <si>
    <t>tCO2 íg</t>
  </si>
  <si>
    <r>
      <t xml:space="preserve"> Umferð</t>
    </r>
    <r>
      <rPr>
        <sz val="10"/>
        <rFont val="Arial"/>
        <family val="2"/>
      </rPr>
      <t>→</t>
    </r>
  </si>
  <si>
    <t>Fjöldi bíla pr. dag</t>
  </si>
  <si>
    <r>
      <rPr>
        <sz val="11"/>
        <rFont val="Arial"/>
        <family val="2"/>
      </rPr>
      <t>Σ</t>
    </r>
    <r>
      <rPr>
        <sz val="10"/>
        <rFont val="Arial"/>
        <family val="2"/>
      </rPr>
      <t xml:space="preserve"> umf/dag</t>
    </r>
  </si>
  <si>
    <r>
      <rPr>
        <sz val="11"/>
        <rFont val="Arial"/>
        <family val="2"/>
      </rPr>
      <t>Σ</t>
    </r>
    <r>
      <rPr>
        <sz val="10"/>
        <rFont val="Arial"/>
        <family val="2"/>
      </rPr>
      <t xml:space="preserve"> umferð</t>
    </r>
  </si>
  <si>
    <t>Mánaða</t>
  </si>
  <si>
    <t>Af er árs</t>
  </si>
  <si>
    <t>Hópbifreiðar ≤5t</t>
  </si>
  <si>
    <t>Janúar</t>
  </si>
  <si>
    <t>Hópbifreiðar &gt;5t</t>
  </si>
  <si>
    <t>Fólksbílar</t>
  </si>
  <si>
    <t>UST 1</t>
  </si>
  <si>
    <t>UST 2</t>
  </si>
  <si>
    <t>Febrúar</t>
  </si>
  <si>
    <t>Sendibifreiðar</t>
  </si>
  <si>
    <t>Dísil</t>
  </si>
  <si>
    <t>Mars</t>
  </si>
  <si>
    <t>LÍKAN 2012</t>
  </si>
  <si>
    <t>UPPFÆRSLA 2021 (Líkan 2019)</t>
  </si>
  <si>
    <t>UPPFÆRSLA 2024</t>
  </si>
  <si>
    <t>Vörubifreiðar ≤12t</t>
  </si>
  <si>
    <t>Rafmagn</t>
  </si>
  <si>
    <t>Annað, þmt rafmagn</t>
  </si>
  <si>
    <t>Apríl</t>
  </si>
  <si>
    <t>Vörubifreiðar &gt;12t</t>
  </si>
  <si>
    <t>Metan</t>
  </si>
  <si>
    <t>Smáar hópbifreiðar</t>
  </si>
  <si>
    <t>Bensín / Rafmagn</t>
  </si>
  <si>
    <t>Maí</t>
  </si>
  <si>
    <t>Meðalvegalengd (2012)</t>
  </si>
  <si>
    <t>Dísel</t>
  </si>
  <si>
    <t>Sendibílar</t>
  </si>
  <si>
    <t>Bensín / Raftengill</t>
  </si>
  <si>
    <t>Júní</t>
  </si>
  <si>
    <t>km</t>
  </si>
  <si>
    <t>Stærri hópbifreiðar</t>
  </si>
  <si>
    <t>Bifhjól</t>
  </si>
  <si>
    <t>Dísel / Rafmagn</t>
  </si>
  <si>
    <t>Júlí</t>
  </si>
  <si>
    <t>HVDU (Mkm)</t>
  </si>
  <si>
    <t>mkm</t>
  </si>
  <si>
    <t>Vikuumferð (Mkm)</t>
  </si>
  <si>
    <t>Árdagsumferð (Mkm)</t>
  </si>
  <si>
    <t>Innan RVK (Mkm)</t>
  </si>
  <si>
    <t>Ferðir</t>
  </si>
  <si>
    <t>HVDU</t>
  </si>
  <si>
    <t>Árdagsumferð</t>
  </si>
  <si>
    <t>Innan RVK</t>
  </si>
  <si>
    <t>Bensín /Metan</t>
  </si>
  <si>
    <t>Dísel / Raftengill</t>
  </si>
  <si>
    <t>Ágúst</t>
  </si>
  <si>
    <t>Bensín / Metan</t>
  </si>
  <si>
    <t>September</t>
  </si>
  <si>
    <t>Október</t>
  </si>
  <si>
    <t>Nóvember</t>
  </si>
  <si>
    <t>Bensín /Raf.tengill</t>
  </si>
  <si>
    <t>Desember</t>
  </si>
  <si>
    <t>Fólksbifreiðar, aðrir orkugjafar</t>
  </si>
  <si>
    <t>Meðalumferð/dag ≈  ÁDU</t>
  </si>
  <si>
    <t>Milli áranna 2005 og 2006</t>
  </si>
  <si>
    <t>Bensín /Rafmagn</t>
  </si>
  <si>
    <t>Dísel /Metan</t>
  </si>
  <si>
    <t>Milli áranna 2006 og 2007</t>
  </si>
  <si>
    <t>Dísel /Raf.tengill</t>
  </si>
  <si>
    <t>UPPFÆRSLA 2026</t>
  </si>
  <si>
    <t>Dísel /Rafmagn</t>
  </si>
  <si>
    <t>Innan RVK samtals</t>
  </si>
  <si>
    <t>Mkm</t>
  </si>
  <si>
    <t>Etanol</t>
  </si>
  <si>
    <t xml:space="preserve">Akstur </t>
  </si>
  <si>
    <t>Annað en fólksbílar</t>
  </si>
  <si>
    <t>Milli áranna 2007 og 2008</t>
  </si>
  <si>
    <t>Metanól /Bensín</t>
  </si>
  <si>
    <t>Óskráð</t>
  </si>
  <si>
    <t>Milli áranna 2008 og 2009</t>
  </si>
  <si>
    <t>Vetni /Rafmagn</t>
  </si>
  <si>
    <t>Rafmagn - hybrid</t>
  </si>
  <si>
    <t xml:space="preserve">https://www.ust.is/library/sida/Loft/Losunarstudlar_UST_5.0.2.pdf </t>
  </si>
  <si>
    <t>Fólksbifreið</t>
  </si>
  <si>
    <t>16/8/2024 - RVK</t>
  </si>
  <si>
    <t>Reykjavík (Póstnúmer &lt;170)</t>
  </si>
  <si>
    <t>Rafmagn - tengill</t>
  </si>
  <si>
    <t>UST (EF/L)</t>
  </si>
  <si>
    <t>UST (EF/km)</t>
  </si>
  <si>
    <t>Sendibifreið</t>
  </si>
  <si>
    <t>(EF/TJ)</t>
  </si>
  <si>
    <t>Bensín/Metan</t>
  </si>
  <si>
    <t>Milli áranna 2009 og 2010</t>
  </si>
  <si>
    <r>
      <rPr>
        <b/>
        <sz val="9"/>
        <rFont val="Times New Roman"/>
        <family val="1"/>
      </rPr>
      <t xml:space="preserve"> CO</t>
    </r>
    <r>
      <rPr>
        <b/>
        <vertAlign val="subscript"/>
        <sz val="9"/>
        <rFont val="Times New Roman"/>
        <family val="1"/>
      </rPr>
      <t>2</t>
    </r>
    <r>
      <rPr>
        <b/>
        <vertAlign val="superscript"/>
        <sz val="9"/>
        <rFont val="Times New Roman"/>
        <family val="1"/>
      </rPr>
      <t xml:space="preserve"> </t>
    </r>
    <r>
      <rPr>
        <vertAlign val="superscript"/>
        <sz val="9"/>
        <rFont val="Times New Roman"/>
        <family val="1"/>
      </rPr>
      <t>(1)</t>
    </r>
  </si>
  <si>
    <r>
      <rPr>
        <b/>
        <sz val="9"/>
        <rFont val="Times New Roman"/>
        <family val="1"/>
      </rPr>
      <t>CH</t>
    </r>
    <r>
      <rPr>
        <b/>
        <vertAlign val="subscript"/>
        <sz val="9"/>
        <rFont val="Times New Roman"/>
        <family val="1"/>
      </rPr>
      <t>4</t>
    </r>
  </si>
  <si>
    <r>
      <rPr>
        <b/>
        <sz val="9"/>
        <rFont val="Times New Roman"/>
        <family val="1"/>
      </rPr>
      <t>N</t>
    </r>
    <r>
      <rPr>
        <b/>
        <vertAlign val="subscript"/>
        <sz val="9"/>
        <rFont val="Times New Roman"/>
        <family val="1"/>
      </rPr>
      <t>2</t>
    </r>
    <r>
      <rPr>
        <b/>
        <sz val="9"/>
        <rFont val="Times New Roman"/>
        <family val="1"/>
      </rPr>
      <t>O</t>
    </r>
  </si>
  <si>
    <t>(t/TJ)</t>
  </si>
  <si>
    <t>1.A.3.b.i.  Cars</t>
  </si>
  <si>
    <t>NCV</t>
  </si>
  <si>
    <t>FB bens</t>
  </si>
  <si>
    <t>Gasoline</t>
  </si>
  <si>
    <t>FB dis</t>
  </si>
  <si>
    <t>Diesel oil</t>
  </si>
  <si>
    <t>LD bens</t>
  </si>
  <si>
    <t>1.A.3.b.ii.  Light duty trucks</t>
  </si>
  <si>
    <t>LD dis</t>
  </si>
  <si>
    <t>HD bens</t>
  </si>
  <si>
    <t>HD dis</t>
  </si>
  <si>
    <t>1.A.3.b.iii.  Heavy duty trucks and buses</t>
  </si>
  <si>
    <t xml:space="preserve">Tegund </t>
  </si>
  <si>
    <t>Fjöldi ferða</t>
  </si>
  <si>
    <t>Vegalengd</t>
  </si>
  <si>
    <t>Meðalvegalengd</t>
  </si>
  <si>
    <t>Milli áranna 2010 og 2011</t>
  </si>
  <si>
    <t>Þéttleiki</t>
  </si>
  <si>
    <t>Orkuþéttleiki</t>
  </si>
  <si>
    <t>Einkabíll</t>
  </si>
  <si>
    <t>Sendiferðabíll</t>
  </si>
  <si>
    <t>Þung umferð</t>
  </si>
  <si>
    <t>Tot</t>
  </si>
  <si>
    <t>SLH útgáfa 8.0, Skýrslu-útgáfa 4.1</t>
  </si>
  <si>
    <t>Milli áranna 2011 og 2012</t>
  </si>
  <si>
    <t>Rafmagn/Tvinnbíll</t>
  </si>
  <si>
    <t>Rafmagnstengill</t>
  </si>
  <si>
    <r>
      <t xml:space="preserve">2013                </t>
    </r>
    <r>
      <rPr>
        <b/>
        <i/>
        <sz val="9"/>
        <rFont val="Arial"/>
        <family val="2"/>
      </rPr>
      <t xml:space="preserve"> </t>
    </r>
    <r>
      <rPr>
        <i/>
        <sz val="9"/>
        <rFont val="Arial"/>
        <family val="2"/>
      </rPr>
      <t>(teljari 40-03, bilaður frá apríl - des)</t>
    </r>
  </si>
  <si>
    <t>Milli áranna 2012 og 2013</t>
  </si>
  <si>
    <t>Milli áranna 2013 og 2014</t>
  </si>
  <si>
    <t>Milli áranna 2014 og 2015</t>
  </si>
  <si>
    <r>
      <t>ÁDU</t>
    </r>
    <r>
      <rPr>
        <vertAlign val="subscript"/>
        <sz val="10"/>
        <rFont val="Arial"/>
        <family val="2"/>
      </rPr>
      <t>nálgað</t>
    </r>
  </si>
  <si>
    <t>Milli áranna 2015 og 2016</t>
  </si>
  <si>
    <t>Milli áranna 2016 og 2017</t>
  </si>
  <si>
    <t>Milli áranna 2017 og 2018</t>
  </si>
  <si>
    <t>Milli áranna 2020 og 2021</t>
  </si>
  <si>
    <t>Milli áranna 2021 og 2022</t>
  </si>
  <si>
    <t>Milli áranna 2022 og 2023</t>
  </si>
  <si>
    <t> </t>
  </si>
  <si>
    <t>Milli áranna 2023 og 2024</t>
  </si>
  <si>
    <t>M108</t>
  </si>
  <si>
    <t>M410</t>
  </si>
  <si>
    <t>Tafla 1. sýnir</t>
  </si>
  <si>
    <t>Reykjavíkurflugvöllur</t>
  </si>
  <si>
    <t>Reykjavíkurflugvöllur  -  Hreyfingar</t>
  </si>
  <si>
    <t>IMPLIED EMISSION FACTORS</t>
  </si>
  <si>
    <r>
      <t>Ár↓    teg.↓   E</t>
    </r>
    <r>
      <rPr>
        <sz val="10"/>
        <rFont val="Arial"/>
        <family val="2"/>
      </rPr>
      <t>.→</t>
    </r>
  </si>
  <si>
    <t>Energy content</t>
  </si>
  <si>
    <t>Emission factor</t>
  </si>
  <si>
    <t>Farþegar</t>
  </si>
  <si>
    <t>Hreyfingar</t>
  </si>
  <si>
    <t>Cargo</t>
  </si>
  <si>
    <t>Yfirflug</t>
  </si>
  <si>
    <t>Losun</t>
  </si>
  <si>
    <r>
      <t xml:space="preserve"> CO</t>
    </r>
    <r>
      <rPr>
        <b/>
        <vertAlign val="subscript"/>
        <sz val="9"/>
        <rFont val="Times New Roman"/>
        <family val="1"/>
      </rPr>
      <t>2</t>
    </r>
  </si>
  <si>
    <r>
      <t>CH</t>
    </r>
    <r>
      <rPr>
        <b/>
        <vertAlign val="subscript"/>
        <sz val="9"/>
        <rFont val="Times New Roman"/>
        <family val="1"/>
      </rPr>
      <t>4</t>
    </r>
  </si>
  <si>
    <r>
      <t>N</t>
    </r>
    <r>
      <rPr>
        <b/>
        <vertAlign val="subscript"/>
        <sz val="9"/>
        <rFont val="Times New Roman"/>
        <family val="1"/>
      </rPr>
      <t>2</t>
    </r>
    <r>
      <rPr>
        <b/>
        <sz val="9"/>
        <rFont val="Times New Roman"/>
        <family val="1"/>
      </rPr>
      <t>O</t>
    </r>
  </si>
  <si>
    <r>
      <rPr>
        <sz val="11"/>
        <rFont val="Arial"/>
        <family val="2"/>
      </rPr>
      <t>Σ</t>
    </r>
    <r>
      <rPr>
        <sz val="10"/>
        <rFont val="Arial"/>
        <family val="2"/>
      </rPr>
      <t xml:space="preserve"> </t>
    </r>
  </si>
  <si>
    <t>(kg/LTO)</t>
  </si>
  <si>
    <t>t CO2-íg</t>
  </si>
  <si>
    <t>(kg/TJ)</t>
  </si>
  <si>
    <t>(MJ/kg)</t>
  </si>
  <si>
    <t>(kg CO2/kg)</t>
  </si>
  <si>
    <t>Áætlunar/leiguflug</t>
  </si>
  <si>
    <t>a.  Domestic aviation</t>
  </si>
  <si>
    <t/>
  </si>
  <si>
    <t>Annað flug</t>
  </si>
  <si>
    <t>Aviation gasoline</t>
  </si>
  <si>
    <t>Snertilendingar</t>
  </si>
  <si>
    <t>Jet kerosene</t>
  </si>
  <si>
    <t>Samtals innanlands</t>
  </si>
  <si>
    <t>Biomass</t>
  </si>
  <si>
    <t>NO</t>
  </si>
  <si>
    <t>kg/LTO</t>
  </si>
  <si>
    <t>Samtals milli landa</t>
  </si>
  <si>
    <t>LTO</t>
  </si>
  <si>
    <t>kg</t>
  </si>
  <si>
    <t>Milli áranna 2018 og 2019</t>
  </si>
  <si>
    <t>Milli áranna 2019 og 2020</t>
  </si>
  <si>
    <t>kg tot</t>
  </si>
  <si>
    <t>TJ tot</t>
  </si>
  <si>
    <t>Kef apr 2019-20</t>
  </si>
  <si>
    <t>Sundahöfn</t>
  </si>
  <si>
    <t>Gamla höfnin</t>
  </si>
  <si>
    <t>Hafnarsvæði Reykjavíkur</t>
  </si>
  <si>
    <t>2015M07</t>
  </si>
  <si>
    <t xml:space="preserve"> -- Breytingar --</t>
  </si>
  <si>
    <t xml:space="preserve">  -- Breytingar --</t>
  </si>
  <si>
    <t>2015M08</t>
  </si>
  <si>
    <t>2015M09</t>
  </si>
  <si>
    <t>2015M10</t>
  </si>
  <si>
    <t>CO2-eq WTW</t>
  </si>
  <si>
    <t>Fjöldi skipa</t>
  </si>
  <si>
    <t>Skipakomur</t>
  </si>
  <si>
    <t>2015M11</t>
  </si>
  <si>
    <t>Losun (tonn)</t>
  </si>
  <si>
    <t>2015M12</t>
  </si>
  <si>
    <t>Þurrflutningaskip</t>
  </si>
  <si>
    <t>2016M01</t>
  </si>
  <si>
    <t>Gámaskip</t>
  </si>
  <si>
    <t>2016M02</t>
  </si>
  <si>
    <t>Almenn flutningaskip</t>
  </si>
  <si>
    <t>2016M03</t>
  </si>
  <si>
    <t>Tankskip</t>
  </si>
  <si>
    <t>2016M04</t>
  </si>
  <si>
    <t>Flutningaskip</t>
  </si>
  <si>
    <t>2016M05</t>
  </si>
  <si>
    <t>RoRo og ferjur</t>
  </si>
  <si>
    <t>Skemmtiferðaskip</t>
  </si>
  <si>
    <t>2016M06</t>
  </si>
  <si>
    <t>2016M07</t>
  </si>
  <si>
    <t>Farþegaskip</t>
  </si>
  <si>
    <t>http://www.faxafloahafnir.is/cruiseships/index.php?pid=1&amp;w=v</t>
  </si>
  <si>
    <t xml:space="preserve"> </t>
  </si>
  <si>
    <t>2016M08</t>
  </si>
  <si>
    <t>Flutninga- og farþegaskip</t>
  </si>
  <si>
    <t>fj. Ferða</t>
  </si>
  <si>
    <t>fj. Skipa</t>
  </si>
  <si>
    <t>GRT</t>
  </si>
  <si>
    <t>Cap</t>
  </si>
  <si>
    <t>Load</t>
  </si>
  <si>
    <t>Áhöfn</t>
  </si>
  <si>
    <t>Farþegar og áhöfn</t>
  </si>
  <si>
    <t>Skip</t>
  </si>
  <si>
    <t>2016M09</t>
  </si>
  <si>
    <t>2016M10</t>
  </si>
  <si>
    <t>Hvalaskoðunarskip</t>
  </si>
  <si>
    <t>2016M11</t>
  </si>
  <si>
    <t>Önnur skip</t>
  </si>
  <si>
    <t>2016M12</t>
  </si>
  <si>
    <t>2017M01</t>
  </si>
  <si>
    <t>2017M02</t>
  </si>
  <si>
    <t>2017M03</t>
  </si>
  <si>
    <t>2017M04</t>
  </si>
  <si>
    <t>?</t>
  </si>
  <si>
    <t>2017M05</t>
  </si>
  <si>
    <t>2017M06</t>
  </si>
  <si>
    <t>2017M07</t>
  </si>
  <si>
    <t>2017M08</t>
  </si>
  <si>
    <t>2017M09</t>
  </si>
  <si>
    <t>Breytingar á milli ára</t>
  </si>
  <si>
    <t>2017M10</t>
  </si>
  <si>
    <t>2017M11</t>
  </si>
  <si>
    <t>Farþega- og flutningaskip</t>
  </si>
  <si>
    <t>2017M12</t>
  </si>
  <si>
    <t>2018M01</t>
  </si>
  <si>
    <t>2018M02</t>
  </si>
  <si>
    <t>2018M03</t>
  </si>
  <si>
    <t>2018M04</t>
  </si>
  <si>
    <t>2018M05</t>
  </si>
  <si>
    <t>2018M06</t>
  </si>
  <si>
    <t>2018M07</t>
  </si>
  <si>
    <t>2018M08</t>
  </si>
  <si>
    <t>2018M09</t>
  </si>
  <si>
    <t>2018M10</t>
  </si>
  <si>
    <t>2018M11</t>
  </si>
  <si>
    <t>2018M12</t>
  </si>
  <si>
    <t>2019M01</t>
  </si>
  <si>
    <t>2019M02</t>
  </si>
  <si>
    <t>2019M03</t>
  </si>
  <si>
    <t>2019M04</t>
  </si>
  <si>
    <t>2019M05</t>
  </si>
  <si>
    <t>2019M06</t>
  </si>
  <si>
    <t>2019M07</t>
  </si>
  <si>
    <t>2019M08</t>
  </si>
  <si>
    <t>2019M09</t>
  </si>
  <si>
    <t>Af því gámar</t>
  </si>
  <si>
    <t>2019M10</t>
  </si>
  <si>
    <t>2019M11</t>
  </si>
  <si>
    <t>2019M12</t>
  </si>
  <si>
    <t>2020M01</t>
  </si>
  <si>
    <t>2020M02</t>
  </si>
  <si>
    <t>2020M03</t>
  </si>
  <si>
    <t>2020M04</t>
  </si>
  <si>
    <t>2020M05</t>
  </si>
  <si>
    <t>2020M06</t>
  </si>
  <si>
    <t>2020M07</t>
  </si>
  <si>
    <t>2020M08</t>
  </si>
  <si>
    <t>58.235,02020M0855.303,6</t>
  </si>
  <si>
    <t>e</t>
  </si>
  <si>
    <t>ton CO2e (WTW)</t>
  </si>
  <si>
    <t>ton CO2e (TTW)</t>
  </si>
  <si>
    <t xml:space="preserve">Loftlagsbókhald Reykjavíkur - Tölur </t>
  </si>
  <si>
    <t>Orkuspásvæði</t>
  </si>
  <si>
    <t xml:space="preserve">Athuga dálkar sem eru merktir með gulum lit eru þeir sem voru settir inn í CIRIS og/eða minnisblaðið. </t>
  </si>
  <si>
    <t>HSA-05 Reykjavík</t>
  </si>
  <si>
    <t>HSB-01 Kjalarnes</t>
  </si>
  <si>
    <t>Samtals HAS-05 og HSB-01</t>
  </si>
  <si>
    <t>Magn [GWh]</t>
  </si>
  <si>
    <t>Deifitöp*</t>
  </si>
  <si>
    <t>ON Stuðull [g CO2 íg/kwh]</t>
  </si>
  <si>
    <t>Rauðavatn, 132 kV</t>
  </si>
  <si>
    <t>Korpa, 132 kV</t>
  </si>
  <si>
    <t>Heildarorka</t>
  </si>
  <si>
    <t>Heildarorka [kWh]</t>
  </si>
  <si>
    <t>UOS Stuðull [g CO2 íg/kwh]</t>
  </si>
  <si>
    <t>Losun [g CO2 íg]</t>
  </si>
  <si>
    <t>Losun [tCO2 íg]</t>
  </si>
  <si>
    <t>Uppruni gagna</t>
  </si>
  <si>
    <t>Samtals Reykjavík með dreifitöpum</t>
  </si>
  <si>
    <t>Raforkuspá 2019-2050 og National Inventory report 2019</t>
  </si>
  <si>
    <t>* Er ætlað sem hlutfall af dreifitöpum Veitna</t>
  </si>
  <si>
    <t>Veitur (Viðauki 2 í Raforkuspá)</t>
  </si>
  <si>
    <t>Afhending til notenda</t>
  </si>
  <si>
    <t>HSA-05 RVK</t>
  </si>
  <si>
    <t>HSB-01 KJN</t>
  </si>
  <si>
    <t>Samtals RVK</t>
  </si>
  <si>
    <t>Losun vegna dreifitapa</t>
  </si>
  <si>
    <t>Dreifitöp</t>
  </si>
  <si>
    <t>Orkuöflun</t>
  </si>
  <si>
    <t>Töp og ómæld notkun % af orkuöflun</t>
  </si>
  <si>
    <t>Eldri útreikningar á dreifitöpum</t>
  </si>
  <si>
    <t>Skekkja  í útreikningum á dreiftöpum</t>
  </si>
  <si>
    <t>Heitt vatn (upphitun)</t>
  </si>
  <si>
    <t>Vatnsvinnsla hitaveitu í RVK [GL]</t>
  </si>
  <si>
    <t>Framleiðsla [MWth]</t>
  </si>
  <si>
    <t>Framleiðsla [MWh]</t>
  </si>
  <si>
    <t>Stuðull [g CO2 íg/kwh]</t>
  </si>
  <si>
    <t>Stuðull [g CO2 íg/m3]</t>
  </si>
  <si>
    <t>Uppruni upplýsinga</t>
  </si>
  <si>
    <t>Athugasemd</t>
  </si>
  <si>
    <t>distric_Hitaveita Þráinn</t>
  </si>
  <si>
    <t>Bjarni Reyr Kristjánsson og Sigrún Tómasdóttir. (2023). Hitaveita í Reykjavík – Vatnsvinnsla 2022. Reykjavík: Veitur / Orkuveita Reykjavíkur.</t>
  </si>
  <si>
    <t>Simon Klüpfel og Bjarni Reyr Kristjánsson. (2023). Hitaveita í Reykjavík – Vatnsvinnsla 2022. Reykjavík: Veitur / Orkuveita Reykjavíkur.</t>
  </si>
  <si>
    <t>Simon Klüpfel og Bjarni Reyr Kristjánsson. (2022). Hitaveita í Reykjavík – Vatnsvinnsla 2021. Reykjavík: Veitur / Orkuveita Reykjavíkur.</t>
  </si>
  <si>
    <t>Gretar Ívarsson og Simon Klüpfel. (2021). Hitaveita í Reykjavík – Vatnsvinnsla 2020. Reykjavík: Veitur / Orkuveita Reykjavíkur.</t>
  </si>
  <si>
    <t>Hitaveita í Reykjavík nýttir sér jarðhitavatn frá lághitasvæðunum í Elliðaám, Laugarnesi, Reykjum og Reykjahlíð. Að auki kemur um helmingur alls vatns frá háhitasvæðum í Henglinum (Nesjavellir og Hellisheiði), þar sem kalt grunnvatn er hitað og meðhöndlað.</t>
  </si>
  <si>
    <t>Gretar Ívarsson, Simon Klüpfel, Sigrún Tómasdóttir og Hendrik Tómasson. (2020). Hitaveita í Reykjavík – Vatnsvinnsla 2019. Reykjavík: Veitur / Orkuveita Reykjavíkur.</t>
  </si>
  <si>
    <t>Gretar Ívarsson, Simon Klüpfel, Sigrún Tómasdóttir og Hendrik Tómasson. (2019). Hitaveita í Reykjavík – Vatnsvinnsla 2018. Reykjavík: Veitur / Orkuveita Reykjavíkur.</t>
  </si>
  <si>
    <t>Gretar Ívarsson. (2018). Hitaveita í Reykjavík – Vatnsvinnslan og efnafræði vatnsins 2017. Reykjavík: Veitur / Orkuveita Reykjavíkur.</t>
  </si>
  <si>
    <t>Gretar Ívarsson. (2017). Hitaveita í Reykjavík – Vatnsvinnslan og efnafræði vatnsins 2016. Reykjavík: Veitur / Orkuveita Reykjavíkur.</t>
  </si>
  <si>
    <t>Gretar Ívarsson. (2016). Hitaveita í Reykjavík – Vatnsvinnslan og efnafræði vatnsins 2015. Reykjavík: Veitur / Orkuveita Reykjavíkur.</t>
  </si>
  <si>
    <t>*One m3 of hot water in the disrict heating system is equivalent of 52 kWh. This is an update based on data from Veitur's smart meters. previously 58 kWh were assumed. Historical Energy production numbers have been corrected accordingly.</t>
  </si>
  <si>
    <t>Energy Production Orkuveita</t>
  </si>
  <si>
    <t>El (GWh)</t>
  </si>
  <si>
    <t>EF [g/kWh]</t>
  </si>
  <si>
    <t>E [tCO2eq]</t>
  </si>
  <si>
    <t>Th [GWh]</t>
  </si>
  <si>
    <t>Th [m3]</t>
  </si>
  <si>
    <t>EF [gCO2eq/m3]</t>
  </si>
  <si>
    <t>https://orkuveitan.is/documents/1558/Loftslagsb%C3%B3khald_orkuveitunnar_2024_-_03.03.2025.pdf</t>
  </si>
  <si>
    <t>Álfsnes</t>
  </si>
  <si>
    <t>Baggar</t>
  </si>
  <si>
    <t>Urðað</t>
  </si>
  <si>
    <t>Magn</t>
  </si>
  <si>
    <t>Losun -  FOD</t>
  </si>
  <si>
    <t>Losun - MC</t>
  </si>
  <si>
    <t>Brennt erlendis</t>
  </si>
  <si>
    <t>Baggaður úrgangur í Álfsnes</t>
  </si>
  <si>
    <t>Brennsla innlend</t>
  </si>
  <si>
    <t>Magn (kt)</t>
  </si>
  <si>
    <t>Emissions from IPCC model wo rec and ox, CH4 (Gg)</t>
  </si>
  <si>
    <t>Emissions from IPCC model, CH4 (Gg)</t>
  </si>
  <si>
    <t>CO2e (Gg)</t>
  </si>
  <si>
    <t>IEF: emissions in CO2e/total amount of waste</t>
  </si>
  <si>
    <t>Recovery (kt)</t>
  </si>
  <si>
    <t>Collection efficiency</t>
  </si>
  <si>
    <t>CO2e (t)</t>
  </si>
  <si>
    <t>RVK magn</t>
  </si>
  <si>
    <t>RVK - CO2e (t)</t>
  </si>
  <si>
    <t>IPCC EF</t>
  </si>
  <si>
    <t>Magn (t)</t>
  </si>
  <si>
    <t>Magn RVK (t)</t>
  </si>
  <si>
    <t>Sorpa heild</t>
  </si>
  <si>
    <t>Sorpa RVK</t>
  </si>
  <si>
    <t>IGF Heild</t>
  </si>
  <si>
    <t>IGF RVK</t>
  </si>
  <si>
    <t>Terra heild</t>
  </si>
  <si>
    <t>Terra RVK</t>
  </si>
  <si>
    <t>Heild (t)</t>
  </si>
  <si>
    <t>EF [tCO2-eq/t]</t>
  </si>
  <si>
    <t>Heild RVK (t)</t>
  </si>
  <si>
    <t>https://arsskyrsla2024.sorpa.is/starfsemi/</t>
  </si>
  <si>
    <t>Mánuður</t>
  </si>
  <si>
    <t>Magn í tonnum</t>
  </si>
  <si>
    <t>Magn í tonnum (síðasta ár)</t>
  </si>
  <si>
    <t>Magntölur Kölku</t>
  </si>
  <si>
    <t>Magn urðað (tonn)</t>
  </si>
  <si>
    <t>CH4 (tonn)</t>
  </si>
  <si>
    <t>Tímabil</t>
  </si>
  <si>
    <t>2025</t>
  </si>
  <si>
    <t>CH4 fangað (tonn)</t>
  </si>
  <si>
    <t>Sorphirða sveitarfélög</t>
  </si>
  <si>
    <t>CO2 (tonn)</t>
  </si>
  <si>
    <t>Gámafyrirtæki</t>
  </si>
  <si>
    <t>CO2 ígildi (tonn)</t>
  </si>
  <si>
    <t>Önnur fyrirtæki</t>
  </si>
  <si>
    <t>Magn jarðgert (tonn)</t>
  </si>
  <si>
    <t>Gámaplön</t>
  </si>
  <si>
    <t>Grenndarstöðvar</t>
  </si>
  <si>
    <t>UST</t>
  </si>
  <si>
    <t>Ómeðhöndlað (brennsla, endurvinnsla, urðun)</t>
  </si>
  <si>
    <t>FOD</t>
  </si>
  <si>
    <t>Samtals móttekið (kg)</t>
  </si>
  <si>
    <t>Frákeyrt í urðun</t>
  </si>
  <si>
    <t>Frákeyrt í endurvinnslu</t>
  </si>
  <si>
    <t>Botnaska til urðunar</t>
  </si>
  <si>
    <t>Samtals (kg)</t>
  </si>
  <si>
    <t>Upprunið í RVK</t>
  </si>
  <si>
    <t>Losun (tonn CO2 íg)</t>
  </si>
  <si>
    <t>og</t>
  </si>
  <si>
    <t>kg/t</t>
  </si>
  <si>
    <t>Úr umhverfisskæyrslu 2024</t>
  </si>
  <si>
    <t>5,665,840</t>
  </si>
  <si>
    <t>5,206,990</t>
  </si>
  <si>
    <t>5,071,450</t>
  </si>
  <si>
    <t>5,491,917</t>
  </si>
  <si>
    <t>6,024,555</t>
  </si>
  <si>
    <t>5,817,095</t>
  </si>
  <si>
    <t>1,953,397</t>
  </si>
  <si>
    <t>2,038,243</t>
  </si>
  <si>
    <t>2,164,068</t>
  </si>
  <si>
    <t>5,792,899</t>
  </si>
  <si>
    <t>5,062,161</t>
  </si>
  <si>
    <t>5,479,655</t>
  </si>
  <si>
    <t>20,100,253</t>
  </si>
  <si>
    <t>18,904,053</t>
  </si>
  <si>
    <t>18,331,949</t>
  </si>
  <si>
    <t>18,532,268</t>
  </si>
  <si>
    <t>11,023,463</t>
  </si>
  <si>
    <t>11,479,101</t>
  </si>
  <si>
    <t>11,529,789</t>
  </si>
  <si>
    <t>4,030,708</t>
  </si>
  <si>
    <t>4,817,544</t>
  </si>
  <si>
    <t>4,979,817</t>
  </si>
  <si>
    <t>3,849,882</t>
  </si>
  <si>
    <t>2,035,304</t>
  </si>
  <si>
    <t>2,022,662</t>
  </si>
  <si>
    <t>2017-18</t>
  </si>
  <si>
    <t>2018-19</t>
  </si>
  <si>
    <t>2019-20</t>
  </si>
  <si>
    <t>Mannfjoldi:</t>
  </si>
  <si>
    <t>https://px.hagstofa.is/pxis/pxweb/is/Ibuar/Ibuar__mannfjoldi__2_byggdir__sveitarfelog/MAN02001.px/table/tableViewLayout2/</t>
  </si>
  <si>
    <t>C/PE (2017)</t>
  </si>
  <si>
    <t>C/PE (2018)</t>
  </si>
  <si>
    <t>Mannfjöldi RVK</t>
  </si>
  <si>
    <t>Mannfjöldi stór RVK</t>
  </si>
  <si>
    <t>TOW (t BOD/y)</t>
  </si>
  <si>
    <t>B0</t>
  </si>
  <si>
    <t>kg CH4/kg BOD</t>
  </si>
  <si>
    <t>Protein consumption (kg/person/y)</t>
  </si>
  <si>
    <t>MCF</t>
  </si>
  <si>
    <t>EF</t>
  </si>
  <si>
    <t>Sludge removed</t>
  </si>
  <si>
    <t>CO2 íg</t>
  </si>
  <si>
    <t>Heildarmagn</t>
  </si>
  <si>
    <t>Verkaður fiskur</t>
  </si>
  <si>
    <t>m3/t</t>
  </si>
  <si>
    <t>Þar af í Reyjavík</t>
  </si>
  <si>
    <t>kg COD/m3</t>
  </si>
  <si>
    <t>t COD</t>
  </si>
  <si>
    <t>Losun CO2 íg</t>
  </si>
  <si>
    <t>rvk</t>
  </si>
  <si>
    <t>gCO2/PE</t>
  </si>
  <si>
    <t>Heildarfjöldi</t>
  </si>
  <si>
    <t>Fjöldi RVK</t>
  </si>
  <si>
    <t>Losun (CO2 íg)</t>
  </si>
  <si>
    <t>Fjöldi dýra</t>
  </si>
  <si>
    <t>Melting</t>
  </si>
  <si>
    <t>Geymsla</t>
  </si>
  <si>
    <t>Ær</t>
  </si>
  <si>
    <t>Table3.As1</t>
  </si>
  <si>
    <t>Tegund</t>
  </si>
  <si>
    <t>NEX</t>
  </si>
  <si>
    <t>Vot</t>
  </si>
  <si>
    <t>Þurr</t>
  </si>
  <si>
    <t>Hagi</t>
  </si>
  <si>
    <t>NEX-umbreytt</t>
  </si>
  <si>
    <t>Hrútar og sauðir</t>
  </si>
  <si>
    <t>Table3.B(a)s1</t>
  </si>
  <si>
    <t>Ásetningslömb</t>
  </si>
  <si>
    <t>Table3.B(b)</t>
  </si>
  <si>
    <t>Sláturlömb</t>
  </si>
  <si>
    <t>Sauðfé alls</t>
  </si>
  <si>
    <t>Kýr</t>
  </si>
  <si>
    <t>Geldneyti</t>
  </si>
  <si>
    <t>Mjólkurkýr</t>
  </si>
  <si>
    <t>Kálfar</t>
  </si>
  <si>
    <t>Naut</t>
  </si>
  <si>
    <t>Nautgripir alls</t>
  </si>
  <si>
    <t>Geltir</t>
  </si>
  <si>
    <t>Gyltur</t>
  </si>
  <si>
    <t>Grísir</t>
  </si>
  <si>
    <t>Svín alls</t>
  </si>
  <si>
    <t>Hross</t>
  </si>
  <si>
    <t>Geitur</t>
  </si>
  <si>
    <t>Alifuglar</t>
  </si>
  <si>
    <t>Hænur</t>
  </si>
  <si>
    <t>AK2018</t>
  </si>
  <si>
    <t>Hlutfall sauðfé</t>
  </si>
  <si>
    <t>Hlutfall nautgripa</t>
  </si>
  <si>
    <t>Án mjólkurkúa</t>
  </si>
  <si>
    <t>Hlutfall svín</t>
  </si>
  <si>
    <t>RVK2019</t>
  </si>
  <si>
    <t>2013 - alls</t>
  </si>
  <si>
    <t>2013 - rvk</t>
  </si>
  <si>
    <t>rvk - hlutfall</t>
  </si>
  <si>
    <t>2019 - alls</t>
  </si>
  <si>
    <t>Losun vegna meðferðar og geymslu mykju</t>
  </si>
  <si>
    <t>Aðrir nautgripir</t>
  </si>
  <si>
    <t>Sauðfé</t>
  </si>
  <si>
    <t>Nautgripir</t>
  </si>
  <si>
    <t>Mjólkandi kýr</t>
  </si>
  <si>
    <t>Hestar</t>
  </si>
  <si>
    <t>Aðrir fullorðnir</t>
  </si>
  <si>
    <t>Ungneyti</t>
  </si>
  <si>
    <t>Svín</t>
  </si>
  <si>
    <t>Varphænur</t>
  </si>
  <si>
    <t>tlv í töflu</t>
  </si>
  <si>
    <t>Loaunarstuðlar(tCO2/ha)</t>
  </si>
  <si>
    <t>Stærð landsvæðis(ha)</t>
  </si>
  <si>
    <t>Áætluðlosun(tCO2íg)</t>
  </si>
  <si>
    <t>Losun (tCO2 ígilda)</t>
  </si>
  <si>
    <t>11+9</t>
  </si>
  <si>
    <t>Annað land</t>
  </si>
  <si>
    <t>Reykjavíkurborg=27361ha</t>
  </si>
  <si>
    <t>Losun frá framræstu votlendi</t>
  </si>
  <si>
    <t>Graslendi</t>
  </si>
  <si>
    <t>Binding í nýlegri skógrækt</t>
  </si>
  <si>
    <t>Votlendi</t>
  </si>
  <si>
    <t>Ár og vötn</t>
  </si>
  <si>
    <t>Byggð 2022</t>
  </si>
  <si>
    <t>Byggð-vegir 2022</t>
  </si>
  <si>
    <t>Skógrækt 1990-2022</t>
  </si>
  <si>
    <t>Skógrækt fyrir 1990</t>
  </si>
  <si>
    <t>Náttúrulegur birkiskógur</t>
  </si>
  <si>
    <t>Birkikjarr</t>
  </si>
  <si>
    <t>Virkjanalón</t>
  </si>
  <si>
    <t>5+6</t>
  </si>
  <si>
    <t>Uppgræðsla 1990-2022</t>
  </si>
  <si>
    <t>Graslendi á framræstum jarðvegi</t>
  </si>
  <si>
    <t>Ræktað land</t>
  </si>
  <si>
    <t>Ræktað land óvirkt</t>
  </si>
  <si>
    <t>ha</t>
  </si>
  <si>
    <t>RVK</t>
  </si>
  <si>
    <t>vantar 2500 ha</t>
  </si>
  <si>
    <t>7+10+16</t>
  </si>
  <si>
    <t>Landsvæði</t>
  </si>
  <si>
    <t>Ha</t>
  </si>
  <si>
    <t>km2</t>
  </si>
  <si>
    <t>Hlutfall</t>
  </si>
  <si>
    <t>CS [tC/y]</t>
  </si>
  <si>
    <t>EF [CO2e/ha]</t>
  </si>
  <si>
    <t>Emissions [tCO2e]</t>
  </si>
  <si>
    <t>NIR table</t>
  </si>
  <si>
    <t>CRT</t>
  </si>
  <si>
    <t>Implied EF</t>
  </si>
  <si>
    <t>Other land</t>
  </si>
  <si>
    <t>4F1</t>
  </si>
  <si>
    <t>Grassland</t>
  </si>
  <si>
    <t>4C1</t>
  </si>
  <si>
    <t>Wetland</t>
  </si>
  <si>
    <t>4D1c</t>
  </si>
  <si>
    <t>Lakes and rivers</t>
  </si>
  <si>
    <t>Settlement</t>
  </si>
  <si>
    <t>Byggð</t>
  </si>
  <si>
    <t>Planted forest 1990-2024</t>
  </si>
  <si>
    <t>4A2b</t>
  </si>
  <si>
    <t>Skógrækt 1990-2024</t>
  </si>
  <si>
    <t>Planted forest before 1990</t>
  </si>
  <si>
    <t>Natural birch forest</t>
  </si>
  <si>
    <t>4A1</t>
  </si>
  <si>
    <t>Birkiskógur</t>
  </si>
  <si>
    <t>Natural birch shrubland</t>
  </si>
  <si>
    <t>Reservoirs</t>
  </si>
  <si>
    <t>Cropland cultivated</t>
  </si>
  <si>
    <t>4B1</t>
  </si>
  <si>
    <t>Revegetated before 1990</t>
  </si>
  <si>
    <t>Uppgræðslur fyrir 1990</t>
  </si>
  <si>
    <t>Revegetated 1990-2024</t>
  </si>
  <si>
    <t>Uppgræðslur 1990-2024</t>
  </si>
  <si>
    <t>Grassland on drained soil before 2009</t>
  </si>
  <si>
    <t>Graslendi framræst fyrir 2009</t>
  </si>
  <si>
    <t>Cropland inactive</t>
  </si>
  <si>
    <t>4C2b</t>
  </si>
  <si>
    <t>Forest land unknown age</t>
  </si>
  <si>
    <t>Annað skóglendi</t>
  </si>
  <si>
    <t>kha</t>
  </si>
  <si>
    <t>kt CO2</t>
  </si>
  <si>
    <t>Grassland remaining grassland</t>
  </si>
  <si>
    <t>Cropland</t>
  </si>
  <si>
    <t>C-&gt;G</t>
  </si>
  <si>
    <t>Land-use category</t>
  </si>
  <si>
    <t>A [m2]</t>
  </si>
  <si>
    <t>A [ha]</t>
  </si>
  <si>
    <t>A</t>
  </si>
  <si>
    <t>ratio</t>
  </si>
  <si>
    <t>CSC</t>
  </si>
  <si>
    <t>EF [t CO₂-eq ha⁻¹ yr⁻¹]</t>
  </si>
  <si>
    <t>Emissions [t CO₂-eq]</t>
  </si>
  <si>
    <t>4A1/4A2</t>
  </si>
  <si>
    <t>4A2</t>
  </si>
  <si>
    <t>4C2</t>
  </si>
  <si>
    <t>4D1</t>
  </si>
  <si>
    <t>4E1</t>
  </si>
  <si>
    <t>4B</t>
  </si>
  <si>
    <t>4C</t>
  </si>
  <si>
    <t>4A</t>
  </si>
  <si>
    <t>6.15/6.18</t>
  </si>
  <si>
    <t>IE</t>
  </si>
  <si>
    <t>Dreifitöp raforku sett í umfang 3</t>
  </si>
  <si>
    <t>Stuðlar heitavatns frá Veitum notað (á m3 í stað á kWh)</t>
  </si>
  <si>
    <t>Nýtt samgöngulíkan innleitt</t>
  </si>
  <si>
    <t>Nýjir eldsneytisnotkunarstuðlar nýttir - eldsneytisspá</t>
  </si>
  <si>
    <t>Reikningar fráveitu breyttir til að vera í samræmi við NIR - fiskvinnsla bætt við</t>
  </si>
  <si>
    <t>Kælimiðlar í fiskveiði dregnir frá</t>
  </si>
  <si>
    <t>Jarðgerð bætt við vegna GAJA</t>
  </si>
  <si>
    <t>Betri sundurliðun skipakoma og losunar</t>
  </si>
  <si>
    <t>Betri tölur búfjár miða við mælaborð landbúnaðarins</t>
  </si>
  <si>
    <t>Losun vegna bygginga leiðrétt miðað við LCA skýrslu</t>
  </si>
  <si>
    <t>Uppfært umferðarlíkan</t>
  </si>
  <si>
    <t>Uppfærð umferðardreifing</t>
  </si>
  <si>
    <t>Uppfærðir losunarstuðlar umferðar</t>
  </si>
  <si>
    <t>Uppfært GWP fyrir N2O og CH4 mv AR6 (2021)</t>
  </si>
  <si>
    <t>Skjal "Álfsnes - Urðun" bætt við - FOD reikningar fyrir urðun</t>
  </si>
  <si>
    <t>Bætt við brennsla erlendis frá fyrirtækjum</t>
  </si>
  <si>
    <t>Hópbílar og vörubílar nýta nú gögn frá SGS</t>
  </si>
  <si>
    <t>UOS stuðull fyrir raforku í stað ON stuðuls</t>
  </si>
  <si>
    <t>Uppfært íbúahlutfall fyrir hitaframleiðslu</t>
  </si>
  <si>
    <t>Uppfærð landnotkun</t>
  </si>
  <si>
    <t>Meiri frádráttur frá efnanotkun</t>
  </si>
  <si>
    <t>Fiskimjölsvinnsla dregin frá matvælaframleiðslu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</si>
</sst>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6">
    <numFmt numFmtId="41" formatCode="_-* #,##0_-;\-* #,##0_-;_-* &quot;-&quot;_-;_-@_-"/>
    <numFmt numFmtId="43" formatCode="_-* #,##0.00_-;\-* #,##0.00_-;_-* &quot;-&quot;??_-;_-@_-"/>
    <numFmt numFmtId="164" formatCode="_(* #,##0.00_);_(* \(#,##0.00\);_(* &quot;-&quot;??_);_(@_)"/>
    <numFmt numFmtId="165" formatCode="_-* #,##0\ _k_r_._-;\-* #,##0\ _k_r_._-;_-* &quot;-&quot;\ _k_r_._-;_-@_-"/>
    <numFmt numFmtId="166" formatCode="_-* #,##0\ _I_S_K_-;\-* #,##0\ _I_S_K_-;_-* &quot;-&quot;\ _I_S_K_-;_-@_-"/>
    <numFmt numFmtId="167" formatCode="_(* #,##0_);_(* \(#,##0\);_(* &quot;-&quot;??_);_(@_)"/>
    <numFmt numFmtId="168" formatCode="0.0%"/>
    <numFmt numFmtId="169" formatCode="#,##0.0"/>
    <numFmt numFmtId="170" formatCode="0.0"/>
    <numFmt numFmtId="171" formatCode="#,##0.000"/>
    <numFmt numFmtId="172" formatCode="m/d/yy;@"/>
    <numFmt numFmtId="173" formatCode="#,##0_ ;[Red]\-#,##0\ "/>
    <numFmt numFmtId="174" formatCode="#,##0.0_ ;[Red]\-#,##0.0\ "/>
    <numFmt numFmtId="175" formatCode="0.000"/>
    <numFmt numFmtId="176" formatCode="#,##0,000"/>
    <numFmt numFmtId="177" formatCode="0.0000"/>
    <numFmt numFmtId="178" formatCode="_(* #,##0.00000_);_(* \(#,##0.00000\);_(* &quot;-&quot;??_);_(@_)"/>
    <numFmt numFmtId="179" formatCode="#,##0.0000"/>
    <numFmt numFmtId="180" formatCode="0.0000000"/>
    <numFmt numFmtId="181" formatCode="_-* #,##0.00\ _F_-;\-* #,##0.00\ _F_-;_-* &quot;-&quot;??\ _F_-;_-@_-"/>
    <numFmt numFmtId="182" formatCode="0.0%;\(0.0%\)"/>
    <numFmt numFmtId="183" formatCode="0%;\(0%\)"/>
    <numFmt numFmtId="184" formatCode="#,##0_);\(#,##0_)"/>
    <numFmt numFmtId="185" formatCode="_-* #,##0.0\ _k_r_-;\-* #,##0.0\ _k_r_-;_-* &quot;-&quot;?\ _k_r_-;_-@_-"/>
    <numFmt numFmtId="186" formatCode="_(* #,##0.0000_);_(* \(#,##0.0000\);_(* &quot;-&quot;??_);_(@_)"/>
    <numFmt numFmtId="187" formatCode="#,##0.00000"/>
  </numFmts>
  <fonts count="177" x14ac:knownFonts="1">
    <font>
      <sz val="10"/>
      <color rgb="FF000000"/>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9"/>
      <color rgb="FF000000"/>
      <name val="Calibri"/>
      <family val="2"/>
    </font>
    <font>
      <b/>
      <sz val="9"/>
      <color rgb="FFFFFFFF"/>
      <name val="Calibri"/>
      <family val="2"/>
    </font>
    <font>
      <sz val="9"/>
      <color theme="1"/>
      <name val="Calibri"/>
      <family val="2"/>
    </font>
    <font>
      <i/>
      <sz val="9"/>
      <color theme="1"/>
      <name val="Calibri"/>
      <family val="2"/>
    </font>
    <font>
      <b/>
      <sz val="9"/>
      <color theme="1"/>
      <name val="Calibri"/>
      <family val="2"/>
    </font>
    <font>
      <b/>
      <sz val="18"/>
      <color rgb="FF00394C"/>
      <name val="Calibri"/>
      <family val="2"/>
    </font>
    <font>
      <b/>
      <sz val="9"/>
      <color rgb="FF000000"/>
      <name val="Calibri"/>
      <family val="2"/>
    </font>
    <font>
      <b/>
      <sz val="10"/>
      <color rgb="FF000000"/>
      <name val="Arial"/>
      <family val="2"/>
    </font>
    <font>
      <sz val="10"/>
      <color theme="1"/>
      <name val="Arial"/>
      <family val="2"/>
    </font>
    <font>
      <sz val="10"/>
      <color rgb="FFFF0000"/>
      <name val="Arial"/>
      <family val="2"/>
    </font>
    <font>
      <sz val="10"/>
      <color rgb="FF000000"/>
      <name val="Arial"/>
      <family val="2"/>
    </font>
    <font>
      <sz val="8"/>
      <name val="Arial"/>
      <family val="2"/>
    </font>
    <font>
      <sz val="10"/>
      <color rgb="FF000000"/>
      <name val="Arial"/>
      <family val="2"/>
    </font>
    <font>
      <sz val="11"/>
      <name val="Arial"/>
      <family val="2"/>
      <scheme val="minor"/>
    </font>
    <font>
      <u/>
      <sz val="11"/>
      <color theme="10"/>
      <name val="Arial"/>
      <family val="2"/>
      <scheme val="minor"/>
    </font>
    <font>
      <sz val="9"/>
      <color indexed="81"/>
      <name val="Tahoma"/>
      <family val="2"/>
    </font>
    <font>
      <b/>
      <sz val="9"/>
      <color indexed="81"/>
      <name val="Tahoma"/>
      <family val="2"/>
    </font>
    <font>
      <sz val="10"/>
      <color theme="1"/>
      <name val="Arial"/>
      <family val="2"/>
      <scheme val="minor"/>
    </font>
    <font>
      <b/>
      <sz val="11"/>
      <color theme="1"/>
      <name val="Arial"/>
      <family val="2"/>
      <scheme val="minor"/>
    </font>
    <font>
      <b/>
      <u/>
      <sz val="16"/>
      <color theme="1"/>
      <name val="Arial"/>
      <family val="2"/>
      <scheme val="minor"/>
    </font>
    <font>
      <b/>
      <u/>
      <sz val="14"/>
      <color theme="1"/>
      <name val="Arial"/>
      <family val="2"/>
      <scheme val="minor"/>
    </font>
    <font>
      <i/>
      <sz val="11"/>
      <color theme="1"/>
      <name val="Arial"/>
      <family val="2"/>
      <scheme val="minor"/>
    </font>
    <font>
      <b/>
      <i/>
      <sz val="11"/>
      <color theme="1"/>
      <name val="Arial"/>
      <family val="2"/>
      <scheme val="minor"/>
    </font>
    <font>
      <b/>
      <sz val="10"/>
      <color theme="1"/>
      <name val="Arial"/>
      <family val="2"/>
      <scheme val="minor"/>
    </font>
    <font>
      <sz val="9"/>
      <color rgb="FF000000"/>
      <name val="Arial"/>
      <family val="2"/>
    </font>
    <font>
      <i/>
      <sz val="8"/>
      <color theme="1"/>
      <name val="Arial"/>
      <family val="2"/>
      <scheme val="minor"/>
    </font>
    <font>
      <sz val="13"/>
      <name val="Arial"/>
      <family val="2"/>
    </font>
    <font>
      <sz val="10"/>
      <name val="Arial"/>
      <family val="2"/>
    </font>
    <font>
      <b/>
      <sz val="20"/>
      <name val="Arial"/>
      <family val="2"/>
    </font>
    <font>
      <b/>
      <sz val="8.8000000000000007"/>
      <color rgb="FFFFFFFF"/>
      <name val="Arial"/>
      <family val="2"/>
    </font>
    <font>
      <b/>
      <sz val="10"/>
      <name val="Arial"/>
      <family val="2"/>
    </font>
    <font>
      <b/>
      <sz val="8.8000000000000007"/>
      <color rgb="FF303030"/>
      <name val="Arial"/>
      <family val="2"/>
    </font>
    <font>
      <sz val="9.9"/>
      <color rgb="FF303030"/>
      <name val="Georgia"/>
      <family val="1"/>
    </font>
    <font>
      <sz val="11"/>
      <name val="Arial"/>
      <family val="2"/>
    </font>
    <font>
      <sz val="14"/>
      <name val="Arial"/>
      <family val="2"/>
    </font>
    <font>
      <sz val="12"/>
      <color theme="1"/>
      <name val="Arial"/>
      <family val="2"/>
      <scheme val="minor"/>
    </font>
    <font>
      <sz val="13.5"/>
      <name val="Arial"/>
      <family val="2"/>
    </font>
    <font>
      <i/>
      <sz val="10"/>
      <name val="Arial"/>
      <family val="2"/>
    </font>
    <font>
      <b/>
      <i/>
      <sz val="9"/>
      <name val="Arial"/>
      <family val="2"/>
    </font>
    <font>
      <i/>
      <sz val="9"/>
      <name val="Arial"/>
      <family val="2"/>
    </font>
    <font>
      <b/>
      <i/>
      <sz val="10"/>
      <name val="Arial"/>
      <family val="2"/>
    </font>
    <font>
      <vertAlign val="subscript"/>
      <sz val="10"/>
      <name val="Arial"/>
      <family val="2"/>
    </font>
    <font>
      <b/>
      <i/>
      <sz val="10"/>
      <color rgb="FF538DD5"/>
      <name val="Arial"/>
      <family val="2"/>
    </font>
    <font>
      <b/>
      <sz val="11"/>
      <color rgb="FF000000"/>
      <name val="Calibri"/>
      <family val="2"/>
    </font>
    <font>
      <b/>
      <u/>
      <sz val="14"/>
      <color rgb="FF000000"/>
      <name val="Arial"/>
      <family val="2"/>
    </font>
    <font>
      <b/>
      <u/>
      <sz val="12"/>
      <color theme="1"/>
      <name val="Arial"/>
      <family val="2"/>
      <scheme val="minor"/>
    </font>
    <font>
      <sz val="9"/>
      <name val="Times New Roman"/>
      <family val="1"/>
    </font>
    <font>
      <b/>
      <sz val="9"/>
      <name val="Times New Roman"/>
      <family val="1"/>
    </font>
    <font>
      <b/>
      <vertAlign val="subscript"/>
      <sz val="9"/>
      <name val="Times New Roman"/>
      <family val="1"/>
    </font>
    <font>
      <sz val="10"/>
      <name val="Arial"/>
      <family val="2"/>
    </font>
    <font>
      <i/>
      <sz val="10"/>
      <color theme="3"/>
      <name val="Arial"/>
      <family val="2"/>
    </font>
    <font>
      <b/>
      <i/>
      <sz val="10"/>
      <color theme="3" tint="0.39997558519241921"/>
      <name val="Arial"/>
      <family val="2"/>
    </font>
    <font>
      <sz val="10"/>
      <color rgb="FFF7FC28"/>
      <name val="Arial"/>
      <family val="2"/>
    </font>
    <font>
      <b/>
      <sz val="8"/>
      <color rgb="FFFFFFFF"/>
      <name val="Arial"/>
      <family val="2"/>
    </font>
    <font>
      <sz val="9"/>
      <color rgb="FF303030"/>
      <name val="Georgia"/>
      <family val="1"/>
    </font>
    <font>
      <b/>
      <sz val="8"/>
      <color rgb="FF303030"/>
      <name val="Arial"/>
      <family val="2"/>
    </font>
    <font>
      <b/>
      <sz val="14"/>
      <color theme="0"/>
      <name val="Arial"/>
      <family val="2"/>
    </font>
    <font>
      <b/>
      <u/>
      <sz val="18"/>
      <color theme="1"/>
      <name val="Arial"/>
      <family val="2"/>
      <scheme val="minor"/>
    </font>
    <font>
      <sz val="10"/>
      <color rgb="FF000000"/>
      <name val="Times New Roman"/>
      <family val="1"/>
    </font>
    <font>
      <b/>
      <sz val="8"/>
      <color rgb="FF000000"/>
      <name val="Times New Roman"/>
      <family val="1"/>
    </font>
    <font>
      <sz val="8"/>
      <color rgb="FF000000"/>
      <name val="Times New Roman"/>
      <family val="1"/>
    </font>
    <font>
      <sz val="12"/>
      <color rgb="FF000000"/>
      <name val="Arial"/>
      <family val="2"/>
    </font>
    <font>
      <b/>
      <u/>
      <sz val="16"/>
      <color rgb="FF000000"/>
      <name val="Arial"/>
      <family val="2"/>
    </font>
    <font>
      <b/>
      <sz val="10"/>
      <color theme="0"/>
      <name val="Arial"/>
      <family val="2"/>
    </font>
    <font>
      <sz val="10"/>
      <color rgb="FF000000"/>
      <name val="Arial"/>
      <family val="2"/>
    </font>
    <font>
      <sz val="11"/>
      <color rgb="FF3F3F76"/>
      <name val="Arial"/>
      <family val="2"/>
      <scheme val="minor"/>
    </font>
    <font>
      <b/>
      <sz val="11"/>
      <color rgb="FF3F3F3F"/>
      <name val="Arial"/>
      <family val="2"/>
      <scheme val="minor"/>
    </font>
    <font>
      <b/>
      <sz val="11"/>
      <color rgb="FFFA7D00"/>
      <name val="Arial"/>
      <family val="2"/>
      <scheme val="minor"/>
    </font>
    <font>
      <sz val="11"/>
      <color rgb="FFFF0000"/>
      <name val="Arial"/>
      <family val="2"/>
      <scheme val="minor"/>
    </font>
    <font>
      <i/>
      <sz val="11"/>
      <color rgb="FF7F7F7F"/>
      <name val="Arial"/>
      <family val="2"/>
      <scheme val="minor"/>
    </font>
    <font>
      <sz val="11"/>
      <color theme="0"/>
      <name val="Arial"/>
      <family val="2"/>
      <scheme val="minor"/>
    </font>
    <font>
      <sz val="8"/>
      <color rgb="FF000070"/>
      <name val="Work Sans"/>
    </font>
    <font>
      <sz val="9"/>
      <color rgb="FF000025"/>
      <name val="Work Sans"/>
    </font>
    <font>
      <sz val="8"/>
      <color theme="0"/>
      <name val="Work Sans"/>
    </font>
    <font>
      <b/>
      <sz val="12"/>
      <name val="Times New Roman"/>
      <family val="1"/>
    </font>
    <font>
      <sz val="9"/>
      <color indexed="8"/>
      <name val="Times New Roman"/>
      <family val="1"/>
    </font>
    <font>
      <b/>
      <sz val="12"/>
      <color indexed="8"/>
      <name val="Times New Roman"/>
      <family val="1"/>
    </font>
    <font>
      <sz val="12"/>
      <color indexed="8"/>
      <name val="Times New Roman"/>
      <family val="1"/>
    </font>
    <font>
      <sz val="11"/>
      <color indexed="8"/>
      <name val="Calibri"/>
      <family val="2"/>
    </font>
    <font>
      <u/>
      <sz val="10"/>
      <color indexed="12"/>
      <name val="Times New Roman"/>
      <family val="1"/>
    </font>
    <font>
      <sz val="11"/>
      <color indexed="8"/>
      <name val="Calibri"/>
      <family val="2"/>
      <charset val="186"/>
    </font>
    <font>
      <sz val="11"/>
      <color indexed="9"/>
      <name val="Calibri"/>
      <family val="2"/>
    </font>
    <font>
      <sz val="11"/>
      <color indexed="9"/>
      <name val="Calibri"/>
      <family val="2"/>
      <charset val="186"/>
    </font>
    <font>
      <b/>
      <sz val="11"/>
      <color indexed="63"/>
      <name val="Calibri"/>
      <family val="2"/>
    </font>
    <font>
      <sz val="11"/>
      <color indexed="20"/>
      <name val="Calibri"/>
      <family val="2"/>
      <charset val="186"/>
    </font>
    <font>
      <b/>
      <sz val="11"/>
      <color indexed="52"/>
      <name val="Calibri"/>
      <family val="2"/>
    </font>
    <font>
      <b/>
      <sz val="11"/>
      <color indexed="52"/>
      <name val="Calibri"/>
      <family val="2"/>
      <charset val="186"/>
    </font>
    <font>
      <b/>
      <sz val="11"/>
      <color indexed="9"/>
      <name val="Calibri"/>
      <family val="2"/>
      <charset val="186"/>
    </font>
    <font>
      <sz val="8"/>
      <name val="Helvetica"/>
    </font>
    <font>
      <sz val="11"/>
      <color indexed="62"/>
      <name val="Calibri"/>
      <family val="2"/>
    </font>
    <font>
      <b/>
      <sz val="11"/>
      <color indexed="8"/>
      <name val="Calibri"/>
      <family val="2"/>
    </font>
    <font>
      <i/>
      <sz val="11"/>
      <color indexed="23"/>
      <name val="Calibri"/>
      <family val="2"/>
    </font>
    <font>
      <i/>
      <sz val="11"/>
      <color indexed="23"/>
      <name val="Calibri"/>
      <family val="2"/>
      <charset val="186"/>
    </font>
    <font>
      <sz val="11"/>
      <color indexed="17"/>
      <name val="Calibri"/>
      <family val="2"/>
      <charset val="186"/>
    </font>
    <font>
      <sz val="11"/>
      <color indexed="17"/>
      <name val="Calibri"/>
      <family val="2"/>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0"/>
      <name val="Arial"/>
      <family val="2"/>
      <charset val="186"/>
    </font>
    <font>
      <b/>
      <sz val="11"/>
      <color indexed="63"/>
      <name val="Calibri"/>
      <family val="2"/>
      <charset val="186"/>
    </font>
    <font>
      <sz val="11"/>
      <color indexed="20"/>
      <name val="Calibri"/>
      <family val="2"/>
    </font>
    <font>
      <b/>
      <sz val="18"/>
      <color indexed="56"/>
      <name val="Cambria"/>
      <family val="2"/>
      <charset val="186"/>
    </font>
    <font>
      <b/>
      <sz val="11"/>
      <color indexed="8"/>
      <name val="Calibri"/>
      <family val="2"/>
      <charset val="186"/>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sz val="11"/>
      <color indexed="10"/>
      <name val="Calibri"/>
      <family val="2"/>
      <charset val="186"/>
    </font>
    <font>
      <b/>
      <sz val="11"/>
      <color indexed="9"/>
      <name val="Calibri"/>
      <family val="2"/>
    </font>
    <font>
      <u/>
      <sz val="10"/>
      <color indexed="12"/>
      <name val="Times New Roman"/>
      <family val="1"/>
      <charset val="186"/>
    </font>
    <font>
      <sz val="10"/>
      <name val="Arial"/>
      <family val="2"/>
      <charset val="204"/>
    </font>
    <font>
      <b/>
      <sz val="11"/>
      <color indexed="12"/>
      <name val="Arial"/>
      <family val="2"/>
      <charset val="204"/>
    </font>
    <font>
      <sz val="8"/>
      <name val="Helvetica"/>
      <family val="2"/>
    </font>
    <font>
      <b/>
      <sz val="9"/>
      <color rgb="FFFFFFFF"/>
      <name val="Work Sans"/>
    </font>
    <font>
      <sz val="9"/>
      <color rgb="FFFF0000"/>
      <name val="Work Sans"/>
    </font>
    <font>
      <b/>
      <sz val="10"/>
      <color rgb="FFFF0000"/>
      <name val="Arial"/>
      <family val="2"/>
    </font>
    <font>
      <sz val="10"/>
      <color rgb="FFFE2906"/>
      <name val="Arial"/>
      <family val="2"/>
    </font>
    <font>
      <b/>
      <u/>
      <vertAlign val="subscript"/>
      <sz val="12"/>
      <color theme="1"/>
      <name val="Arial"/>
      <family val="2"/>
      <scheme val="minor"/>
    </font>
    <font>
      <vertAlign val="subscript"/>
      <sz val="12"/>
      <color rgb="FF000000"/>
      <name val="Arial"/>
      <family val="2"/>
    </font>
    <font>
      <sz val="11"/>
      <color rgb="FF000000"/>
      <name val="Arial"/>
      <family val="2"/>
      <scheme val="minor"/>
    </font>
    <font>
      <sz val="11"/>
      <color rgb="FF000000"/>
      <name val="Calibri"/>
      <family val="2"/>
    </font>
    <font>
      <sz val="10"/>
      <color indexed="8"/>
      <name val="Arial"/>
      <family val="2"/>
    </font>
    <font>
      <b/>
      <sz val="12"/>
      <name val="Arial"/>
      <family val="2"/>
    </font>
    <font>
      <sz val="10"/>
      <name val="MS Sans Serif"/>
      <family val="2"/>
    </font>
    <font>
      <u/>
      <sz val="10"/>
      <color theme="10"/>
      <name val="Arial"/>
      <family val="2"/>
    </font>
    <font>
      <b/>
      <sz val="10"/>
      <color rgb="FFFFFFFF"/>
      <name val="Work Sans"/>
    </font>
    <font>
      <b/>
      <sz val="9"/>
      <color rgb="FF000070"/>
      <name val="Work Sans"/>
    </font>
    <font>
      <sz val="10"/>
      <color rgb="FF000000"/>
      <name val="Work Sans"/>
    </font>
    <font>
      <b/>
      <sz val="10"/>
      <color theme="1"/>
      <name val="Arial"/>
      <family val="2"/>
    </font>
    <font>
      <b/>
      <sz val="14"/>
      <color rgb="FF000000"/>
      <name val="Calibri"/>
      <family val="2"/>
    </font>
    <font>
      <b/>
      <sz val="10"/>
      <color theme="1"/>
      <name val="Calibri"/>
      <family val="2"/>
    </font>
    <font>
      <sz val="10"/>
      <color theme="1"/>
      <name val="Calibri"/>
      <family val="2"/>
    </font>
    <font>
      <b/>
      <sz val="8"/>
      <color rgb="FF000000"/>
      <name val="Verdana"/>
      <family val="2"/>
    </font>
    <font>
      <sz val="10"/>
      <color rgb="FFF04E23"/>
      <name val="Verdana"/>
      <family val="2"/>
    </font>
    <font>
      <sz val="10"/>
      <color rgb="FF000000"/>
      <name val="Verdana"/>
      <family val="2"/>
    </font>
    <font>
      <b/>
      <sz val="10"/>
      <color rgb="FF000000"/>
      <name val="Verdana"/>
      <family val="2"/>
    </font>
    <font>
      <sz val="12"/>
      <color rgb="FF000000"/>
      <name val="Aptos"/>
      <family val="2"/>
    </font>
    <font>
      <b/>
      <i/>
      <sz val="11"/>
      <color rgb="FF000000"/>
      <name val="Aptos"/>
      <family val="2"/>
    </font>
    <font>
      <sz val="11"/>
      <color rgb="FF000000"/>
      <name val="Aptos"/>
      <family val="2"/>
    </font>
    <font>
      <b/>
      <sz val="11"/>
      <color rgb="FFFFFFFF"/>
      <name val="Aptos"/>
      <family val="2"/>
    </font>
    <font>
      <b/>
      <sz val="9"/>
      <color rgb="FF00394C"/>
      <name val="Calibri"/>
      <family val="2"/>
    </font>
    <font>
      <b/>
      <sz val="9"/>
      <color rgb="FF000000"/>
      <name val="Arial"/>
      <family val="2"/>
    </font>
    <font>
      <i/>
      <sz val="10"/>
      <color rgb="FF000000"/>
      <name val="Arial"/>
      <family val="2"/>
    </font>
    <font>
      <sz val="8"/>
      <name val="Arial"/>
      <family val="2"/>
    </font>
    <font>
      <sz val="9"/>
      <color rgb="FF000000"/>
      <name val="Aptos"/>
      <family val="2"/>
    </font>
    <font>
      <b/>
      <sz val="10"/>
      <color rgb="FFFFFFFF"/>
      <name val="Aptos"/>
      <family val="2"/>
    </font>
    <font>
      <b/>
      <sz val="9"/>
      <color rgb="FFFFFFFF"/>
      <name val="Aptos"/>
      <family val="2"/>
    </font>
    <font>
      <sz val="10"/>
      <color rgb="FF242424"/>
      <name val="Arial"/>
      <family val="2"/>
      <scheme val="minor"/>
    </font>
    <font>
      <u/>
      <sz val="11"/>
      <color theme="1"/>
      <name val="Arial"/>
      <family val="2"/>
      <scheme val="minor"/>
    </font>
    <font>
      <u/>
      <sz val="10"/>
      <color rgb="FF0563C1"/>
      <name val="Times New Roman"/>
      <family val="1"/>
    </font>
    <font>
      <b/>
      <sz val="12"/>
      <color theme="1"/>
      <name val="Times New Roman"/>
      <family val="1"/>
    </font>
    <font>
      <sz val="9"/>
      <color rgb="FF000000"/>
      <name val="Times New Roman"/>
      <family val="1"/>
    </font>
    <font>
      <sz val="9"/>
      <color theme="1"/>
      <name val="Times New Roman"/>
      <family val="1"/>
    </font>
    <font>
      <b/>
      <sz val="9"/>
      <color theme="1"/>
      <name val="Times New Roman"/>
      <family val="1"/>
    </font>
    <font>
      <i/>
      <sz val="8"/>
      <color rgb="FFFF0000"/>
      <name val="Calibri"/>
      <family val="2"/>
    </font>
    <font>
      <b/>
      <sz val="15"/>
      <color rgb="FFFF0000"/>
      <name val="Arial"/>
      <family val="2"/>
    </font>
    <font>
      <vertAlign val="superscript"/>
      <sz val="9"/>
      <name val="Times New Roman"/>
      <family val="1"/>
    </font>
    <font>
      <b/>
      <vertAlign val="superscript"/>
      <sz val="9"/>
      <name val="Times New Roman"/>
      <family val="1"/>
    </font>
    <font>
      <sz val="10"/>
      <color theme="0" tint="-4.9989318521683403E-2"/>
      <name val="Arial"/>
      <family val="2"/>
    </font>
    <font>
      <sz val="11"/>
      <color rgb="FF000000"/>
      <name val="Aptos Narrow"/>
      <family val="2"/>
    </font>
  </fonts>
  <fills count="98">
    <fill>
      <patternFill patternType="none"/>
    </fill>
    <fill>
      <patternFill patternType="gray125"/>
    </fill>
    <fill>
      <patternFill patternType="solid">
        <fgColor rgb="FF00394C"/>
        <bgColor rgb="FF00394C"/>
      </patternFill>
    </fill>
    <fill>
      <patternFill patternType="solid">
        <fgColor rgb="FFFFFFFF"/>
        <bgColor rgb="FFFFFFFF"/>
      </patternFill>
    </fill>
    <fill>
      <patternFill patternType="solid">
        <fgColor rgb="FFB7E1CD"/>
        <bgColor rgb="FFB7E1CD"/>
      </patternFill>
    </fill>
    <fill>
      <patternFill patternType="solid">
        <fgColor rgb="FFFFFF00"/>
        <bgColor indexed="64"/>
      </patternFill>
    </fill>
    <fill>
      <patternFill patternType="solid">
        <fgColor theme="7" tint="0.39997558519241921"/>
        <bgColor rgb="FFFFFFFF"/>
      </patternFill>
    </fill>
    <fill>
      <patternFill patternType="solid">
        <fgColor theme="7" tint="0.39997558519241921"/>
        <bgColor indexed="64"/>
      </patternFill>
    </fill>
    <fill>
      <patternFill patternType="solid">
        <fgColor theme="4" tint="0.79998168889431442"/>
        <bgColor indexed="64"/>
      </patternFill>
    </fill>
    <fill>
      <patternFill patternType="solid">
        <fgColor rgb="FFFFCC99"/>
        <bgColor rgb="FF000000"/>
      </patternFill>
    </fill>
    <fill>
      <patternFill patternType="solid">
        <fgColor rgb="FF2A9FC3"/>
        <bgColor indexed="64"/>
      </patternFill>
    </fill>
    <fill>
      <patternFill patternType="solid">
        <fgColor rgb="FFF8F5EA"/>
        <bgColor indexed="64"/>
      </patternFill>
    </fill>
    <fill>
      <patternFill patternType="solid">
        <fgColor rgb="FFFBF9F2"/>
        <bgColor indexed="64"/>
      </patternFill>
    </fill>
    <fill>
      <patternFill patternType="solid">
        <fgColor rgb="FFFFFF00"/>
        <bgColor rgb="FF000000"/>
      </patternFill>
    </fill>
    <fill>
      <patternFill patternType="solid">
        <fgColor indexed="47"/>
        <bgColor indexed="64"/>
      </patternFill>
    </fill>
    <fill>
      <patternFill patternType="solid">
        <fgColor rgb="FFFFCC99"/>
        <bgColor indexed="64"/>
      </patternFill>
    </fill>
    <fill>
      <patternFill patternType="solid">
        <fgColor indexed="9"/>
        <bgColor indexed="64"/>
      </patternFill>
    </fill>
    <fill>
      <patternFill patternType="solid">
        <fgColor theme="0"/>
        <bgColor indexed="64"/>
      </patternFill>
    </fill>
    <fill>
      <patternFill patternType="solid">
        <fgColor rgb="FFFFCC99"/>
      </patternFill>
    </fill>
    <fill>
      <patternFill patternType="solid">
        <fgColor rgb="FF969696"/>
      </patternFill>
    </fill>
    <fill>
      <patternFill patternType="solid">
        <fgColor rgb="FFFFFFFF"/>
      </patternFill>
    </fill>
    <fill>
      <patternFill patternType="solid">
        <fgColor rgb="FF157D9E"/>
        <bgColor indexed="64"/>
      </patternFill>
    </fill>
    <fill>
      <patternFill patternType="solid">
        <fgColor theme="3"/>
        <bgColor indexed="64"/>
      </patternFill>
    </fill>
    <fill>
      <patternFill patternType="solid">
        <fgColor rgb="FFFFCC00"/>
        <bgColor indexed="64"/>
      </patternFill>
    </fill>
    <fill>
      <patternFill patternType="solid">
        <fgColor theme="4" tint="-0.499984740745262"/>
        <bgColor indexed="64"/>
      </patternFill>
    </fill>
    <fill>
      <patternFill patternType="solid">
        <fgColor rgb="FFF2F2F2"/>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33338D"/>
        <bgColor indexed="64"/>
      </patternFill>
    </fill>
    <fill>
      <patternFill patternType="solid">
        <fgColor rgb="FFF5F5F5"/>
        <bgColor indexed="64"/>
      </patternFill>
    </fill>
    <fill>
      <patternFill patternType="solid">
        <fgColor indexed="42"/>
        <bgColor indexed="64"/>
      </patternFill>
    </fill>
    <fill>
      <patternFill patternType="solid">
        <fgColor indexed="55"/>
        <bgColor indexed="64"/>
      </patternFill>
    </fill>
    <fill>
      <patternFill patternType="solid">
        <fgColor indexed="22"/>
        <bgColor indexed="64"/>
      </patternFill>
    </fill>
    <fill>
      <patternFill patternType="solid">
        <fgColor indexed="23"/>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darkTrellis"/>
    </fill>
    <fill>
      <patternFill patternType="solid">
        <fgColor rgb="FFC00000"/>
        <bgColor indexed="64"/>
      </patternFill>
    </fill>
    <fill>
      <patternFill patternType="solid">
        <fgColor theme="9" tint="-9.9978637043366805E-2"/>
        <bgColor indexed="64"/>
      </patternFill>
    </fill>
    <fill>
      <patternFill patternType="solid">
        <fgColor theme="2" tint="-9.9948118533890809E-2"/>
        <bgColor indexed="64"/>
      </patternFill>
    </fill>
    <fill>
      <patternFill patternType="solid">
        <fgColor theme="0" tint="-0.14996795556505021"/>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4" tint="0.79998168889431442"/>
        <bgColor theme="4" tint="0.79998168889431442"/>
      </patternFill>
    </fill>
    <fill>
      <patternFill patternType="solid">
        <fgColor rgb="FFFFFFCC"/>
      </patternFill>
    </fill>
    <fill>
      <patternFill patternType="solid">
        <fgColor rgb="FFDDEBF7"/>
        <bgColor indexed="64"/>
      </patternFill>
    </fill>
    <fill>
      <patternFill patternType="solid">
        <fgColor theme="4" tint="0.79998168889431442"/>
        <bgColor rgb="FF00394C"/>
      </patternFill>
    </fill>
    <fill>
      <patternFill patternType="solid">
        <fgColor theme="8"/>
        <bgColor rgb="FF00394C"/>
      </patternFill>
    </fill>
    <fill>
      <patternFill patternType="solid">
        <fgColor rgb="FFFFC000"/>
        <bgColor rgb="FF00394C"/>
      </patternFill>
    </fill>
    <fill>
      <patternFill patternType="solid">
        <fgColor theme="6"/>
        <bgColor rgb="FF00394C"/>
      </patternFill>
    </fill>
    <fill>
      <patternFill patternType="solid">
        <fgColor rgb="FF52D9FD"/>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CCFFCC"/>
        <bgColor rgb="FFCCFFFF"/>
      </patternFill>
    </fill>
    <fill>
      <patternFill patternType="solid">
        <fgColor rgb="FF969696"/>
        <bgColor rgb="FF8497B0"/>
      </patternFill>
    </fill>
    <fill>
      <patternFill patternType="solid">
        <fgColor rgb="FFFFFFFF"/>
        <bgColor rgb="FFE7E6E6"/>
      </patternFill>
    </fill>
    <fill>
      <patternFill patternType="solid">
        <fgColor rgb="FFFFCC99"/>
        <bgColor rgb="FFE7E6E6"/>
      </patternFill>
    </fill>
    <fill>
      <patternFill patternType="solid">
        <fgColor rgb="FFCCFFFF"/>
        <bgColor rgb="FFCCFFFF"/>
      </patternFill>
    </fill>
  </fills>
  <borders count="261">
    <border>
      <left/>
      <right/>
      <top/>
      <bottom/>
      <diagonal/>
    </border>
    <border>
      <left/>
      <right/>
      <top style="thin">
        <color rgb="FFF3F3F3"/>
      </top>
      <bottom style="thin">
        <color rgb="FFF3F3F3"/>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bottom style="double">
        <color indexed="64"/>
      </bottom>
      <diagonal/>
    </border>
    <border>
      <left style="medium">
        <color indexed="64"/>
      </left>
      <right/>
      <top style="medium">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thin">
        <color indexed="64"/>
      </bottom>
      <diagonal/>
    </border>
    <border>
      <left style="medium">
        <color rgb="FFBCBBB5"/>
      </left>
      <right/>
      <top style="medium">
        <color rgb="FFBCBBB5"/>
      </top>
      <bottom/>
      <diagonal/>
    </border>
    <border>
      <left/>
      <right/>
      <top style="medium">
        <color rgb="FFBCBBB5"/>
      </top>
      <bottom/>
      <diagonal/>
    </border>
    <border>
      <left/>
      <right style="medium">
        <color rgb="FFBCBBB5"/>
      </right>
      <top style="medium">
        <color rgb="FFBCBBB5"/>
      </top>
      <bottom/>
      <diagonal/>
    </border>
    <border>
      <left style="thin">
        <color indexed="64"/>
      </left>
      <right style="hair">
        <color indexed="64"/>
      </right>
      <top/>
      <bottom/>
      <diagonal/>
    </border>
    <border>
      <left style="hair">
        <color indexed="64"/>
      </left>
      <right/>
      <top/>
      <bottom/>
      <diagonal/>
    </border>
    <border>
      <left style="double">
        <color indexed="64"/>
      </left>
      <right style="thin">
        <color indexed="64"/>
      </right>
      <top/>
      <bottom style="thin">
        <color indexed="64"/>
      </bottom>
      <diagonal/>
    </border>
    <border>
      <left style="medium">
        <color rgb="FFBCBBB5"/>
      </left>
      <right/>
      <top/>
      <bottom style="medium">
        <color rgb="FFDBD9D4"/>
      </bottom>
      <diagonal/>
    </border>
    <border>
      <left/>
      <right/>
      <top/>
      <bottom style="medium">
        <color rgb="FFDBD9D4"/>
      </bottom>
      <diagonal/>
    </border>
    <border>
      <left/>
      <right style="medium">
        <color rgb="FFBCBBB5"/>
      </right>
      <top/>
      <bottom style="medium">
        <color rgb="FFDBD9D4"/>
      </bottom>
      <diagonal/>
    </border>
    <border>
      <left style="medium">
        <color indexed="64"/>
      </left>
      <right style="thin">
        <color indexed="64"/>
      </right>
      <top/>
      <bottom/>
      <diagonal/>
    </border>
    <border>
      <left style="double">
        <color indexed="64"/>
      </left>
      <right/>
      <top/>
      <bottom style="medium">
        <color indexed="64"/>
      </bottom>
      <diagonal/>
    </border>
    <border>
      <left/>
      <right style="thin">
        <color indexed="64"/>
      </right>
      <top/>
      <bottom style="medium">
        <color indexed="64"/>
      </bottom>
      <diagonal/>
    </border>
    <border>
      <left style="medium">
        <color rgb="FFBCBBB5"/>
      </left>
      <right/>
      <top style="medium">
        <color rgb="FFDBD9D4"/>
      </top>
      <bottom/>
      <diagonal/>
    </border>
    <border>
      <left style="medium">
        <color rgb="FFDBD9D4"/>
      </left>
      <right/>
      <top style="medium">
        <color rgb="FFDBD9D4"/>
      </top>
      <bottom/>
      <diagonal/>
    </border>
    <border>
      <left style="medium">
        <color rgb="FFDBD9D4"/>
      </left>
      <right style="medium">
        <color rgb="FFBCBBB5"/>
      </right>
      <top style="medium">
        <color rgb="FFDBD9D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top/>
      <bottom style="medium">
        <color indexed="64"/>
      </bottom>
      <diagonal/>
    </border>
    <border>
      <left style="double">
        <color indexed="64"/>
      </left>
      <right style="thin">
        <color indexed="64"/>
      </right>
      <top/>
      <bottom style="medium">
        <color indexed="64"/>
      </bottom>
      <diagonal/>
    </border>
    <border>
      <left style="thin">
        <color indexed="64"/>
      </left>
      <right style="hair">
        <color indexed="64"/>
      </right>
      <top style="medium">
        <color indexed="64"/>
      </top>
      <bottom/>
      <diagonal/>
    </border>
    <border>
      <left style="hair">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right/>
      <top style="medium">
        <color indexed="64"/>
      </top>
      <bottom style="hair">
        <color indexed="64"/>
      </bottom>
      <diagonal/>
    </border>
    <border>
      <left style="double">
        <color indexed="64"/>
      </left>
      <right style="thin">
        <color indexed="64"/>
      </right>
      <top style="medium">
        <color indexed="64"/>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rgb="FFBCBBB5"/>
      </left>
      <right/>
      <top style="medium">
        <color rgb="FFDBD9D4"/>
      </top>
      <bottom style="medium">
        <color rgb="FFDBD9D4"/>
      </bottom>
      <diagonal/>
    </border>
    <border>
      <left/>
      <right/>
      <top style="medium">
        <color rgb="FFDBD9D4"/>
      </top>
      <bottom style="medium">
        <color rgb="FFDBD9D4"/>
      </bottom>
      <diagonal/>
    </border>
    <border>
      <left/>
      <right style="medium">
        <color rgb="FFBCBBB5"/>
      </right>
      <top style="medium">
        <color rgb="FFDBD9D4"/>
      </top>
      <bottom style="medium">
        <color rgb="FFDBD9D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
      <left style="thin">
        <color indexed="64"/>
      </left>
      <right style="hair">
        <color indexed="64"/>
      </right>
      <top style="medium">
        <color indexed="64"/>
      </top>
      <bottom style="medium">
        <color indexed="64"/>
      </bottom>
      <diagonal/>
    </border>
    <border>
      <left/>
      <right style="hair">
        <color indexed="64"/>
      </right>
      <top style="medium">
        <color indexed="64"/>
      </top>
      <bottom style="medium">
        <color indexed="64"/>
      </bottom>
      <diagonal/>
    </border>
    <border>
      <left/>
      <right/>
      <top style="medium">
        <color indexed="64"/>
      </top>
      <bottom style="medium">
        <color indexed="64"/>
      </bottom>
      <diagonal/>
    </border>
    <border>
      <left style="hair">
        <color indexed="64"/>
      </left>
      <right/>
      <top/>
      <bottom style="hair">
        <color indexed="64"/>
      </bottom>
      <diagonal/>
    </border>
    <border>
      <left/>
      <right style="hair">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rgb="FFBCBBB5"/>
      </left>
      <right/>
      <top style="medium">
        <color rgb="FFDBD9D4"/>
      </top>
      <bottom style="medium">
        <color rgb="FFBCBBB5"/>
      </bottom>
      <diagonal/>
    </border>
    <border>
      <left style="medium">
        <color rgb="FFDBD9D4"/>
      </left>
      <right/>
      <top style="medium">
        <color rgb="FFDBD9D4"/>
      </top>
      <bottom style="medium">
        <color rgb="FFBCBBB5"/>
      </bottom>
      <diagonal/>
    </border>
    <border>
      <left style="medium">
        <color rgb="FFDBD9D4"/>
      </left>
      <right style="medium">
        <color rgb="FFBCBBB5"/>
      </right>
      <top style="medium">
        <color rgb="FFDBD9D4"/>
      </top>
      <bottom style="medium">
        <color rgb="FFBCBBB5"/>
      </bottom>
      <diagonal/>
    </border>
    <border>
      <left style="thin">
        <color indexed="64"/>
      </left>
      <right/>
      <top style="hair">
        <color indexed="64"/>
      </top>
      <bottom style="medium">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top style="hair">
        <color indexed="64"/>
      </top>
      <bottom/>
      <diagonal/>
    </border>
    <border>
      <left style="double">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double">
        <color indexed="64"/>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hair">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top style="hair">
        <color indexed="64"/>
      </top>
      <bottom/>
      <diagonal/>
    </border>
    <border>
      <left/>
      <right style="double">
        <color indexed="64"/>
      </right>
      <top style="medium">
        <color indexed="64"/>
      </top>
      <bottom style="hair">
        <color indexed="64"/>
      </bottom>
      <diagonal/>
    </border>
    <border>
      <left/>
      <right style="double">
        <color indexed="64"/>
      </right>
      <top style="hair">
        <color indexed="64"/>
      </top>
      <bottom style="hair">
        <color indexed="64"/>
      </bottom>
      <diagonal/>
    </border>
    <border>
      <left/>
      <right style="double">
        <color indexed="64"/>
      </right>
      <top style="hair">
        <color indexed="64"/>
      </top>
      <bottom style="medium">
        <color indexed="64"/>
      </bottom>
      <diagonal/>
    </border>
    <border>
      <left style="thin">
        <color indexed="64"/>
      </left>
      <right/>
      <top style="medium">
        <color indexed="64"/>
      </top>
      <bottom style="medium">
        <color indexed="64"/>
      </bottom>
      <diagonal/>
    </border>
    <border>
      <left/>
      <right style="double">
        <color indexed="64"/>
      </right>
      <top/>
      <bottom style="medium">
        <color indexed="64"/>
      </bottom>
      <diagonal/>
    </border>
    <border>
      <left/>
      <right/>
      <top/>
      <bottom style="hair">
        <color indexed="64"/>
      </bottom>
      <diagonal/>
    </border>
    <border>
      <left style="thin">
        <color indexed="64"/>
      </left>
      <right style="double">
        <color indexed="64"/>
      </right>
      <top/>
      <bottom style="medium">
        <color indexed="64"/>
      </bottom>
      <diagonal/>
    </border>
    <border>
      <left style="thin">
        <color indexed="64"/>
      </left>
      <right style="thin">
        <color indexed="64"/>
      </right>
      <top/>
      <bottom/>
      <diagonal/>
    </border>
    <border>
      <left/>
      <right style="hair">
        <color indexed="64"/>
      </right>
      <top/>
      <bottom style="thin">
        <color indexed="64"/>
      </bottom>
      <diagonal/>
    </border>
    <border>
      <left/>
      <right style="hair">
        <color indexed="64"/>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rgb="FF000000"/>
      </left>
      <right style="medium">
        <color rgb="FF000000"/>
      </right>
      <top style="medium">
        <color indexed="64"/>
      </top>
      <bottom style="medium">
        <color rgb="FF000000"/>
      </bottom>
      <diagonal/>
    </border>
    <border>
      <left/>
      <right style="medium">
        <color rgb="FF000000"/>
      </right>
      <top style="medium">
        <color indexed="64"/>
      </top>
      <bottom style="medium">
        <color rgb="FF000000"/>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3"/>
      </left>
      <right style="thin">
        <color indexed="63"/>
      </right>
      <top style="thin">
        <color indexed="63"/>
      </top>
      <bottom style="thin">
        <color indexed="63"/>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diagonal/>
    </border>
    <border>
      <left/>
      <right/>
      <top style="medium">
        <color rgb="FFEBEBEB"/>
      </top>
      <bottom/>
      <diagonal/>
    </border>
    <border>
      <left style="medium">
        <color rgb="FFEBEBEB"/>
      </left>
      <right/>
      <top style="medium">
        <color rgb="FFEBEBEB"/>
      </top>
      <bottom/>
      <diagonal/>
    </border>
    <border>
      <left/>
      <right style="medium">
        <color rgb="FFEBEBEB"/>
      </right>
      <top style="medium">
        <color rgb="FFEBEBEB"/>
      </top>
      <bottom/>
      <diagonal/>
    </border>
    <border>
      <left style="medium">
        <color rgb="FFEBEBEB"/>
      </left>
      <right style="medium">
        <color rgb="FFEBEBEB"/>
      </right>
      <top style="medium">
        <color rgb="FFEBEBEB"/>
      </top>
      <bottom/>
      <diagonal/>
    </border>
    <border>
      <left style="medium">
        <color rgb="FFEBEBEB"/>
      </left>
      <right/>
      <top style="medium">
        <color rgb="FFEBEBEB"/>
      </top>
      <bottom style="medium">
        <color rgb="FFEBEBEB"/>
      </bottom>
      <diagonal/>
    </border>
    <border>
      <left style="medium">
        <color rgb="FFEBEBEB"/>
      </left>
      <right style="medium">
        <color rgb="FFEBEBEB"/>
      </right>
      <top style="medium">
        <color rgb="FFEBEBEB"/>
      </top>
      <bottom style="medium">
        <color rgb="FFEBEBEB"/>
      </bottom>
      <diagonal/>
    </border>
    <border>
      <left style="medium">
        <color rgb="FFEBEBEB"/>
      </left>
      <right/>
      <top/>
      <bottom style="medium">
        <color rgb="FFEBEBEB"/>
      </bottom>
      <diagonal/>
    </border>
    <border>
      <left/>
      <right/>
      <top/>
      <bottom style="medium">
        <color rgb="FFEBEBEB"/>
      </bottom>
      <diagonal/>
    </border>
    <border>
      <left/>
      <right style="medium">
        <color rgb="FFEBEBEB"/>
      </right>
      <top/>
      <bottom style="medium">
        <color rgb="FFEBEBEB"/>
      </bottom>
      <diagonal/>
    </border>
    <border>
      <left/>
      <right/>
      <top style="medium">
        <color rgb="FFEBEBEB"/>
      </top>
      <bottom style="medium">
        <color rgb="FFEBEBEB"/>
      </bottom>
      <diagonal/>
    </border>
    <border>
      <left/>
      <right style="medium">
        <color rgb="FFEBEBEB"/>
      </right>
      <top style="medium">
        <color rgb="FFEBEBEB"/>
      </top>
      <bottom style="medium">
        <color rgb="FFEBEBEB"/>
      </bottom>
      <diagonal/>
    </border>
    <border>
      <left style="hair">
        <color indexed="64"/>
      </left>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rgb="FFEBEBEB"/>
      </left>
      <right/>
      <top/>
      <bottom/>
      <diagonal/>
    </border>
    <border>
      <left style="medium">
        <color rgb="FFEBEBEB"/>
      </left>
      <right style="medium">
        <color rgb="FFEBEBEB"/>
      </right>
      <top/>
      <bottom/>
      <diagonal/>
    </border>
    <border>
      <left/>
      <right/>
      <top/>
      <bottom style="thin">
        <color theme="4" tint="0.39997558519241921"/>
      </bottom>
      <diagonal/>
    </border>
    <border>
      <left/>
      <right/>
      <top style="thin">
        <color theme="4" tint="0.39997558519241921"/>
      </top>
      <bottom/>
      <diagonal/>
    </border>
    <border>
      <left style="thin">
        <color rgb="FFB2B2B2"/>
      </left>
      <right style="thin">
        <color rgb="FFB2B2B2"/>
      </right>
      <top style="thin">
        <color rgb="FFB2B2B2"/>
      </top>
      <bottom style="thin">
        <color rgb="FFB2B2B2"/>
      </bottom>
      <diagonal/>
    </border>
    <border>
      <left style="medium">
        <color rgb="FF000000"/>
      </left>
      <right style="medium">
        <color rgb="FF7F7F7F"/>
      </right>
      <top style="medium">
        <color rgb="FF000000"/>
      </top>
      <bottom style="medium">
        <color rgb="FF7F7F7F"/>
      </bottom>
      <diagonal/>
    </border>
    <border>
      <left/>
      <right style="medium">
        <color rgb="FF000000"/>
      </right>
      <top style="medium">
        <color rgb="FF000000"/>
      </top>
      <bottom style="medium">
        <color rgb="FF7F7F7F"/>
      </bottom>
      <diagonal/>
    </border>
    <border>
      <left style="medium">
        <color rgb="FF000000"/>
      </left>
      <right style="medium">
        <color rgb="FF7F7F7F"/>
      </right>
      <top/>
      <bottom style="medium">
        <color rgb="FF7F7F7F"/>
      </bottom>
      <diagonal/>
    </border>
    <border>
      <left/>
      <right style="medium">
        <color rgb="FF000000"/>
      </right>
      <top/>
      <bottom style="medium">
        <color rgb="FF7F7F7F"/>
      </bottom>
      <diagonal/>
    </border>
    <border>
      <left style="medium">
        <color rgb="FF000000"/>
      </left>
      <right style="medium">
        <color rgb="FF7F7F7F"/>
      </right>
      <top/>
      <bottom style="medium">
        <color rgb="FF000000"/>
      </bottom>
      <diagonal/>
    </border>
    <border>
      <left style="medium">
        <color rgb="FF000000"/>
      </left>
      <right style="medium">
        <color rgb="FF7F7F7F"/>
      </right>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ABABAB"/>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style="thin">
        <color rgb="FFABABAB"/>
      </left>
      <right style="thin">
        <color rgb="FFABABAB"/>
      </right>
      <top style="thin">
        <color rgb="FFABABAB"/>
      </top>
      <bottom/>
      <diagonal/>
    </border>
    <border>
      <left style="thin">
        <color rgb="FFABABAB"/>
      </left>
      <right/>
      <top style="thin">
        <color rgb="FFABABAB"/>
      </top>
      <bottom/>
      <diagonal/>
    </border>
    <border>
      <left style="thin">
        <color indexed="65"/>
      </left>
      <right/>
      <top style="thin">
        <color rgb="FFABABAB"/>
      </top>
      <bottom/>
      <diagonal/>
    </border>
    <border>
      <left style="thin">
        <color auto="1"/>
      </left>
      <right style="medium">
        <color auto="1"/>
      </right>
      <top style="medium">
        <color auto="1"/>
      </top>
      <bottom style="thin">
        <color auto="1"/>
      </bottom>
      <diagonal/>
    </border>
    <border>
      <left style="thin">
        <color auto="1"/>
      </left>
      <right style="thin">
        <color auto="1"/>
      </right>
      <top style="double">
        <color auto="1"/>
      </top>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indexed="64"/>
      </top>
      <bottom/>
      <diagonal/>
    </border>
    <border>
      <left/>
      <right/>
      <top/>
      <bottom style="thin">
        <color theme="2" tint="-0.24994659260841701"/>
      </bottom>
      <diagonal/>
    </border>
    <border>
      <left/>
      <right/>
      <top style="thin">
        <color theme="2" tint="-0.24994659260841701"/>
      </top>
      <bottom style="thin">
        <color theme="2" tint="-0.24994659260841701"/>
      </bottom>
      <diagonal/>
    </border>
    <border>
      <left/>
      <right/>
      <top style="thin">
        <color theme="2" tint="-0.24994659260841701"/>
      </top>
      <bottom style="medium">
        <color indexed="64"/>
      </bottom>
      <diagonal/>
    </border>
    <border>
      <left style="thin">
        <color auto="1"/>
      </left>
      <right style="thin">
        <color auto="1"/>
      </right>
      <top style="double">
        <color auto="1"/>
      </top>
      <bottom/>
      <diagonal/>
    </border>
    <border>
      <left style="thin">
        <color auto="1"/>
      </left>
      <right style="thin">
        <color auto="1"/>
      </right>
      <top style="thin">
        <color auto="1"/>
      </top>
      <bottom/>
      <diagonal/>
    </border>
    <border>
      <left style="medium">
        <color auto="1"/>
      </left>
      <right/>
      <top style="thin">
        <color auto="1"/>
      </top>
      <bottom style="medium">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style="double">
        <color indexed="64"/>
      </left>
      <right style="thin">
        <color indexed="64"/>
      </right>
      <top style="thin">
        <color indexed="64"/>
      </top>
      <bottom/>
      <diagonal/>
    </border>
    <border>
      <left/>
      <right/>
      <top style="double">
        <color indexed="64"/>
      </top>
      <bottom/>
      <diagonal/>
    </border>
    <border>
      <left/>
      <right style="hair">
        <color indexed="64"/>
      </right>
      <top style="thin">
        <color indexed="64"/>
      </top>
      <bottom/>
      <diagonal/>
    </border>
  </borders>
  <cellStyleXfs count="2488">
    <xf numFmtId="0" fontId="0" fillId="0" borderId="0"/>
    <xf numFmtId="41" fontId="24" fillId="0" borderId="0" applyFont="0" applyFill="0" applyBorder="0" applyAlignment="0" applyProtection="0"/>
    <xf numFmtId="9" fontId="24" fillId="0" borderId="0" applyFont="0" applyFill="0" applyBorder="0" applyAlignment="0" applyProtection="0"/>
    <xf numFmtId="0" fontId="11" fillId="0" borderId="0"/>
    <xf numFmtId="9" fontId="11" fillId="0" borderId="0" applyFont="0" applyFill="0" applyBorder="0" applyAlignment="0" applyProtection="0"/>
    <xf numFmtId="0" fontId="20" fillId="0" borderId="0"/>
    <xf numFmtId="0" fontId="26" fillId="0" borderId="0" applyNumberFormat="0" applyFill="0" applyBorder="0" applyAlignment="0" applyProtection="0"/>
    <xf numFmtId="172" fontId="25" fillId="0" borderId="0" applyFont="0" applyFill="0" applyBorder="0" applyAlignment="0">
      <alignment wrapText="1"/>
    </xf>
    <xf numFmtId="166" fontId="11" fillId="0" borderId="0" applyFont="0" applyFill="0" applyBorder="0" applyAlignment="0" applyProtection="0"/>
    <xf numFmtId="165" fontId="11" fillId="0" borderId="0" applyFont="0" applyFill="0" applyBorder="0" applyAlignment="0" applyProtection="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47" fillId="0" borderId="0"/>
    <xf numFmtId="0" fontId="58" fillId="0" borderId="0"/>
    <xf numFmtId="0" fontId="39" fillId="0" borderId="0" applyNumberFormat="0" applyFont="0" applyFill="0" applyBorder="0" applyProtection="0">
      <alignment horizontal="left" vertical="center" indent="5"/>
    </xf>
    <xf numFmtId="0" fontId="61" fillId="0" borderId="0"/>
    <xf numFmtId="9" fontId="39" fillId="0" borderId="0" applyFont="0" applyFill="0" applyBorder="0" applyAlignment="0" applyProtection="0"/>
    <xf numFmtId="0" fontId="39" fillId="0" borderId="0"/>
    <xf numFmtId="164" fontId="76" fillId="0" borderId="0" applyFont="0" applyFill="0" applyBorder="0" applyAlignment="0" applyProtection="0"/>
    <xf numFmtId="0" fontId="9" fillId="0" borderId="0"/>
    <xf numFmtId="0" fontId="77" fillId="18" borderId="138" applyNumberFormat="0" applyAlignment="0" applyProtection="0"/>
    <xf numFmtId="0" fontId="86" fillId="0" borderId="0" applyNumberFormat="0" applyFill="0" applyBorder="0" applyAlignment="0" applyProtection="0"/>
    <xf numFmtId="0" fontId="87" fillId="0" borderId="0" applyNumberFormat="0">
      <alignment horizontal="right"/>
    </xf>
    <xf numFmtId="4" fontId="87" fillId="14" borderId="168">
      <alignment horizontal="right" vertical="center"/>
    </xf>
    <xf numFmtId="0" fontId="59" fillId="0" borderId="0" applyNumberFormat="0" applyFill="0" applyBorder="0" applyProtection="0">
      <alignment horizontal="left" vertical="center"/>
    </xf>
    <xf numFmtId="0" fontId="58" fillId="47" borderId="0" applyBorder="0">
      <alignment horizontal="right" vertical="center"/>
    </xf>
    <xf numFmtId="0" fontId="58" fillId="47" borderId="143">
      <alignment horizontal="right" vertical="center"/>
    </xf>
    <xf numFmtId="0" fontId="39" fillId="0" borderId="0" applyNumberFormat="0" applyFont="0" applyFill="0" applyBorder="0" applyProtection="0">
      <alignment horizontal="left" vertical="center" indent="2"/>
    </xf>
    <xf numFmtId="0" fontId="58" fillId="47" borderId="0" applyBorder="0">
      <alignment horizontal="right" vertical="center"/>
    </xf>
    <xf numFmtId="0" fontId="58" fillId="0" borderId="0" applyBorder="0">
      <alignment horizontal="right" vertical="center"/>
    </xf>
    <xf numFmtId="0" fontId="58" fillId="0" borderId="166" applyNumberFormat="0" applyFill="0" applyAlignment="0" applyProtection="0"/>
    <xf numFmtId="0" fontId="39" fillId="48" borderId="0" applyNumberFormat="0" applyFont="0" applyBorder="0" applyAlignment="0" applyProtection="0"/>
    <xf numFmtId="0" fontId="58" fillId="48" borderId="166"/>
    <xf numFmtId="0" fontId="58" fillId="0" borderId="4" applyNumberFormat="0" applyFill="0" applyAlignment="0" applyProtection="0"/>
    <xf numFmtId="0" fontId="87" fillId="0" borderId="147">
      <alignment horizontal="left" vertical="top" wrapText="1"/>
    </xf>
    <xf numFmtId="0" fontId="87" fillId="14" borderId="4">
      <alignment horizontal="right" vertical="center"/>
    </xf>
    <xf numFmtId="0" fontId="87" fillId="14" borderId="4">
      <alignment horizontal="right" vertical="center"/>
    </xf>
    <xf numFmtId="0" fontId="58" fillId="0" borderId="148">
      <alignment horizontal="left" vertical="center" wrapText="1" indent="2"/>
    </xf>
    <xf numFmtId="0" fontId="87" fillId="14" borderId="145">
      <alignment horizontal="right" vertical="center"/>
    </xf>
    <xf numFmtId="0" fontId="58" fillId="0" borderId="4">
      <alignment horizontal="right" vertical="center"/>
    </xf>
    <xf numFmtId="0" fontId="39" fillId="0" borderId="37"/>
    <xf numFmtId="0" fontId="89" fillId="47" borderId="4">
      <alignment horizontal="right" vertical="center"/>
    </xf>
    <xf numFmtId="0" fontId="58" fillId="48" borderId="4"/>
    <xf numFmtId="0" fontId="87" fillId="47" borderId="4">
      <alignment horizontal="right" vertical="center"/>
    </xf>
    <xf numFmtId="0" fontId="87" fillId="47" borderId="5">
      <alignment horizontal="right" vertical="center"/>
    </xf>
    <xf numFmtId="0" fontId="58" fillId="0" borderId="5">
      <alignment horizontal="right" vertical="center"/>
    </xf>
    <xf numFmtId="4" fontId="39" fillId="0" borderId="0"/>
    <xf numFmtId="0" fontId="87" fillId="14" borderId="146">
      <alignment horizontal="right" vertical="center"/>
    </xf>
    <xf numFmtId="0" fontId="87" fillId="14" borderId="5">
      <alignment horizontal="right" vertical="center"/>
    </xf>
    <xf numFmtId="0" fontId="87" fillId="14" borderId="144">
      <alignment horizontal="right" vertical="center"/>
    </xf>
    <xf numFmtId="4" fontId="87" fillId="14" borderId="145">
      <alignment horizontal="right" vertical="center"/>
    </xf>
    <xf numFmtId="0" fontId="58" fillId="0" borderId="0"/>
    <xf numFmtId="0" fontId="58" fillId="51" borderId="4">
      <alignment horizontal="right" vertical="center"/>
    </xf>
    <xf numFmtId="0" fontId="58" fillId="51" borderId="0" applyBorder="0">
      <alignment horizontal="right" vertical="center"/>
    </xf>
    <xf numFmtId="0" fontId="39" fillId="0" borderId="0"/>
    <xf numFmtId="0" fontId="39" fillId="50" borderId="4"/>
    <xf numFmtId="4" fontId="39" fillId="0" borderId="0"/>
    <xf numFmtId="4" fontId="58" fillId="0" borderId="4" applyFill="0" applyBorder="0" applyProtection="0">
      <alignment horizontal="right" vertical="center"/>
    </xf>
    <xf numFmtId="0" fontId="91" fillId="0" borderId="0" applyNumberFormat="0" applyFill="0" applyBorder="0" applyAlignment="0" applyProtection="0"/>
    <xf numFmtId="0" fontId="58" fillId="0" borderId="0"/>
    <xf numFmtId="4" fontId="39" fillId="0" borderId="0"/>
    <xf numFmtId="4" fontId="39" fillId="0" borderId="0"/>
    <xf numFmtId="0" fontId="9" fillId="0" borderId="0"/>
    <xf numFmtId="0" fontId="97" fillId="70" borderId="178" applyNumberFormat="0" applyAlignment="0" applyProtection="0"/>
    <xf numFmtId="0" fontId="58" fillId="48" borderId="4"/>
    <xf numFmtId="0" fontId="87" fillId="14" borderId="145">
      <alignment horizontal="right" vertical="center"/>
    </xf>
    <xf numFmtId="4" fontId="87" fillId="14" borderId="168">
      <alignment horizontal="right" vertical="center"/>
    </xf>
    <xf numFmtId="0" fontId="110" fillId="57" borderId="171" applyNumberFormat="0" applyAlignment="0" applyProtection="0"/>
    <xf numFmtId="0" fontId="58" fillId="0" borderId="166">
      <alignment horizontal="right" vertical="center"/>
    </xf>
    <xf numFmtId="0" fontId="102" fillId="0" borderId="179" applyNumberFormat="0" applyFill="0" applyAlignment="0" applyProtection="0"/>
    <xf numFmtId="0" fontId="58" fillId="48" borderId="181"/>
    <xf numFmtId="0" fontId="78" fillId="25" borderId="139" applyNumberFormat="0" applyAlignment="0" applyProtection="0"/>
    <xf numFmtId="0" fontId="79" fillId="25" borderId="138" applyNumberFormat="0" applyAlignment="0" applyProtection="0"/>
    <xf numFmtId="49" fontId="58" fillId="0" borderId="167" applyNumberFormat="0" applyFont="0" applyFill="0" applyBorder="0" applyProtection="0">
      <alignment horizontal="left" vertical="center" indent="5"/>
    </xf>
    <xf numFmtId="0" fontId="80" fillId="0" borderId="0" applyNumberFormat="0" applyFill="0" applyBorder="0" applyAlignment="0" applyProtection="0"/>
    <xf numFmtId="0" fontId="87" fillId="14" borderId="166">
      <alignment horizontal="right" vertical="center"/>
    </xf>
    <xf numFmtId="0" fontId="81" fillId="0" borderId="0" applyNumberFormat="0" applyFill="0" applyBorder="0" applyAlignment="0" applyProtection="0"/>
    <xf numFmtId="0" fontId="30" fillId="0" borderId="140" applyNumberFormat="0" applyFill="0" applyAlignment="0" applyProtection="0"/>
    <xf numFmtId="0" fontId="9" fillId="26" borderId="0" applyNumberFormat="0" applyBorder="0" applyAlignment="0" applyProtection="0"/>
    <xf numFmtId="0" fontId="9" fillId="27" borderId="0" applyNumberFormat="0" applyBorder="0" applyAlignment="0" applyProtection="0"/>
    <xf numFmtId="0" fontId="82" fillId="28" borderId="0" applyNumberFormat="0" applyBorder="0" applyAlignment="0" applyProtection="0"/>
    <xf numFmtId="0" fontId="58" fillId="14" borderId="177">
      <alignment horizontal="left" vertical="center" wrapText="1" indent="2"/>
    </xf>
    <xf numFmtId="0" fontId="9" fillId="29" borderId="0" applyNumberFormat="0" applyBorder="0" applyAlignment="0" applyProtection="0"/>
    <xf numFmtId="0" fontId="9" fillId="30" borderId="0" applyNumberFormat="0" applyBorder="0" applyAlignment="0" applyProtection="0"/>
    <xf numFmtId="0" fontId="82" fillId="31" borderId="0" applyNumberFormat="0" applyBorder="0" applyAlignment="0" applyProtection="0"/>
    <xf numFmtId="0" fontId="114" fillId="70" borderId="162" applyNumberFormat="0" applyAlignment="0" applyProtection="0"/>
    <xf numFmtId="0" fontId="9" fillId="32" borderId="0" applyNumberFormat="0" applyBorder="0" applyAlignment="0" applyProtection="0"/>
    <xf numFmtId="0" fontId="9" fillId="33" borderId="0" applyNumberFormat="0" applyBorder="0" applyAlignment="0" applyProtection="0"/>
    <xf numFmtId="0" fontId="82" fillId="34" borderId="0" applyNumberFormat="0" applyBorder="0" applyAlignment="0" applyProtection="0"/>
    <xf numFmtId="0" fontId="95" fillId="70" borderId="162" applyNumberFormat="0" applyAlignment="0" applyProtection="0"/>
    <xf numFmtId="0" fontId="9" fillId="35" borderId="0" applyNumberFormat="0" applyBorder="0" applyAlignment="0" applyProtection="0"/>
    <xf numFmtId="0" fontId="9" fillId="36" borderId="0" applyNumberFormat="0" applyBorder="0" applyAlignment="0" applyProtection="0"/>
    <xf numFmtId="0" fontId="82" fillId="37" borderId="0" applyNumberFormat="0" applyBorder="0" applyAlignment="0" applyProtection="0"/>
    <xf numFmtId="0" fontId="58" fillId="48" borderId="166"/>
    <xf numFmtId="0" fontId="9" fillId="38" borderId="0" applyNumberFormat="0" applyBorder="0" applyAlignment="0" applyProtection="0"/>
    <xf numFmtId="0" fontId="9" fillId="39" borderId="0" applyNumberFormat="0" applyBorder="0" applyAlignment="0" applyProtection="0"/>
    <xf numFmtId="0" fontId="82" fillId="40" borderId="0" applyNumberFormat="0" applyBorder="0" applyAlignment="0" applyProtection="0"/>
    <xf numFmtId="0" fontId="9" fillId="41" borderId="0" applyNumberFormat="0" applyBorder="0" applyAlignment="0" applyProtection="0"/>
    <xf numFmtId="0" fontId="9" fillId="42" borderId="0" applyNumberFormat="0" applyBorder="0" applyAlignment="0" applyProtection="0"/>
    <xf numFmtId="0" fontId="82" fillId="43" borderId="0" applyNumberFormat="0" applyBorder="0" applyAlignment="0" applyProtection="0"/>
    <xf numFmtId="0" fontId="58" fillId="0" borderId="4" applyNumberFormat="0" applyFill="0" applyAlignment="0" applyProtection="0"/>
    <xf numFmtId="0" fontId="87" fillId="14" borderId="4">
      <alignment horizontal="right" vertical="center"/>
    </xf>
    <xf numFmtId="0" fontId="87" fillId="14" borderId="4">
      <alignment horizontal="right" vertical="center"/>
    </xf>
    <xf numFmtId="0" fontId="58" fillId="0" borderId="148">
      <alignment horizontal="left" vertical="center" wrapText="1" indent="2"/>
    </xf>
    <xf numFmtId="0" fontId="87" fillId="14" borderId="145">
      <alignment horizontal="right" vertical="center"/>
    </xf>
    <xf numFmtId="0" fontId="58" fillId="0" borderId="4">
      <alignment horizontal="right" vertical="center"/>
    </xf>
    <xf numFmtId="0" fontId="89" fillId="47" borderId="4">
      <alignment horizontal="right" vertical="center"/>
    </xf>
    <xf numFmtId="0" fontId="58" fillId="48" borderId="4"/>
    <xf numFmtId="0" fontId="87" fillId="47" borderId="4">
      <alignment horizontal="right" vertical="center"/>
    </xf>
    <xf numFmtId="0" fontId="87" fillId="14" borderId="144">
      <alignment horizontal="right" vertical="center"/>
    </xf>
    <xf numFmtId="0" fontId="42" fillId="0" borderId="0" applyNumberFormat="0" applyFill="0" applyBorder="0" applyAlignment="0" applyProtection="0"/>
    <xf numFmtId="0" fontId="92" fillId="52" borderId="0" applyNumberFormat="0" applyBorder="0" applyAlignment="0" applyProtection="0"/>
    <xf numFmtId="0" fontId="92" fillId="53" borderId="0" applyNumberFormat="0" applyBorder="0" applyAlignment="0" applyProtection="0"/>
    <xf numFmtId="0" fontId="92" fillId="54" borderId="0" applyNumberFormat="0" applyBorder="0" applyAlignment="0" applyProtection="0"/>
    <xf numFmtId="0" fontId="92" fillId="55" borderId="0" applyNumberFormat="0" applyBorder="0" applyAlignment="0" applyProtection="0"/>
    <xf numFmtId="0" fontId="92" fillId="56" borderId="0" applyNumberFormat="0" applyBorder="0" applyAlignment="0" applyProtection="0"/>
    <xf numFmtId="0" fontId="92" fillId="57" borderId="0" applyNumberFormat="0" applyBorder="0" applyAlignment="0" applyProtection="0"/>
    <xf numFmtId="0" fontId="39" fillId="0" borderId="0" applyNumberFormat="0" applyFont="0" applyFill="0" applyBorder="0" applyProtection="0">
      <alignment horizontal="left" vertical="center" indent="2"/>
    </xf>
    <xf numFmtId="0" fontId="39" fillId="0" borderId="0" applyNumberFormat="0" applyFont="0" applyFill="0" applyBorder="0" applyProtection="0">
      <alignment horizontal="left" vertical="center" indent="2"/>
    </xf>
    <xf numFmtId="49" fontId="58" fillId="0" borderId="4" applyNumberFormat="0" applyFont="0" applyFill="0" applyBorder="0" applyProtection="0">
      <alignment horizontal="left" vertical="center" indent="2"/>
    </xf>
    <xf numFmtId="0" fontId="92" fillId="58" borderId="0" applyNumberFormat="0" applyBorder="0" applyAlignment="0" applyProtection="0"/>
    <xf numFmtId="0" fontId="92" fillId="59" borderId="0" applyNumberFormat="0" applyBorder="0" applyAlignment="0" applyProtection="0"/>
    <xf numFmtId="0" fontId="92" fillId="60" borderId="0" applyNumberFormat="0" applyBorder="0" applyAlignment="0" applyProtection="0"/>
    <xf numFmtId="0" fontId="92" fillId="55" borderId="0" applyNumberFormat="0" applyBorder="0" applyAlignment="0" applyProtection="0"/>
    <xf numFmtId="0" fontId="92" fillId="58" borderId="0" applyNumberFormat="0" applyBorder="0" applyAlignment="0" applyProtection="0"/>
    <xf numFmtId="0" fontId="92" fillId="61" borderId="0" applyNumberFormat="0" applyBorder="0" applyAlignment="0" applyProtection="0"/>
    <xf numFmtId="0" fontId="39" fillId="0" borderId="0" applyNumberFormat="0" applyFont="0" applyFill="0" applyBorder="0" applyProtection="0">
      <alignment horizontal="left" vertical="center" indent="5"/>
    </xf>
    <xf numFmtId="0" fontId="39" fillId="0" borderId="0" applyNumberFormat="0" applyFont="0" applyFill="0" applyBorder="0" applyProtection="0">
      <alignment horizontal="left" vertical="center" indent="5"/>
    </xf>
    <xf numFmtId="49" fontId="58" fillId="0" borderId="144" applyNumberFormat="0" applyFont="0" applyFill="0" applyBorder="0" applyProtection="0">
      <alignment horizontal="left" vertical="center" indent="5"/>
    </xf>
    <xf numFmtId="0" fontId="94" fillId="62" borderId="0" applyNumberFormat="0" applyBorder="0" applyAlignment="0" applyProtection="0"/>
    <xf numFmtId="0" fontId="94" fillId="59" borderId="0" applyNumberFormat="0" applyBorder="0" applyAlignment="0" applyProtection="0"/>
    <xf numFmtId="0" fontId="94" fillId="60" borderId="0" applyNumberFormat="0" applyBorder="0" applyAlignment="0" applyProtection="0"/>
    <xf numFmtId="0" fontId="94" fillId="63" borderId="0" applyNumberFormat="0" applyBorder="0" applyAlignment="0" applyProtection="0"/>
    <xf numFmtId="0" fontId="94" fillId="64" borderId="0" applyNumberFormat="0" applyBorder="0" applyAlignment="0" applyProtection="0"/>
    <xf numFmtId="0" fontId="94" fillId="65" borderId="0" applyNumberFormat="0" applyBorder="0" applyAlignment="0" applyProtection="0"/>
    <xf numFmtId="0" fontId="94" fillId="66" borderId="0" applyNumberFormat="0" applyBorder="0" applyAlignment="0" applyProtection="0"/>
    <xf numFmtId="0" fontId="94" fillId="67" borderId="0" applyNumberFormat="0" applyBorder="0" applyAlignment="0" applyProtection="0"/>
    <xf numFmtId="0" fontId="94" fillId="68" borderId="0" applyNumberFormat="0" applyBorder="0" applyAlignment="0" applyProtection="0"/>
    <xf numFmtId="0" fontId="94" fillId="63" borderId="0" applyNumberFormat="0" applyBorder="0" applyAlignment="0" applyProtection="0"/>
    <xf numFmtId="0" fontId="94" fillId="64" borderId="0" applyNumberFormat="0" applyBorder="0" applyAlignment="0" applyProtection="0"/>
    <xf numFmtId="0" fontId="94" fillId="69" borderId="0" applyNumberFormat="0" applyBorder="0" applyAlignment="0" applyProtection="0"/>
    <xf numFmtId="0" fontId="59" fillId="51" borderId="0" applyBorder="0" applyAlignment="0"/>
    <xf numFmtId="4" fontId="59" fillId="51" borderId="0" applyBorder="0" applyAlignment="0"/>
    <xf numFmtId="4" fontId="58" fillId="51" borderId="0" applyBorder="0">
      <alignment horizontal="right" vertical="center"/>
    </xf>
    <xf numFmtId="4" fontId="58" fillId="47" borderId="0" applyBorder="0">
      <alignment horizontal="right" vertical="center"/>
    </xf>
    <xf numFmtId="4" fontId="58" fillId="47" borderId="0" applyBorder="0">
      <alignment horizontal="right" vertical="center"/>
    </xf>
    <xf numFmtId="4" fontId="87" fillId="47" borderId="4">
      <alignment horizontal="right" vertical="center"/>
    </xf>
    <xf numFmtId="4" fontId="89" fillId="47" borderId="4">
      <alignment horizontal="right" vertical="center"/>
    </xf>
    <xf numFmtId="4" fontId="87" fillId="14" borderId="4">
      <alignment horizontal="right" vertical="center"/>
    </xf>
    <xf numFmtId="4" fontId="87" fillId="14" borderId="4">
      <alignment horizontal="right" vertical="center"/>
    </xf>
    <xf numFmtId="4" fontId="87" fillId="14" borderId="144">
      <alignment horizontal="right" vertical="center"/>
    </xf>
    <xf numFmtId="4" fontId="87" fillId="14" borderId="145">
      <alignment horizontal="right" vertical="center"/>
    </xf>
    <xf numFmtId="0" fontId="93" fillId="66" borderId="0" applyNumberFormat="0" applyBorder="0" applyAlignment="0" applyProtection="0"/>
    <xf numFmtId="0" fontId="93" fillId="67" borderId="0" applyNumberFormat="0" applyBorder="0" applyAlignment="0" applyProtection="0"/>
    <xf numFmtId="0" fontId="93" fillId="68" borderId="0" applyNumberFormat="0" applyBorder="0" applyAlignment="0" applyProtection="0"/>
    <xf numFmtId="0" fontId="93" fillId="63" borderId="0" applyNumberFormat="0" applyBorder="0" applyAlignment="0" applyProtection="0"/>
    <xf numFmtId="0" fontId="93" fillId="64" borderId="0" applyNumberFormat="0" applyBorder="0" applyAlignment="0" applyProtection="0"/>
    <xf numFmtId="0" fontId="93" fillId="69" borderId="0" applyNumberFormat="0" applyBorder="0" applyAlignment="0" applyProtection="0"/>
    <xf numFmtId="0" fontId="96" fillId="53" borderId="0" applyNumberFormat="0" applyBorder="0" applyAlignment="0" applyProtection="0"/>
    <xf numFmtId="4" fontId="59" fillId="0" borderId="109" applyFill="0" applyBorder="0" applyProtection="0">
      <alignment horizontal="right" vertical="center"/>
    </xf>
    <xf numFmtId="0" fontId="98" fillId="70" borderId="150" applyNumberFormat="0" applyAlignment="0" applyProtection="0"/>
    <xf numFmtId="0" fontId="99" fillId="71" borderId="151" applyNumberFormat="0" applyAlignment="0" applyProtection="0"/>
    <xf numFmtId="43" fontId="90" fillId="0" borderId="0" applyFont="0" applyFill="0" applyBorder="0" applyAlignment="0" applyProtection="0"/>
    <xf numFmtId="181" fontId="100" fillId="0" borderId="0" applyFont="0" applyFill="0" applyBorder="0" applyAlignment="0" applyProtection="0"/>
    <xf numFmtId="43" fontId="90" fillId="0" borderId="0" applyFont="0" applyFill="0" applyBorder="0" applyAlignment="0" applyProtection="0"/>
    <xf numFmtId="0" fontId="58" fillId="14" borderId="148">
      <alignment horizontal="left" vertical="center" wrapText="1" indent="2"/>
    </xf>
    <xf numFmtId="0" fontId="58" fillId="47" borderId="144">
      <alignment horizontal="left" vertical="center"/>
    </xf>
    <xf numFmtId="0" fontId="104" fillId="0" borderId="0" applyNumberFormat="0" applyFill="0" applyBorder="0" applyAlignment="0" applyProtection="0"/>
    <xf numFmtId="0" fontId="105" fillId="54" borderId="0" applyNumberFormat="0" applyBorder="0" applyAlignment="0" applyProtection="0"/>
    <xf numFmtId="0" fontId="106" fillId="54" borderId="0" applyNumberFormat="0" applyBorder="0" applyAlignment="0" applyProtection="0"/>
    <xf numFmtId="0" fontId="107" fillId="0" borderId="153" applyNumberFormat="0" applyFill="0" applyAlignment="0" applyProtection="0"/>
    <xf numFmtId="0" fontId="108" fillId="0" borderId="154" applyNumberFormat="0" applyFill="0" applyAlignment="0" applyProtection="0"/>
    <xf numFmtId="0" fontId="109" fillId="0" borderId="155" applyNumberFormat="0" applyFill="0" applyAlignment="0" applyProtection="0"/>
    <xf numFmtId="0" fontId="109" fillId="0" borderId="0" applyNumberFormat="0" applyFill="0" applyBorder="0" applyAlignment="0" applyProtection="0"/>
    <xf numFmtId="0" fontId="110" fillId="57" borderId="150" applyNumberFormat="0" applyAlignment="0" applyProtection="0"/>
    <xf numFmtId="4" fontId="58" fillId="0" borderId="0" applyBorder="0">
      <alignment horizontal="right" vertical="center"/>
    </xf>
    <xf numFmtId="0" fontId="58" fillId="0" borderId="6">
      <alignment horizontal="right" vertical="center"/>
    </xf>
    <xf numFmtId="4" fontId="58" fillId="0" borderId="4">
      <alignment horizontal="right" vertical="center"/>
    </xf>
    <xf numFmtId="1" fontId="88" fillId="47" borderId="0" applyBorder="0">
      <alignment horizontal="right" vertical="center"/>
    </xf>
    <xf numFmtId="0" fontId="111" fillId="0" borderId="156" applyNumberFormat="0" applyFill="0" applyAlignment="0" applyProtection="0"/>
    <xf numFmtId="0" fontId="112" fillId="72" borderId="0" applyNumberFormat="0" applyBorder="0" applyAlignment="0" applyProtection="0"/>
    <xf numFmtId="0" fontId="39" fillId="0" borderId="0"/>
    <xf numFmtId="0" fontId="39" fillId="0" borderId="0"/>
    <xf numFmtId="0" fontId="87" fillId="14" borderId="166">
      <alignment horizontal="right" vertical="center"/>
    </xf>
    <xf numFmtId="0" fontId="39" fillId="0" borderId="0"/>
    <xf numFmtId="0" fontId="100" fillId="0" borderId="0"/>
    <xf numFmtId="4" fontId="113" fillId="0" borderId="0"/>
    <xf numFmtId="0" fontId="39" fillId="0" borderId="0"/>
    <xf numFmtId="0" fontId="39" fillId="0" borderId="0"/>
    <xf numFmtId="0" fontId="39" fillId="0" borderId="0"/>
    <xf numFmtId="0" fontId="39" fillId="0" borderId="0"/>
    <xf numFmtId="0" fontId="9" fillId="0" borderId="0"/>
    <xf numFmtId="4" fontId="58" fillId="0" borderId="0" applyFill="0" applyBorder="0" applyProtection="0">
      <alignment horizontal="right" vertical="center"/>
    </xf>
    <xf numFmtId="4" fontId="58" fillId="0" borderId="0" applyFill="0" applyBorder="0" applyProtection="0">
      <alignment horizontal="right" vertical="center"/>
    </xf>
    <xf numFmtId="4" fontId="58" fillId="0" borderId="4" applyFill="0" applyBorder="0" applyProtection="0">
      <alignment horizontal="right" vertical="center"/>
    </xf>
    <xf numFmtId="0" fontId="59" fillId="0" borderId="0" applyNumberFormat="0" applyFill="0" applyBorder="0" applyProtection="0">
      <alignment horizontal="left" vertical="center"/>
    </xf>
    <xf numFmtId="49" fontId="59" fillId="0" borderId="4" applyNumberFormat="0" applyFill="0" applyBorder="0" applyProtection="0">
      <alignment horizontal="left" vertical="center"/>
    </xf>
    <xf numFmtId="0" fontId="39" fillId="48" borderId="0" applyNumberFormat="0" applyFont="0" applyBorder="0" applyAlignment="0" applyProtection="0"/>
    <xf numFmtId="4" fontId="39" fillId="48" borderId="0" applyNumberFormat="0" applyFont="0" applyBorder="0" applyAlignment="0" applyProtection="0"/>
    <xf numFmtId="4" fontId="39" fillId="48" borderId="0" applyNumberFormat="0" applyFont="0" applyBorder="0" applyAlignment="0" applyProtection="0"/>
    <xf numFmtId="0" fontId="39" fillId="48" borderId="0" applyNumberFormat="0" applyFont="0" applyBorder="0" applyAlignment="0" applyProtection="0"/>
    <xf numFmtId="0" fontId="39" fillId="48" borderId="0" applyNumberFormat="0" applyFont="0" applyBorder="0" applyAlignment="0" applyProtection="0"/>
    <xf numFmtId="0" fontId="100" fillId="49" borderId="0" applyNumberFormat="0" applyFont="0" applyBorder="0" applyAlignment="0" applyProtection="0"/>
    <xf numFmtId="0" fontId="92" fillId="73" borderId="157" applyNumberFormat="0" applyFont="0" applyAlignment="0" applyProtection="0"/>
    <xf numFmtId="0" fontId="39" fillId="73" borderId="157" applyNumberFormat="0" applyFont="0" applyAlignment="0" applyProtection="0"/>
    <xf numFmtId="0" fontId="114" fillId="70" borderId="149" applyNumberFormat="0" applyAlignment="0" applyProtection="0"/>
    <xf numFmtId="179" fontId="58" fillId="74" borderId="4" applyNumberFormat="0" applyFont="0" applyBorder="0" applyAlignment="0" applyProtection="0">
      <alignment horizontal="right" vertical="center"/>
    </xf>
    <xf numFmtId="9" fontId="100" fillId="0" borderId="0" applyFont="0" applyFill="0" applyBorder="0" applyAlignment="0" applyProtection="0"/>
    <xf numFmtId="0" fontId="115" fillId="53" borderId="0" applyNumberFormat="0" applyBorder="0" applyAlignment="0" applyProtection="0"/>
    <xf numFmtId="4" fontId="58" fillId="48" borderId="4"/>
    <xf numFmtId="0" fontId="58" fillId="48" borderId="5"/>
    <xf numFmtId="0" fontId="116" fillId="0" borderId="0" applyNumberFormat="0" applyFill="0" applyBorder="0" applyAlignment="0" applyProtection="0"/>
    <xf numFmtId="0" fontId="117" fillId="0" borderId="152" applyNumberFormat="0" applyFill="0" applyAlignment="0" applyProtection="0"/>
    <xf numFmtId="0" fontId="118" fillId="0" borderId="0" applyNumberFormat="0" applyFill="0" applyBorder="0" applyAlignment="0" applyProtection="0"/>
    <xf numFmtId="0" fontId="119" fillId="0" borderId="153" applyNumberFormat="0" applyFill="0" applyAlignment="0" applyProtection="0"/>
    <xf numFmtId="0" fontId="120" fillId="0" borderId="154" applyNumberFormat="0" applyFill="0" applyAlignment="0" applyProtection="0"/>
    <xf numFmtId="0" fontId="121" fillId="0" borderId="155" applyNumberFormat="0" applyFill="0" applyAlignment="0" applyProtection="0"/>
    <xf numFmtId="0" fontId="121" fillId="0" borderId="0" applyNumberFormat="0" applyFill="0" applyBorder="0" applyAlignment="0" applyProtection="0"/>
    <xf numFmtId="0" fontId="122" fillId="0" borderId="156" applyNumberFormat="0" applyFill="0" applyAlignment="0" applyProtection="0"/>
    <xf numFmtId="0" fontId="124" fillId="0" borderId="0" applyNumberFormat="0" applyFill="0" applyBorder="0" applyAlignment="0" applyProtection="0"/>
    <xf numFmtId="0" fontId="125" fillId="71" borderId="151" applyNumberFormat="0" applyAlignment="0" applyProtection="0"/>
    <xf numFmtId="0" fontId="91" fillId="0" borderId="0" applyNumberFormat="0" applyFill="0" applyBorder="0" applyAlignment="0" applyProtection="0"/>
    <xf numFmtId="0" fontId="126" fillId="0" borderId="0" applyNumberFormat="0" applyFill="0" applyBorder="0" applyAlignment="0" applyProtection="0"/>
    <xf numFmtId="0" fontId="39" fillId="0" borderId="0" applyNumberFormat="0" applyFont="0" applyFill="0" applyBorder="0" applyProtection="0">
      <alignment horizontal="left" vertical="center"/>
    </xf>
    <xf numFmtId="0" fontId="58" fillId="47" borderId="0" applyBorder="0">
      <alignment horizontal="right" vertical="center"/>
    </xf>
    <xf numFmtId="0" fontId="58" fillId="47" borderId="0" applyBorder="0">
      <alignment horizontal="right" vertical="center"/>
    </xf>
    <xf numFmtId="0" fontId="58" fillId="0" borderId="0" applyBorder="0">
      <alignment horizontal="right" vertical="center"/>
    </xf>
    <xf numFmtId="4" fontId="39" fillId="0" borderId="0"/>
    <xf numFmtId="0" fontId="127" fillId="0" borderId="0"/>
    <xf numFmtId="0" fontId="39" fillId="48" borderId="0" applyNumberFormat="0" applyFont="0" applyBorder="0" applyAlignment="0" applyProtection="0"/>
    <xf numFmtId="0" fontId="91" fillId="0" borderId="0" applyNumberFormat="0" applyFill="0" applyBorder="0" applyAlignment="0" applyProtection="0"/>
    <xf numFmtId="0" fontId="92" fillId="52" borderId="0" applyNumberFormat="0" applyBorder="0" applyAlignment="0" applyProtection="0"/>
    <xf numFmtId="0" fontId="92" fillId="53" borderId="0" applyNumberFormat="0" applyBorder="0" applyAlignment="0" applyProtection="0"/>
    <xf numFmtId="0" fontId="92" fillId="54" borderId="0" applyNumberFormat="0" applyBorder="0" applyAlignment="0" applyProtection="0"/>
    <xf numFmtId="0" fontId="92" fillId="55" borderId="0" applyNumberFormat="0" applyBorder="0" applyAlignment="0" applyProtection="0"/>
    <xf numFmtId="0" fontId="92" fillId="56" borderId="0" applyNumberFormat="0" applyBorder="0" applyAlignment="0" applyProtection="0"/>
    <xf numFmtId="0" fontId="92" fillId="57" borderId="0" applyNumberFormat="0" applyBorder="0" applyAlignment="0" applyProtection="0"/>
    <xf numFmtId="0" fontId="92" fillId="58" borderId="0" applyNumberFormat="0" applyBorder="0" applyAlignment="0" applyProtection="0"/>
    <xf numFmtId="0" fontId="92" fillId="59" borderId="0" applyNumberFormat="0" applyBorder="0" applyAlignment="0" applyProtection="0"/>
    <xf numFmtId="0" fontId="92" fillId="60" borderId="0" applyNumberFormat="0" applyBorder="0" applyAlignment="0" applyProtection="0"/>
    <xf numFmtId="0" fontId="92" fillId="55" borderId="0" applyNumberFormat="0" applyBorder="0" applyAlignment="0" applyProtection="0"/>
    <xf numFmtId="0" fontId="92" fillId="58" borderId="0" applyNumberFormat="0" applyBorder="0" applyAlignment="0" applyProtection="0"/>
    <xf numFmtId="0" fontId="92" fillId="61" borderId="0" applyNumberFormat="0" applyBorder="0" applyAlignment="0" applyProtection="0"/>
    <xf numFmtId="0" fontId="94" fillId="62" borderId="0" applyNumberFormat="0" applyBorder="0" applyAlignment="0" applyProtection="0"/>
    <xf numFmtId="0" fontId="94" fillId="59" borderId="0" applyNumberFormat="0" applyBorder="0" applyAlignment="0" applyProtection="0"/>
    <xf numFmtId="0" fontId="94" fillId="60" borderId="0" applyNumberFormat="0" applyBorder="0" applyAlignment="0" applyProtection="0"/>
    <xf numFmtId="0" fontId="94" fillId="63" borderId="0" applyNumberFormat="0" applyBorder="0" applyAlignment="0" applyProtection="0"/>
    <xf numFmtId="0" fontId="94" fillId="64" borderId="0" applyNumberFormat="0" applyBorder="0" applyAlignment="0" applyProtection="0"/>
    <xf numFmtId="0" fontId="94" fillId="65" borderId="0" applyNumberFormat="0" applyBorder="0" applyAlignment="0" applyProtection="0"/>
    <xf numFmtId="0" fontId="94" fillId="66" borderId="0" applyNumberFormat="0" applyBorder="0" applyAlignment="0" applyProtection="0"/>
    <xf numFmtId="0" fontId="94" fillId="67" borderId="0" applyNumberFormat="0" applyBorder="0" applyAlignment="0" applyProtection="0"/>
    <xf numFmtId="0" fontId="94" fillId="68" borderId="0" applyNumberFormat="0" applyBorder="0" applyAlignment="0" applyProtection="0"/>
    <xf numFmtId="0" fontId="94" fillId="63" borderId="0" applyNumberFormat="0" applyBorder="0" applyAlignment="0" applyProtection="0"/>
    <xf numFmtId="0" fontId="94" fillId="64" borderId="0" applyNumberFormat="0" applyBorder="0" applyAlignment="0" applyProtection="0"/>
    <xf numFmtId="0" fontId="94" fillId="69" borderId="0" applyNumberFormat="0" applyBorder="0" applyAlignment="0" applyProtection="0"/>
    <xf numFmtId="0" fontId="96" fillId="53" borderId="0" applyNumberFormat="0" applyBorder="0" applyAlignment="0" applyProtection="0"/>
    <xf numFmtId="0" fontId="98" fillId="70" borderId="150" applyNumberFormat="0" applyAlignment="0" applyProtection="0"/>
    <xf numFmtId="0" fontId="99" fillId="71" borderId="151" applyNumberFormat="0" applyAlignment="0" applyProtection="0"/>
    <xf numFmtId="0" fontId="104" fillId="0" borderId="0" applyNumberFormat="0" applyFill="0" applyBorder="0" applyAlignment="0" applyProtection="0"/>
    <xf numFmtId="0" fontId="105" fillId="54" borderId="0" applyNumberFormat="0" applyBorder="0" applyAlignment="0" applyProtection="0"/>
    <xf numFmtId="0" fontId="107" fillId="0" borderId="153" applyNumberFormat="0" applyFill="0" applyAlignment="0" applyProtection="0"/>
    <xf numFmtId="0" fontId="108" fillId="0" borderId="154" applyNumberFormat="0" applyFill="0" applyAlignment="0" applyProtection="0"/>
    <xf numFmtId="0" fontId="109" fillId="0" borderId="155" applyNumberFormat="0" applyFill="0" applyAlignment="0" applyProtection="0"/>
    <xf numFmtId="0" fontId="109" fillId="0" borderId="0" applyNumberFormat="0" applyFill="0" applyBorder="0" applyAlignment="0" applyProtection="0"/>
    <xf numFmtId="0" fontId="110" fillId="57" borderId="150" applyNumberFormat="0" applyAlignment="0" applyProtection="0"/>
    <xf numFmtId="0" fontId="111" fillId="0" borderId="156" applyNumberFormat="0" applyFill="0" applyAlignment="0" applyProtection="0"/>
    <xf numFmtId="0" fontId="112" fillId="72" borderId="0" applyNumberFormat="0" applyBorder="0" applyAlignment="0" applyProtection="0"/>
    <xf numFmtId="0" fontId="39" fillId="0" borderId="0"/>
    <xf numFmtId="0" fontId="92" fillId="73" borderId="157" applyNumberFormat="0" applyFont="0" applyAlignment="0" applyProtection="0"/>
    <xf numFmtId="0" fontId="114" fillId="70" borderId="149" applyNumberFormat="0" applyAlignment="0" applyProtection="0"/>
    <xf numFmtId="0" fontId="116" fillId="0" borderId="0" applyNumberFormat="0" applyFill="0" applyBorder="0" applyAlignment="0" applyProtection="0"/>
    <xf numFmtId="0" fontId="117" fillId="0" borderId="152" applyNumberFormat="0" applyFill="0" applyAlignment="0" applyProtection="0"/>
    <xf numFmtId="0" fontId="124" fillId="0" borderId="0" applyNumberFormat="0" applyFill="0" applyBorder="0" applyAlignment="0" applyProtection="0"/>
    <xf numFmtId="0" fontId="128" fillId="0" borderId="0">
      <alignment horizontal="left" vertical="center" indent="1"/>
    </xf>
    <xf numFmtId="0" fontId="92" fillId="52" borderId="0" applyNumberFormat="0" applyBorder="0" applyAlignment="0" applyProtection="0"/>
    <xf numFmtId="0" fontId="92" fillId="53" borderId="0" applyNumberFormat="0" applyBorder="0" applyAlignment="0" applyProtection="0"/>
    <xf numFmtId="0" fontId="92" fillId="54" borderId="0" applyNumberFormat="0" applyBorder="0" applyAlignment="0" applyProtection="0"/>
    <xf numFmtId="0" fontId="92" fillId="55" borderId="0" applyNumberFormat="0" applyBorder="0" applyAlignment="0" applyProtection="0"/>
    <xf numFmtId="0" fontId="92" fillId="56" borderId="0" applyNumberFormat="0" applyBorder="0" applyAlignment="0" applyProtection="0"/>
    <xf numFmtId="0" fontId="92" fillId="57" borderId="0" applyNumberFormat="0" applyBorder="0" applyAlignment="0" applyProtection="0"/>
    <xf numFmtId="0" fontId="92" fillId="58" borderId="0" applyNumberFormat="0" applyBorder="0" applyAlignment="0" applyProtection="0"/>
    <xf numFmtId="0" fontId="92" fillId="59" borderId="0" applyNumberFormat="0" applyBorder="0" applyAlignment="0" applyProtection="0"/>
    <xf numFmtId="0" fontId="92" fillId="60" borderId="0" applyNumberFormat="0" applyBorder="0" applyAlignment="0" applyProtection="0"/>
    <xf numFmtId="0" fontId="92" fillId="55" borderId="0" applyNumberFormat="0" applyBorder="0" applyAlignment="0" applyProtection="0"/>
    <xf numFmtId="0" fontId="92" fillId="58" borderId="0" applyNumberFormat="0" applyBorder="0" applyAlignment="0" applyProtection="0"/>
    <xf numFmtId="0" fontId="92" fillId="61" borderId="0" applyNumberFormat="0" applyBorder="0" applyAlignment="0" applyProtection="0"/>
    <xf numFmtId="0" fontId="94" fillId="62" borderId="0" applyNumberFormat="0" applyBorder="0" applyAlignment="0" applyProtection="0"/>
    <xf numFmtId="0" fontId="94" fillId="59" borderId="0" applyNumberFormat="0" applyBorder="0" applyAlignment="0" applyProtection="0"/>
    <xf numFmtId="0" fontId="94" fillId="60" borderId="0" applyNumberFormat="0" applyBorder="0" applyAlignment="0" applyProtection="0"/>
    <xf numFmtId="0" fontId="94" fillId="63" borderId="0" applyNumberFormat="0" applyBorder="0" applyAlignment="0" applyProtection="0"/>
    <xf numFmtId="0" fontId="94" fillId="64" borderId="0" applyNumberFormat="0" applyBorder="0" applyAlignment="0" applyProtection="0"/>
    <xf numFmtId="0" fontId="94" fillId="65" borderId="0" applyNumberFormat="0" applyBorder="0" applyAlignment="0" applyProtection="0"/>
    <xf numFmtId="0" fontId="87" fillId="47" borderId="158">
      <alignment horizontal="right" vertical="center"/>
    </xf>
    <xf numFmtId="4" fontId="87" fillId="47" borderId="158">
      <alignment horizontal="right" vertical="center"/>
    </xf>
    <xf numFmtId="0" fontId="89" fillId="47" borderId="158">
      <alignment horizontal="right" vertical="center"/>
    </xf>
    <xf numFmtId="4" fontId="89" fillId="47" borderId="158">
      <alignment horizontal="right" vertical="center"/>
    </xf>
    <xf numFmtId="0" fontId="87" fillId="14" borderId="158">
      <alignment horizontal="right" vertical="center"/>
    </xf>
    <xf numFmtId="4" fontId="87" fillId="14" borderId="158">
      <alignment horizontal="right" vertical="center"/>
    </xf>
    <xf numFmtId="0" fontId="87" fillId="14" borderId="158">
      <alignment horizontal="right" vertical="center"/>
    </xf>
    <xf numFmtId="4" fontId="87" fillId="14" borderId="158">
      <alignment horizontal="right" vertical="center"/>
    </xf>
    <xf numFmtId="0" fontId="87" fillId="14" borderId="159">
      <alignment horizontal="right" vertical="center"/>
    </xf>
    <xf numFmtId="4" fontId="87" fillId="14" borderId="159">
      <alignment horizontal="right" vertical="center"/>
    </xf>
    <xf numFmtId="0" fontId="87" fillId="14" borderId="160">
      <alignment horizontal="right" vertical="center"/>
    </xf>
    <xf numFmtId="4" fontId="87" fillId="14" borderId="160">
      <alignment horizontal="right" vertical="center"/>
    </xf>
    <xf numFmtId="0" fontId="98" fillId="70" borderId="150" applyNumberFormat="0" applyAlignment="0" applyProtection="0"/>
    <xf numFmtId="0" fontId="58" fillId="14" borderId="161">
      <alignment horizontal="left" vertical="center" wrapText="1" indent="2"/>
    </xf>
    <xf numFmtId="0" fontId="58" fillId="0" borderId="161">
      <alignment horizontal="left" vertical="center" wrapText="1" indent="2"/>
    </xf>
    <xf numFmtId="0" fontId="58" fillId="47" borderId="159">
      <alignment horizontal="left" vertical="center"/>
    </xf>
    <xf numFmtId="0" fontId="104" fillId="0" borderId="0" applyNumberFormat="0" applyFill="0" applyBorder="0" applyAlignment="0" applyProtection="0"/>
    <xf numFmtId="0" fontId="110" fillId="57" borderId="150" applyNumberFormat="0" applyAlignment="0" applyProtection="0"/>
    <xf numFmtId="0" fontId="58" fillId="0" borderId="158">
      <alignment horizontal="right" vertical="center"/>
    </xf>
    <xf numFmtId="4" fontId="58" fillId="0" borderId="158">
      <alignment horizontal="right" vertical="center"/>
    </xf>
    <xf numFmtId="0" fontId="9" fillId="0" borderId="0"/>
    <xf numFmtId="0" fontId="58" fillId="0" borderId="158" applyNumberFormat="0" applyFill="0" applyAlignment="0" applyProtection="0"/>
    <xf numFmtId="0" fontId="114" fillId="70" borderId="149" applyNumberFormat="0" applyAlignment="0" applyProtection="0"/>
    <xf numFmtId="179" fontId="58" fillId="74" borderId="158" applyNumberFormat="0" applyFont="0" applyBorder="0" applyAlignment="0" applyProtection="0">
      <alignment horizontal="right" vertical="center"/>
    </xf>
    <xf numFmtId="0" fontId="58" fillId="48" borderId="158"/>
    <xf numFmtId="4" fontId="58" fillId="48" borderId="158"/>
    <xf numFmtId="0" fontId="117" fillId="0" borderId="152" applyNumberFormat="0" applyFill="0" applyAlignment="0" applyProtection="0"/>
    <xf numFmtId="0" fontId="124"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7" fillId="18" borderId="138" applyNumberFormat="0" applyAlignment="0" applyProtection="0"/>
    <xf numFmtId="0" fontId="58" fillId="47" borderId="0" applyBorder="0">
      <alignment horizontal="right" vertical="center"/>
    </xf>
    <xf numFmtId="0" fontId="58" fillId="47" borderId="0" applyBorder="0">
      <alignment horizontal="right" vertical="center"/>
    </xf>
    <xf numFmtId="0" fontId="58" fillId="0" borderId="0" applyBorder="0">
      <alignment horizontal="right" vertical="center"/>
    </xf>
    <xf numFmtId="0" fontId="39" fillId="0" borderId="0"/>
    <xf numFmtId="49" fontId="58" fillId="0" borderId="158" applyNumberFormat="0" applyFont="0" applyFill="0" applyBorder="0" applyProtection="0">
      <alignment horizontal="left" vertical="center" indent="2"/>
    </xf>
    <xf numFmtId="49" fontId="58" fillId="0" borderId="159" applyNumberFormat="0" applyFont="0" applyFill="0" applyBorder="0" applyProtection="0">
      <alignment horizontal="left" vertical="center" indent="5"/>
    </xf>
    <xf numFmtId="0" fontId="93" fillId="66" borderId="0" applyNumberFormat="0" applyBorder="0" applyAlignment="0" applyProtection="0"/>
    <xf numFmtId="0" fontId="93" fillId="67" borderId="0" applyNumberFormat="0" applyBorder="0" applyAlignment="0" applyProtection="0"/>
    <xf numFmtId="0" fontId="93" fillId="68" borderId="0" applyNumberFormat="0" applyBorder="0" applyAlignment="0" applyProtection="0"/>
    <xf numFmtId="0" fontId="93" fillId="63" borderId="0" applyNumberFormat="0" applyBorder="0" applyAlignment="0" applyProtection="0"/>
    <xf numFmtId="0" fontId="93" fillId="64" borderId="0" applyNumberFormat="0" applyBorder="0" applyAlignment="0" applyProtection="0"/>
    <xf numFmtId="0" fontId="93" fillId="69" borderId="0" applyNumberFormat="0" applyBorder="0" applyAlignment="0" applyProtection="0"/>
    <xf numFmtId="0" fontId="106" fillId="54" borderId="0" applyNumberFormat="0" applyBorder="0" applyAlignment="0" applyProtection="0"/>
    <xf numFmtId="4" fontId="39" fillId="0" borderId="0"/>
    <xf numFmtId="0" fontId="39" fillId="0" borderId="0"/>
    <xf numFmtId="0" fontId="9" fillId="0" borderId="0"/>
    <xf numFmtId="4" fontId="58" fillId="0" borderId="158" applyFill="0" applyBorder="0" applyProtection="0">
      <alignment horizontal="right" vertical="center"/>
    </xf>
    <xf numFmtId="49" fontId="59" fillId="0" borderId="158" applyNumberFormat="0" applyFill="0" applyBorder="0" applyProtection="0">
      <alignment horizontal="left" vertical="center"/>
    </xf>
    <xf numFmtId="0" fontId="39" fillId="48" borderId="0" applyNumberFormat="0" applyFont="0" applyBorder="0" applyAlignment="0" applyProtection="0"/>
    <xf numFmtId="0" fontId="115" fillId="53" borderId="0" applyNumberFormat="0" applyBorder="0" applyAlignment="0" applyProtection="0"/>
    <xf numFmtId="0" fontId="119" fillId="0" borderId="153" applyNumberFormat="0" applyFill="0" applyAlignment="0" applyProtection="0"/>
    <xf numFmtId="0" fontId="120" fillId="0" borderId="154" applyNumberFormat="0" applyFill="0" applyAlignment="0" applyProtection="0"/>
    <xf numFmtId="0" fontId="121" fillId="0" borderId="155" applyNumberFormat="0" applyFill="0" applyAlignment="0" applyProtection="0"/>
    <xf numFmtId="0" fontId="121" fillId="0" borderId="0" applyNumberFormat="0" applyFill="0" applyBorder="0" applyAlignment="0" applyProtection="0"/>
    <xf numFmtId="0" fontId="122" fillId="0" borderId="156" applyNumberFormat="0" applyFill="0" applyAlignment="0" applyProtection="0"/>
    <xf numFmtId="0" fontId="125" fillId="71" borderId="151" applyNumberFormat="0" applyAlignment="0" applyProtection="0"/>
    <xf numFmtId="0" fontId="91" fillId="0" borderId="0" applyNumberFormat="0" applyFill="0" applyBorder="0" applyAlignment="0" applyProtection="0"/>
    <xf numFmtId="0" fontId="9" fillId="0" borderId="0"/>
    <xf numFmtId="0" fontId="77" fillId="18" borderId="138" applyNumberFormat="0" applyAlignment="0" applyProtection="0"/>
    <xf numFmtId="0" fontId="90" fillId="52" borderId="0" applyNumberFormat="0" applyBorder="0" applyAlignment="0" applyProtection="0"/>
    <xf numFmtId="0" fontId="90" fillId="53" borderId="0" applyNumberFormat="0" applyBorder="0" applyAlignment="0" applyProtection="0"/>
    <xf numFmtId="0" fontId="90" fillId="54" borderId="0" applyNumberFormat="0" applyBorder="0" applyAlignment="0" applyProtection="0"/>
    <xf numFmtId="0" fontId="90" fillId="55" borderId="0" applyNumberFormat="0" applyBorder="0" applyAlignment="0" applyProtection="0"/>
    <xf numFmtId="0" fontId="90" fillId="56" borderId="0" applyNumberFormat="0" applyBorder="0" applyAlignment="0" applyProtection="0"/>
    <xf numFmtId="0" fontId="90" fillId="57" borderId="0" applyNumberFormat="0" applyBorder="0" applyAlignment="0" applyProtection="0"/>
    <xf numFmtId="0" fontId="90" fillId="58" borderId="0" applyNumberFormat="0" applyBorder="0" applyAlignment="0" applyProtection="0"/>
    <xf numFmtId="0" fontId="90" fillId="59" borderId="0" applyNumberFormat="0" applyBorder="0" applyAlignment="0" applyProtection="0"/>
    <xf numFmtId="0" fontId="90" fillId="60" borderId="0" applyNumberFormat="0" applyBorder="0" applyAlignment="0" applyProtection="0"/>
    <xf numFmtId="0" fontId="90" fillId="55" borderId="0" applyNumberFormat="0" applyBorder="0" applyAlignment="0" applyProtection="0"/>
    <xf numFmtId="0" fontId="90" fillId="58" borderId="0" applyNumberFormat="0" applyBorder="0" applyAlignment="0" applyProtection="0"/>
    <xf numFmtId="0" fontId="90" fillId="61" borderId="0" applyNumberFormat="0" applyBorder="0" applyAlignment="0" applyProtection="0"/>
    <xf numFmtId="0" fontId="93" fillId="62" borderId="0" applyNumberFormat="0" applyBorder="0" applyAlignment="0" applyProtection="0"/>
    <xf numFmtId="0" fontId="93" fillId="59" borderId="0" applyNumberFormat="0" applyBorder="0" applyAlignment="0" applyProtection="0"/>
    <xf numFmtId="0" fontId="93" fillId="60" borderId="0" applyNumberFormat="0" applyBorder="0" applyAlignment="0" applyProtection="0"/>
    <xf numFmtId="0" fontId="93" fillId="63" borderId="0" applyNumberFormat="0" applyBorder="0" applyAlignment="0" applyProtection="0"/>
    <xf numFmtId="0" fontId="93" fillId="64" borderId="0" applyNumberFormat="0" applyBorder="0" applyAlignment="0" applyProtection="0"/>
    <xf numFmtId="0" fontId="93" fillId="65" borderId="0" applyNumberFormat="0" applyBorder="0" applyAlignment="0" applyProtection="0"/>
    <xf numFmtId="0" fontId="95" fillId="70" borderId="149" applyNumberFormat="0" applyAlignment="0" applyProtection="0"/>
    <xf numFmtId="0" fontId="97" fillId="70" borderId="150" applyNumberFormat="0" applyAlignment="0" applyProtection="0"/>
    <xf numFmtId="0" fontId="102" fillId="0" borderId="152" applyNumberFormat="0" applyFill="0" applyAlignment="0" applyProtection="0"/>
    <xf numFmtId="0" fontId="103" fillId="0" borderId="0" applyNumberFormat="0" applyFill="0" applyBorder="0" applyAlignment="0" applyProtection="0"/>
    <xf numFmtId="0" fontId="9" fillId="0" borderId="0"/>
    <xf numFmtId="0" fontId="123" fillId="0" borderId="0" applyNumberFormat="0" applyFill="0" applyBorder="0" applyAlignment="0" applyProtection="0"/>
    <xf numFmtId="0" fontId="9" fillId="0" borderId="0"/>
    <xf numFmtId="0" fontId="9" fillId="0" borderId="0"/>
    <xf numFmtId="0" fontId="9" fillId="0" borderId="0"/>
    <xf numFmtId="49" fontId="58" fillId="0" borderId="4" applyNumberFormat="0" applyFont="0" applyFill="0" applyBorder="0" applyProtection="0">
      <alignment horizontal="left" vertical="center" indent="2"/>
    </xf>
    <xf numFmtId="49" fontId="58" fillId="0" borderId="144" applyNumberFormat="0" applyFont="0" applyFill="0" applyBorder="0" applyProtection="0">
      <alignment horizontal="left" vertical="center" indent="5"/>
    </xf>
    <xf numFmtId="0" fontId="87" fillId="47" borderId="4">
      <alignment horizontal="right" vertical="center"/>
    </xf>
    <xf numFmtId="4" fontId="87" fillId="47" borderId="4">
      <alignment horizontal="right" vertical="center"/>
    </xf>
    <xf numFmtId="0" fontId="89" fillId="47" borderId="4">
      <alignment horizontal="right" vertical="center"/>
    </xf>
    <xf numFmtId="4" fontId="89" fillId="47" borderId="4">
      <alignment horizontal="right" vertical="center"/>
    </xf>
    <xf numFmtId="0" fontId="87" fillId="14" borderId="4">
      <alignment horizontal="right" vertical="center"/>
    </xf>
    <xf numFmtId="4" fontId="87" fillId="14" borderId="4">
      <alignment horizontal="right" vertical="center"/>
    </xf>
    <xf numFmtId="0" fontId="87" fillId="14" borderId="4">
      <alignment horizontal="right" vertical="center"/>
    </xf>
    <xf numFmtId="4" fontId="87" fillId="14" borderId="4">
      <alignment horizontal="right" vertical="center"/>
    </xf>
    <xf numFmtId="0" fontId="87" fillId="14" borderId="144">
      <alignment horizontal="right" vertical="center"/>
    </xf>
    <xf numFmtId="4" fontId="87" fillId="14" borderId="144">
      <alignment horizontal="right" vertical="center"/>
    </xf>
    <xf numFmtId="0" fontId="87" fillId="14" borderId="145">
      <alignment horizontal="right" vertical="center"/>
    </xf>
    <xf numFmtId="4" fontId="87" fillId="14" borderId="145">
      <alignment horizontal="right" vertical="center"/>
    </xf>
    <xf numFmtId="181" fontId="129" fillId="0" borderId="0" applyFont="0" applyFill="0" applyBorder="0" applyAlignment="0" applyProtection="0"/>
    <xf numFmtId="0" fontId="58" fillId="14" borderId="148">
      <alignment horizontal="left" vertical="center" wrapText="1" indent="2"/>
    </xf>
    <xf numFmtId="0" fontId="58" fillId="0" borderId="148">
      <alignment horizontal="left" vertical="center" wrapText="1" indent="2"/>
    </xf>
    <xf numFmtId="0" fontId="58" fillId="47" borderId="144">
      <alignment horizontal="left" vertical="center"/>
    </xf>
    <xf numFmtId="0" fontId="101" fillId="57" borderId="150" applyNumberFormat="0" applyAlignment="0" applyProtection="0"/>
    <xf numFmtId="0" fontId="58" fillId="0" borderId="4">
      <alignment horizontal="right" vertical="center"/>
    </xf>
    <xf numFmtId="4" fontId="58" fillId="0" borderId="4">
      <alignment horizontal="right" vertical="center"/>
    </xf>
    <xf numFmtId="0" fontId="129" fillId="0" borderId="0"/>
    <xf numFmtId="0" fontId="127" fillId="0" borderId="0"/>
    <xf numFmtId="0" fontId="127" fillId="0" borderId="0"/>
    <xf numFmtId="0" fontId="9" fillId="0" borderId="0"/>
    <xf numFmtId="0" fontId="9" fillId="0" borderId="0"/>
    <xf numFmtId="0" fontId="9" fillId="0" borderId="0"/>
    <xf numFmtId="0" fontId="9" fillId="0" borderId="0"/>
    <xf numFmtId="0" fontId="127" fillId="0" borderId="0"/>
    <xf numFmtId="0" fontId="39" fillId="0" borderId="0"/>
    <xf numFmtId="4" fontId="58" fillId="0" borderId="4" applyFill="0" applyBorder="0" applyProtection="0">
      <alignment horizontal="right" vertical="center"/>
    </xf>
    <xf numFmtId="49" fontId="59" fillId="0" borderId="4" applyNumberFormat="0" applyFill="0" applyBorder="0" applyProtection="0">
      <alignment horizontal="left" vertical="center"/>
    </xf>
    <xf numFmtId="0" fontId="58" fillId="0" borderId="4" applyNumberFormat="0" applyFill="0" applyAlignment="0" applyProtection="0"/>
    <xf numFmtId="0" fontId="129" fillId="49" borderId="0" applyNumberFormat="0" applyFont="0" applyBorder="0" applyAlignment="0" applyProtection="0"/>
    <xf numFmtId="179" fontId="58" fillId="74" borderId="4" applyNumberFormat="0" applyFont="0" applyBorder="0" applyAlignment="0" applyProtection="0">
      <alignment horizontal="right" vertical="center"/>
    </xf>
    <xf numFmtId="9" fontId="129" fillId="0" borderId="0" applyFont="0" applyFill="0" applyBorder="0" applyAlignment="0" applyProtection="0"/>
    <xf numFmtId="0" fontId="58" fillId="48" borderId="4"/>
    <xf numFmtId="4" fontId="58" fillId="48" borderId="4"/>
    <xf numFmtId="0" fontId="58" fillId="14" borderId="161">
      <alignment horizontal="left" vertical="center" wrapText="1" indent="2"/>
    </xf>
    <xf numFmtId="0" fontId="58" fillId="0" borderId="161">
      <alignment horizontal="left" vertical="center" wrapText="1" indent="2"/>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14" borderId="148">
      <alignment horizontal="left" vertical="center" wrapText="1" indent="2"/>
    </xf>
    <xf numFmtId="0" fontId="58" fillId="0" borderId="148">
      <alignment horizontal="left" vertical="center" wrapText="1" indent="2"/>
    </xf>
    <xf numFmtId="0" fontId="39" fillId="0" borderId="0"/>
    <xf numFmtId="4" fontId="87" fillId="14" borderId="158">
      <alignment horizontal="right" vertical="center"/>
    </xf>
    <xf numFmtId="0" fontId="58" fillId="48" borderId="158"/>
    <xf numFmtId="0" fontId="97" fillId="70" borderId="150" applyNumberFormat="0" applyAlignment="0" applyProtection="0"/>
    <xf numFmtId="0" fontId="87" fillId="47" borderId="158">
      <alignment horizontal="right" vertical="center"/>
    </xf>
    <xf numFmtId="0" fontId="58" fillId="0" borderId="158">
      <alignment horizontal="right" vertical="center"/>
    </xf>
    <xf numFmtId="0" fontId="117" fillId="0" borderId="152" applyNumberFormat="0" applyFill="0" applyAlignment="0" applyProtection="0"/>
    <xf numFmtId="0" fontId="58" fillId="47" borderId="159">
      <alignment horizontal="left" vertical="center"/>
    </xf>
    <xf numFmtId="0" fontId="110" fillId="57" borderId="150" applyNumberFormat="0" applyAlignment="0" applyProtection="0"/>
    <xf numFmtId="179" fontId="58" fillId="74" borderId="158" applyNumberFormat="0" applyFont="0" applyBorder="0" applyAlignment="0" applyProtection="0">
      <alignment horizontal="right" vertical="center"/>
    </xf>
    <xf numFmtId="0" fontId="92" fillId="73" borderId="157" applyNumberFormat="0" applyFont="0" applyAlignment="0" applyProtection="0"/>
    <xf numFmtId="0" fontId="58" fillId="0" borderId="161">
      <alignment horizontal="left" vertical="center" wrapText="1" indent="2"/>
    </xf>
    <xf numFmtId="4" fontId="58" fillId="48" borderId="158"/>
    <xf numFmtId="49" fontId="59" fillId="0" borderId="158" applyNumberFormat="0" applyFill="0" applyBorder="0" applyProtection="0">
      <alignment horizontal="left" vertical="center"/>
    </xf>
    <xf numFmtId="0" fontId="58" fillId="0" borderId="158">
      <alignment horizontal="right" vertical="center"/>
    </xf>
    <xf numFmtId="4" fontId="87" fillId="14" borderId="160">
      <alignment horizontal="right" vertical="center"/>
    </xf>
    <xf numFmtId="4" fontId="87" fillId="14" borderId="158">
      <alignment horizontal="right" vertical="center"/>
    </xf>
    <xf numFmtId="4" fontId="87" fillId="14" borderId="158">
      <alignment horizontal="right" vertical="center"/>
    </xf>
    <xf numFmtId="0" fontId="89" fillId="47" borderId="158">
      <alignment horizontal="right" vertical="center"/>
    </xf>
    <xf numFmtId="0" fontId="87" fillId="47" borderId="158">
      <alignment horizontal="right" vertical="center"/>
    </xf>
    <xf numFmtId="49" fontId="58" fillId="0" borderId="158" applyNumberFormat="0" applyFont="0" applyFill="0" applyBorder="0" applyProtection="0">
      <alignment horizontal="left" vertical="center" indent="2"/>
    </xf>
    <xf numFmtId="0" fontId="110" fillId="57" borderId="150" applyNumberFormat="0" applyAlignment="0" applyProtection="0"/>
    <xf numFmtId="0" fontId="95" fillId="70" borderId="149" applyNumberFormat="0" applyAlignment="0" applyProtection="0"/>
    <xf numFmtId="49" fontId="58" fillId="0" borderId="158" applyNumberFormat="0" applyFont="0" applyFill="0" applyBorder="0" applyProtection="0">
      <alignment horizontal="left" vertical="center" indent="2"/>
    </xf>
    <xf numFmtId="0" fontId="101" fillId="57" borderId="150" applyNumberFormat="0" applyAlignment="0" applyProtection="0"/>
    <xf numFmtId="4" fontId="58" fillId="0" borderId="158" applyFill="0" applyBorder="0" applyProtection="0">
      <alignment horizontal="right" vertical="center"/>
    </xf>
    <xf numFmtId="0" fontId="98" fillId="70" borderId="150" applyNumberFormat="0" applyAlignment="0" applyProtection="0"/>
    <xf numFmtId="0" fontId="117" fillId="0" borderId="152" applyNumberFormat="0" applyFill="0" applyAlignment="0" applyProtection="0"/>
    <xf numFmtId="0" fontId="114" fillId="70" borderId="149" applyNumberFormat="0" applyAlignment="0" applyProtection="0"/>
    <xf numFmtId="0" fontId="58" fillId="0" borderId="158" applyNumberFormat="0" applyFill="0" applyAlignment="0" applyProtection="0"/>
    <xf numFmtId="4" fontId="58" fillId="0" borderId="158">
      <alignment horizontal="right" vertical="center"/>
    </xf>
    <xf numFmtId="0" fontId="58" fillId="0" borderId="158">
      <alignment horizontal="right" vertical="center"/>
    </xf>
    <xf numFmtId="0" fontId="110" fillId="57" borderId="150" applyNumberFormat="0" applyAlignment="0" applyProtection="0"/>
    <xf numFmtId="0" fontId="95" fillId="70" borderId="149" applyNumberFormat="0" applyAlignment="0" applyProtection="0"/>
    <xf numFmtId="0" fontId="97" fillId="70" borderId="150" applyNumberFormat="0" applyAlignment="0" applyProtection="0"/>
    <xf numFmtId="0" fontId="58" fillId="14" borderId="161">
      <alignment horizontal="left" vertical="center" wrapText="1" indent="2"/>
    </xf>
    <xf numFmtId="0" fontId="98" fillId="70" borderId="150" applyNumberFormat="0" applyAlignment="0" applyProtection="0"/>
    <xf numFmtId="0" fontId="98" fillId="70" borderId="150" applyNumberFormat="0" applyAlignment="0" applyProtection="0"/>
    <xf numFmtId="4" fontId="87" fillId="14" borderId="159">
      <alignment horizontal="right" vertical="center"/>
    </xf>
    <xf numFmtId="0" fontId="87" fillId="14" borderId="159">
      <alignment horizontal="right" vertical="center"/>
    </xf>
    <xf numFmtId="0" fontId="87" fillId="14" borderId="158">
      <alignment horizontal="right" vertical="center"/>
    </xf>
    <xf numFmtId="4" fontId="89" fillId="47" borderId="158">
      <alignment horizontal="right" vertical="center"/>
    </xf>
    <xf numFmtId="0" fontId="101" fillId="57" borderId="150" applyNumberFormat="0" applyAlignment="0" applyProtection="0"/>
    <xf numFmtId="0" fontId="102" fillId="0" borderId="152" applyNumberFormat="0" applyFill="0" applyAlignment="0" applyProtection="0"/>
    <xf numFmtId="0" fontId="117" fillId="0" borderId="152" applyNumberFormat="0" applyFill="0" applyAlignment="0" applyProtection="0"/>
    <xf numFmtId="0" fontId="92" fillId="73" borderId="157" applyNumberFormat="0" applyFont="0" applyAlignment="0" applyProtection="0"/>
    <xf numFmtId="0" fontId="110" fillId="57" borderId="150" applyNumberFormat="0" applyAlignment="0" applyProtection="0"/>
    <xf numFmtId="49" fontId="59" fillId="0" borderId="158" applyNumberFormat="0" applyFill="0" applyBorder="0" applyProtection="0">
      <alignment horizontal="left" vertical="center"/>
    </xf>
    <xf numFmtId="0" fontId="58" fillId="14" borderId="161">
      <alignment horizontal="left" vertical="center" wrapText="1" indent="2"/>
    </xf>
    <xf numFmtId="0" fontId="98" fillId="70" borderId="150" applyNumberFormat="0" applyAlignment="0" applyProtection="0"/>
    <xf numFmtId="0" fontId="58" fillId="0" borderId="161">
      <alignment horizontal="left" vertical="center" wrapText="1" indent="2"/>
    </xf>
    <xf numFmtId="0" fontId="92" fillId="73" borderId="157" applyNumberFormat="0" applyFont="0" applyAlignment="0" applyProtection="0"/>
    <xf numFmtId="0" fontId="39" fillId="73" borderId="157" applyNumberFormat="0" applyFont="0" applyAlignment="0" applyProtection="0"/>
    <xf numFmtId="0" fontId="114" fillId="70" borderId="149" applyNumberFormat="0" applyAlignment="0" applyProtection="0"/>
    <xf numFmtId="0" fontId="117" fillId="0" borderId="152" applyNumberFormat="0" applyFill="0" applyAlignment="0" applyProtection="0"/>
    <xf numFmtId="4" fontId="58" fillId="48" borderId="158"/>
    <xf numFmtId="0" fontId="87" fillId="14" borderId="158">
      <alignment horizontal="right" vertical="center"/>
    </xf>
    <xf numFmtId="0" fontId="117" fillId="0" borderId="152" applyNumberFormat="0" applyFill="0" applyAlignment="0" applyProtection="0"/>
    <xf numFmtId="4" fontId="87" fillId="14" borderId="160">
      <alignment horizontal="right" vertical="center"/>
    </xf>
    <xf numFmtId="0" fontId="97" fillId="70" borderId="150" applyNumberFormat="0" applyAlignment="0" applyProtection="0"/>
    <xf numFmtId="0" fontId="87" fillId="14" borderId="159">
      <alignment horizontal="right" vertical="center"/>
    </xf>
    <xf numFmtId="0" fontId="98" fillId="70" borderId="150" applyNumberFormat="0" applyAlignment="0" applyProtection="0"/>
    <xf numFmtId="0" fontId="102" fillId="0" borderId="152" applyNumberFormat="0" applyFill="0" applyAlignment="0" applyProtection="0"/>
    <xf numFmtId="0" fontId="92" fillId="73" borderId="157" applyNumberFormat="0" applyFont="0" applyAlignment="0" applyProtection="0"/>
    <xf numFmtId="4" fontId="87" fillId="14" borderId="159">
      <alignment horizontal="right" vertical="center"/>
    </xf>
    <xf numFmtId="0" fontId="58" fillId="14" borderId="161">
      <alignment horizontal="left" vertical="center" wrapText="1" indent="2"/>
    </xf>
    <xf numFmtId="0" fontId="58" fillId="48" borderId="158"/>
    <xf numFmtId="179" fontId="58" fillId="74" borderId="158" applyNumberFormat="0" applyFont="0" applyBorder="0" applyAlignment="0" applyProtection="0">
      <alignment horizontal="right" vertical="center"/>
    </xf>
    <xf numFmtId="0" fontId="58" fillId="0" borderId="158" applyNumberFormat="0" applyFill="0" applyAlignment="0" applyProtection="0"/>
    <xf numFmtId="4" fontId="58" fillId="0" borderId="158" applyFill="0" applyBorder="0" applyProtection="0">
      <alignment horizontal="right" vertical="center"/>
    </xf>
    <xf numFmtId="4" fontId="87" fillId="47" borderId="158">
      <alignment horizontal="right" vertical="center"/>
    </xf>
    <xf numFmtId="0" fontId="102" fillId="0" borderId="152" applyNumberFormat="0" applyFill="0" applyAlignment="0" applyProtection="0"/>
    <xf numFmtId="49" fontId="59" fillId="0" borderId="158" applyNumberFormat="0" applyFill="0" applyBorder="0" applyProtection="0">
      <alignment horizontal="left" vertical="center"/>
    </xf>
    <xf numFmtId="49" fontId="58" fillId="0" borderId="159" applyNumberFormat="0" applyFont="0" applyFill="0" applyBorder="0" applyProtection="0">
      <alignment horizontal="left" vertical="center" indent="5"/>
    </xf>
    <xf numFmtId="0" fontId="58" fillId="47" borderId="159">
      <alignment horizontal="left" vertical="center"/>
    </xf>
    <xf numFmtId="0" fontId="98" fillId="70" borderId="150" applyNumberFormat="0" applyAlignment="0" applyProtection="0"/>
    <xf numFmtId="4" fontId="87" fillId="14" borderId="160">
      <alignment horizontal="right" vertical="center"/>
    </xf>
    <xf numFmtId="0" fontId="110" fillId="57" borderId="150" applyNumberFormat="0" applyAlignment="0" applyProtection="0"/>
    <xf numFmtId="0" fontId="110" fillId="57" borderId="150" applyNumberFormat="0" applyAlignment="0" applyProtection="0"/>
    <xf numFmtId="0" fontId="92" fillId="73" borderId="157" applyNumberFormat="0" applyFont="0" applyAlignment="0" applyProtection="0"/>
    <xf numFmtId="0" fontId="114" fillId="70" borderId="149" applyNumberFormat="0" applyAlignment="0" applyProtection="0"/>
    <xf numFmtId="0" fontId="117" fillId="0" borderId="152" applyNumberFormat="0" applyFill="0" applyAlignment="0" applyProtection="0"/>
    <xf numFmtId="0" fontId="87" fillId="14" borderId="158">
      <alignment horizontal="right" vertical="center"/>
    </xf>
    <xf numFmtId="0" fontId="39" fillId="73" borderId="157" applyNumberFormat="0" applyFont="0" applyAlignment="0" applyProtection="0"/>
    <xf numFmtId="4" fontId="58" fillId="0" borderId="158">
      <alignment horizontal="right" vertical="center"/>
    </xf>
    <xf numFmtId="0" fontId="117" fillId="0" borderId="152" applyNumberFormat="0" applyFill="0" applyAlignment="0" applyProtection="0"/>
    <xf numFmtId="0" fontId="87" fillId="14" borderId="158">
      <alignment horizontal="right" vertical="center"/>
    </xf>
    <xf numFmtId="0" fontId="87" fillId="14" borderId="158">
      <alignment horizontal="right" vertical="center"/>
    </xf>
    <xf numFmtId="4" fontId="89" fillId="47" borderId="158">
      <alignment horizontal="right" vertical="center"/>
    </xf>
    <xf numFmtId="0" fontId="87" fillId="47" borderId="158">
      <alignment horizontal="right" vertical="center"/>
    </xf>
    <xf numFmtId="4" fontId="87" fillId="47" borderId="158">
      <alignment horizontal="right" vertical="center"/>
    </xf>
    <xf numFmtId="0" fontId="89" fillId="47" borderId="158">
      <alignment horizontal="right" vertical="center"/>
    </xf>
    <xf numFmtId="4" fontId="89" fillId="47" borderId="158">
      <alignment horizontal="right" vertical="center"/>
    </xf>
    <xf numFmtId="0" fontId="87" fillId="14" borderId="158">
      <alignment horizontal="right" vertical="center"/>
    </xf>
    <xf numFmtId="4" fontId="87" fillId="14" borderId="158">
      <alignment horizontal="right" vertical="center"/>
    </xf>
    <xf numFmtId="0" fontId="87" fillId="14" borderId="158">
      <alignment horizontal="right" vertical="center"/>
    </xf>
    <xf numFmtId="4" fontId="87" fillId="14" borderId="158">
      <alignment horizontal="right" vertical="center"/>
    </xf>
    <xf numFmtId="0" fontId="87" fillId="14" borderId="159">
      <alignment horizontal="right" vertical="center"/>
    </xf>
    <xf numFmtId="4" fontId="87" fillId="14" borderId="159">
      <alignment horizontal="right" vertical="center"/>
    </xf>
    <xf numFmtId="0" fontId="87" fillId="14" borderId="160">
      <alignment horizontal="right" vertical="center"/>
    </xf>
    <xf numFmtId="4" fontId="87" fillId="14" borderId="160">
      <alignment horizontal="right" vertical="center"/>
    </xf>
    <xf numFmtId="0" fontId="98" fillId="70" borderId="150" applyNumberFormat="0" applyAlignment="0" applyProtection="0"/>
    <xf numFmtId="0" fontId="58" fillId="14" borderId="161">
      <alignment horizontal="left" vertical="center" wrapText="1" indent="2"/>
    </xf>
    <xf numFmtId="0" fontId="58" fillId="0" borderId="161">
      <alignment horizontal="left" vertical="center" wrapText="1" indent="2"/>
    </xf>
    <xf numFmtId="0" fontId="58" fillId="47" borderId="159">
      <alignment horizontal="left" vertical="center"/>
    </xf>
    <xf numFmtId="0" fontId="110" fillId="57" borderId="150" applyNumberFormat="0" applyAlignment="0" applyProtection="0"/>
    <xf numFmtId="0" fontId="58" fillId="0" borderId="158">
      <alignment horizontal="right" vertical="center"/>
    </xf>
    <xf numFmtId="4" fontId="58" fillId="0" borderId="158">
      <alignment horizontal="right" vertical="center"/>
    </xf>
    <xf numFmtId="0" fontId="58" fillId="0" borderId="158" applyNumberFormat="0" applyFill="0" applyAlignment="0" applyProtection="0"/>
    <xf numFmtId="0" fontId="114" fillId="70" borderId="149" applyNumberFormat="0" applyAlignment="0" applyProtection="0"/>
    <xf numFmtId="179" fontId="58" fillId="74" borderId="158" applyNumberFormat="0" applyFont="0" applyBorder="0" applyAlignment="0" applyProtection="0">
      <alignment horizontal="right" vertical="center"/>
    </xf>
    <xf numFmtId="0" fontId="58" fillId="48" borderId="158"/>
    <xf numFmtId="4" fontId="58" fillId="48" borderId="158"/>
    <xf numFmtId="0" fontId="117" fillId="0" borderId="152" applyNumberFormat="0" applyFill="0" applyAlignment="0" applyProtection="0"/>
    <xf numFmtId="0" fontId="39" fillId="73" borderId="157" applyNumberFormat="0" applyFont="0" applyAlignment="0" applyProtection="0"/>
    <xf numFmtId="0" fontId="92" fillId="73" borderId="157" applyNumberFormat="0" applyFont="0" applyAlignment="0" applyProtection="0"/>
    <xf numFmtId="0" fontId="58" fillId="0" borderId="158" applyNumberFormat="0" applyFill="0" applyAlignment="0" applyProtection="0"/>
    <xf numFmtId="0" fontId="102" fillId="0" borderId="152" applyNumberFormat="0" applyFill="0" applyAlignment="0" applyProtection="0"/>
    <xf numFmtId="0" fontId="117" fillId="0" borderId="152" applyNumberFormat="0" applyFill="0" applyAlignment="0" applyProtection="0"/>
    <xf numFmtId="0" fontId="101" fillId="57" borderId="150" applyNumberFormat="0" applyAlignment="0" applyProtection="0"/>
    <xf numFmtId="0" fontId="98" fillId="70" borderId="150" applyNumberFormat="0" applyAlignment="0" applyProtection="0"/>
    <xf numFmtId="4" fontId="89" fillId="47" borderId="158">
      <alignment horizontal="right" vertical="center"/>
    </xf>
    <xf numFmtId="0" fontId="87" fillId="47" borderId="158">
      <alignment horizontal="right" vertical="center"/>
    </xf>
    <xf numFmtId="179" fontId="58" fillId="74" borderId="158" applyNumberFormat="0" applyFont="0" applyBorder="0" applyAlignment="0" applyProtection="0">
      <alignment horizontal="right" vertical="center"/>
    </xf>
    <xf numFmtId="0" fontId="102" fillId="0" borderId="152" applyNumberFormat="0" applyFill="0" applyAlignment="0" applyProtection="0"/>
    <xf numFmtId="49" fontId="58" fillId="0" borderId="158" applyNumberFormat="0" applyFont="0" applyFill="0" applyBorder="0" applyProtection="0">
      <alignment horizontal="left" vertical="center" indent="2"/>
    </xf>
    <xf numFmtId="49" fontId="58" fillId="0" borderId="159" applyNumberFormat="0" applyFont="0" applyFill="0" applyBorder="0" applyProtection="0">
      <alignment horizontal="left" vertical="center" indent="5"/>
    </xf>
    <xf numFmtId="49" fontId="58" fillId="0" borderId="158" applyNumberFormat="0" applyFont="0" applyFill="0" applyBorder="0" applyProtection="0">
      <alignment horizontal="left" vertical="center" indent="2"/>
    </xf>
    <xf numFmtId="4" fontId="58" fillId="0" borderId="158" applyFill="0" applyBorder="0" applyProtection="0">
      <alignment horizontal="right" vertical="center"/>
    </xf>
    <xf numFmtId="49" fontId="59" fillId="0" borderId="158" applyNumberFormat="0" applyFill="0" applyBorder="0" applyProtection="0">
      <alignment horizontal="left" vertical="center"/>
    </xf>
    <xf numFmtId="0" fontId="58" fillId="0" borderId="161">
      <alignment horizontal="left" vertical="center" wrapText="1" indent="2"/>
    </xf>
    <xf numFmtId="0" fontId="114" fillId="70" borderId="149" applyNumberFormat="0" applyAlignment="0" applyProtection="0"/>
    <xf numFmtId="0" fontId="87" fillId="14" borderId="160">
      <alignment horizontal="right" vertical="center"/>
    </xf>
    <xf numFmtId="0" fontId="101" fillId="57" borderId="150" applyNumberFormat="0" applyAlignment="0" applyProtection="0"/>
    <xf numFmtId="0" fontId="87" fillId="14" borderId="160">
      <alignment horizontal="right" vertical="center"/>
    </xf>
    <xf numFmtId="4" fontId="87" fillId="14" borderId="158">
      <alignment horizontal="right" vertical="center"/>
    </xf>
    <xf numFmtId="0" fontId="87" fillId="14" borderId="158">
      <alignment horizontal="right" vertical="center"/>
    </xf>
    <xf numFmtId="0" fontId="95" fillId="70" borderId="149" applyNumberFormat="0" applyAlignment="0" applyProtection="0"/>
    <xf numFmtId="0" fontId="97" fillId="70" borderId="150" applyNumberFormat="0" applyAlignment="0" applyProtection="0"/>
    <xf numFmtId="0" fontId="102" fillId="0" borderId="152" applyNumberFormat="0" applyFill="0" applyAlignment="0" applyProtection="0"/>
    <xf numFmtId="0" fontId="58" fillId="48" borderId="158"/>
    <xf numFmtId="4" fontId="58" fillId="48" borderId="158"/>
    <xf numFmtId="4" fontId="87" fillId="14" borderId="158">
      <alignment horizontal="right" vertical="center"/>
    </xf>
    <xf numFmtId="0" fontId="89" fillId="47" borderId="158">
      <alignment horizontal="right" vertical="center"/>
    </xf>
    <xf numFmtId="0" fontId="101" fillId="57" borderId="150" applyNumberFormat="0" applyAlignment="0" applyProtection="0"/>
    <xf numFmtId="0" fontId="98" fillId="70" borderId="150" applyNumberFormat="0" applyAlignment="0" applyProtection="0"/>
    <xf numFmtId="4" fontId="58" fillId="0" borderId="158">
      <alignment horizontal="right" vertical="center"/>
    </xf>
    <xf numFmtId="0" fontId="58" fillId="14" borderId="161">
      <alignment horizontal="left" vertical="center" wrapText="1" indent="2"/>
    </xf>
    <xf numFmtId="0" fontId="58" fillId="0" borderId="161">
      <alignment horizontal="left" vertical="center" wrapText="1" indent="2"/>
    </xf>
    <xf numFmtId="0" fontId="114" fillId="70" borderId="149" applyNumberFormat="0" applyAlignment="0" applyProtection="0"/>
    <xf numFmtId="0" fontId="110" fillId="57" borderId="150" applyNumberFormat="0" applyAlignment="0" applyProtection="0"/>
    <xf numFmtId="0" fontId="97" fillId="70" borderId="150" applyNumberFormat="0" applyAlignment="0" applyProtection="0"/>
    <xf numFmtId="0" fontId="95" fillId="70" borderId="149" applyNumberFormat="0" applyAlignment="0" applyProtection="0"/>
    <xf numFmtId="0" fontId="87" fillId="14" borderId="160">
      <alignment horizontal="right" vertical="center"/>
    </xf>
    <xf numFmtId="0" fontId="89" fillId="47" borderId="158">
      <alignment horizontal="right" vertical="center"/>
    </xf>
    <xf numFmtId="4" fontId="87" fillId="47" borderId="158">
      <alignment horizontal="right" vertical="center"/>
    </xf>
    <xf numFmtId="4" fontId="87" fillId="14" borderId="158">
      <alignment horizontal="right" vertical="center"/>
    </xf>
    <xf numFmtId="49" fontId="58" fillId="0" borderId="159" applyNumberFormat="0" applyFont="0" applyFill="0" applyBorder="0" applyProtection="0">
      <alignment horizontal="left" vertical="center" indent="5"/>
    </xf>
    <xf numFmtId="4" fontId="58" fillId="0" borderId="158" applyFill="0" applyBorder="0" applyProtection="0">
      <alignment horizontal="right" vertical="center"/>
    </xf>
    <xf numFmtId="4" fontId="87" fillId="47" borderId="158">
      <alignment horizontal="right" vertical="center"/>
    </xf>
    <xf numFmtId="0" fontId="39" fillId="0" borderId="0"/>
    <xf numFmtId="0" fontId="110" fillId="57" borderId="150" applyNumberFormat="0" applyAlignment="0" applyProtection="0"/>
    <xf numFmtId="0" fontId="101" fillId="57" borderId="150" applyNumberFormat="0" applyAlignment="0" applyProtection="0"/>
    <xf numFmtId="0" fontId="97" fillId="70" borderId="150" applyNumberFormat="0" applyAlignment="0" applyProtection="0"/>
    <xf numFmtId="0" fontId="58" fillId="14" borderId="161">
      <alignment horizontal="left" vertical="center" wrapText="1" indent="2"/>
    </xf>
    <xf numFmtId="0" fontId="58" fillId="0" borderId="161">
      <alignment horizontal="left" vertical="center" wrapText="1" indent="2"/>
    </xf>
    <xf numFmtId="0" fontId="58" fillId="14" borderId="161">
      <alignment horizontal="left" vertical="center" wrapText="1" indent="2"/>
    </xf>
    <xf numFmtId="0" fontId="58" fillId="0" borderId="161">
      <alignment horizontal="left" vertical="center" wrapText="1" indent="2"/>
    </xf>
    <xf numFmtId="0" fontId="95" fillId="70" borderId="149" applyNumberFormat="0" applyAlignment="0" applyProtection="0"/>
    <xf numFmtId="0" fontId="97" fillId="70" borderId="150" applyNumberFormat="0" applyAlignment="0" applyProtection="0"/>
    <xf numFmtId="0" fontId="98" fillId="70" borderId="150" applyNumberFormat="0" applyAlignment="0" applyProtection="0"/>
    <xf numFmtId="0" fontId="101" fillId="57" borderId="150" applyNumberFormat="0" applyAlignment="0" applyProtection="0"/>
    <xf numFmtId="0" fontId="102" fillId="0" borderId="152" applyNumberFormat="0" applyFill="0" applyAlignment="0" applyProtection="0"/>
    <xf numFmtId="0" fontId="110" fillId="57" borderId="150" applyNumberFormat="0" applyAlignment="0" applyProtection="0"/>
    <xf numFmtId="0" fontId="92" fillId="73" borderId="157" applyNumberFormat="0" applyFont="0" applyAlignment="0" applyProtection="0"/>
    <xf numFmtId="0" fontId="39" fillId="73" borderId="157" applyNumberFormat="0" applyFont="0" applyAlignment="0" applyProtection="0"/>
    <xf numFmtId="0" fontId="114" fillId="70" borderId="149" applyNumberFormat="0" applyAlignment="0" applyProtection="0"/>
    <xf numFmtId="0" fontId="117" fillId="0" borderId="152" applyNumberFormat="0" applyFill="0" applyAlignment="0" applyProtection="0"/>
    <xf numFmtId="0" fontId="98" fillId="70" borderId="150" applyNumberFormat="0" applyAlignment="0" applyProtection="0"/>
    <xf numFmtId="0" fontId="110" fillId="57" borderId="150" applyNumberFormat="0" applyAlignment="0" applyProtection="0"/>
    <xf numFmtId="0" fontId="92" fillId="73" borderId="157" applyNumberFormat="0" applyFont="0" applyAlignment="0" applyProtection="0"/>
    <xf numFmtId="0" fontId="114" fillId="70" borderId="149" applyNumberFormat="0" applyAlignment="0" applyProtection="0"/>
    <xf numFmtId="0" fontId="117" fillId="0" borderId="152" applyNumberFormat="0" applyFill="0" applyAlignment="0" applyProtection="0"/>
    <xf numFmtId="0" fontId="87" fillId="14" borderId="144">
      <alignment horizontal="right" vertical="center"/>
    </xf>
    <xf numFmtId="4" fontId="87" fillId="14" borderId="144">
      <alignment horizontal="right" vertical="center"/>
    </xf>
    <xf numFmtId="0" fontId="87" fillId="14" borderId="145">
      <alignment horizontal="right" vertical="center"/>
    </xf>
    <xf numFmtId="4" fontId="87" fillId="14" borderId="145">
      <alignment horizontal="right" vertical="center"/>
    </xf>
    <xf numFmtId="0" fontId="98" fillId="70" borderId="150" applyNumberFormat="0" applyAlignment="0" applyProtection="0"/>
    <xf numFmtId="0" fontId="58" fillId="14" borderId="148">
      <alignment horizontal="left" vertical="center" wrapText="1" indent="2"/>
    </xf>
    <xf numFmtId="0" fontId="58" fillId="0" borderId="148">
      <alignment horizontal="left" vertical="center" wrapText="1" indent="2"/>
    </xf>
    <xf numFmtId="0" fontId="58" fillId="47" borderId="144">
      <alignment horizontal="left" vertical="center"/>
    </xf>
    <xf numFmtId="0" fontId="110" fillId="57" borderId="150" applyNumberFormat="0" applyAlignment="0" applyProtection="0"/>
    <xf numFmtId="0" fontId="114" fillId="70" borderId="149" applyNumberFormat="0" applyAlignment="0" applyProtection="0"/>
    <xf numFmtId="0" fontId="117" fillId="0" borderId="152" applyNumberFormat="0" applyFill="0" applyAlignment="0" applyProtection="0"/>
    <xf numFmtId="49" fontId="58" fillId="0" borderId="144" applyNumberFormat="0" applyFont="0" applyFill="0" applyBorder="0" applyProtection="0">
      <alignment horizontal="left" vertical="center" indent="5"/>
    </xf>
    <xf numFmtId="0" fontId="95" fillId="70" borderId="149" applyNumberFormat="0" applyAlignment="0" applyProtection="0"/>
    <xf numFmtId="0" fontId="97" fillId="70" borderId="150" applyNumberFormat="0" applyAlignment="0" applyProtection="0"/>
    <xf numFmtId="0" fontId="102" fillId="0" borderId="152" applyNumberFormat="0" applyFill="0" applyAlignment="0" applyProtection="0"/>
    <xf numFmtId="49" fontId="58" fillId="0" borderId="158" applyNumberFormat="0" applyFont="0" applyFill="0" applyBorder="0" applyProtection="0">
      <alignment horizontal="left" vertical="center" indent="2"/>
    </xf>
    <xf numFmtId="0" fontId="87" fillId="47" borderId="158">
      <alignment horizontal="right" vertical="center"/>
    </xf>
    <xf numFmtId="4" fontId="87" fillId="47" borderId="158">
      <alignment horizontal="right" vertical="center"/>
    </xf>
    <xf numFmtId="0" fontId="89" fillId="47" borderId="158">
      <alignment horizontal="right" vertical="center"/>
    </xf>
    <xf numFmtId="4" fontId="89" fillId="47" borderId="158">
      <alignment horizontal="right" vertical="center"/>
    </xf>
    <xf numFmtId="0" fontId="87" fillId="14" borderId="158">
      <alignment horizontal="right" vertical="center"/>
    </xf>
    <xf numFmtId="4" fontId="87" fillId="14" borderId="158">
      <alignment horizontal="right" vertical="center"/>
    </xf>
    <xf numFmtId="0" fontId="87" fillId="14" borderId="158">
      <alignment horizontal="right" vertical="center"/>
    </xf>
    <xf numFmtId="4" fontId="87" fillId="14" borderId="158">
      <alignment horizontal="right" vertical="center"/>
    </xf>
    <xf numFmtId="0" fontId="101" fillId="57" borderId="150" applyNumberFormat="0" applyAlignment="0" applyProtection="0"/>
    <xf numFmtId="0" fontId="58" fillId="0" borderId="158">
      <alignment horizontal="right" vertical="center"/>
    </xf>
    <xf numFmtId="4" fontId="58" fillId="0" borderId="158">
      <alignment horizontal="right" vertical="center"/>
    </xf>
    <xf numFmtId="4" fontId="58" fillId="0" borderId="158" applyFill="0" applyBorder="0" applyProtection="0">
      <alignment horizontal="right" vertical="center"/>
    </xf>
    <xf numFmtId="49" fontId="59" fillId="0" borderId="158" applyNumberFormat="0" applyFill="0" applyBorder="0" applyProtection="0">
      <alignment horizontal="left" vertical="center"/>
    </xf>
    <xf numFmtId="0" fontId="58" fillId="0" borderId="158" applyNumberFormat="0" applyFill="0" applyAlignment="0" applyProtection="0"/>
    <xf numFmtId="179" fontId="58" fillId="74" borderId="158" applyNumberFormat="0" applyFont="0" applyBorder="0" applyAlignment="0" applyProtection="0">
      <alignment horizontal="right" vertical="center"/>
    </xf>
    <xf numFmtId="0" fontId="58" fillId="48" borderId="158"/>
    <xf numFmtId="4" fontId="58" fillId="48" borderId="158"/>
    <xf numFmtId="4" fontId="87" fillId="14" borderId="158">
      <alignment horizontal="right" vertical="center"/>
    </xf>
    <xf numFmtId="0" fontId="58" fillId="48" borderId="158"/>
    <xf numFmtId="0" fontId="97" fillId="70" borderId="150" applyNumberFormat="0" applyAlignment="0" applyProtection="0"/>
    <xf numFmtId="0" fontId="87" fillId="47" borderId="158">
      <alignment horizontal="right" vertical="center"/>
    </xf>
    <xf numFmtId="0" fontId="58" fillId="0" borderId="158">
      <alignment horizontal="right" vertical="center"/>
    </xf>
    <xf numFmtId="0" fontId="117" fillId="0" borderId="152" applyNumberFormat="0" applyFill="0" applyAlignment="0" applyProtection="0"/>
    <xf numFmtId="0" fontId="58" fillId="47" borderId="159">
      <alignment horizontal="left" vertical="center"/>
    </xf>
    <xf numFmtId="0" fontId="110" fillId="57" borderId="150" applyNumberFormat="0" applyAlignment="0" applyProtection="0"/>
    <xf numFmtId="179" fontId="58" fillId="74" borderId="158" applyNumberFormat="0" applyFont="0" applyBorder="0" applyAlignment="0" applyProtection="0">
      <alignment horizontal="right" vertical="center"/>
    </xf>
    <xf numFmtId="0" fontId="92" fillId="73" borderId="157" applyNumberFormat="0" applyFont="0" applyAlignment="0" applyProtection="0"/>
    <xf numFmtId="0" fontId="58" fillId="0" borderId="161">
      <alignment horizontal="left" vertical="center" wrapText="1" indent="2"/>
    </xf>
    <xf numFmtId="4" fontId="58" fillId="48" borderId="158"/>
    <xf numFmtId="49" fontId="59" fillId="0" borderId="158" applyNumberFormat="0" applyFill="0" applyBorder="0" applyProtection="0">
      <alignment horizontal="left" vertical="center"/>
    </xf>
    <xf numFmtId="0" fontId="58" fillId="0" borderId="158">
      <alignment horizontal="right" vertical="center"/>
    </xf>
    <xf numFmtId="4" fontId="87" fillId="14" borderId="160">
      <alignment horizontal="right" vertical="center"/>
    </xf>
    <xf numFmtId="4" fontId="87" fillId="14" borderId="158">
      <alignment horizontal="right" vertical="center"/>
    </xf>
    <xf numFmtId="4" fontId="87" fillId="14" borderId="158">
      <alignment horizontal="right" vertical="center"/>
    </xf>
    <xf numFmtId="0" fontId="89" fillId="47" borderId="158">
      <alignment horizontal="right" vertical="center"/>
    </xf>
    <xf numFmtId="0" fontId="87" fillId="47" borderId="158">
      <alignment horizontal="right" vertical="center"/>
    </xf>
    <xf numFmtId="49" fontId="58" fillId="0" borderId="158" applyNumberFormat="0" applyFont="0" applyFill="0" applyBorder="0" applyProtection="0">
      <alignment horizontal="left" vertical="center" indent="2"/>
    </xf>
    <xf numFmtId="0" fontId="110" fillId="57" borderId="150" applyNumberFormat="0" applyAlignment="0" applyProtection="0"/>
    <xf numFmtId="0" fontId="95" fillId="70" borderId="149" applyNumberFormat="0" applyAlignment="0" applyProtection="0"/>
    <xf numFmtId="49" fontId="58" fillId="0" borderId="158" applyNumberFormat="0" applyFont="0" applyFill="0" applyBorder="0" applyProtection="0">
      <alignment horizontal="left" vertical="center" indent="2"/>
    </xf>
    <xf numFmtId="0" fontId="101" fillId="57" borderId="150" applyNumberFormat="0" applyAlignment="0" applyProtection="0"/>
    <xf numFmtId="4" fontId="58" fillId="0" borderId="158" applyFill="0" applyBorder="0" applyProtection="0">
      <alignment horizontal="right" vertical="center"/>
    </xf>
    <xf numFmtId="0" fontId="98" fillId="70" borderId="150" applyNumberFormat="0" applyAlignment="0" applyProtection="0"/>
    <xf numFmtId="0" fontId="117" fillId="0" borderId="152" applyNumberFormat="0" applyFill="0" applyAlignment="0" applyProtection="0"/>
    <xf numFmtId="0" fontId="114" fillId="70" borderId="149" applyNumberFormat="0" applyAlignment="0" applyProtection="0"/>
    <xf numFmtId="0" fontId="58" fillId="0" borderId="158" applyNumberFormat="0" applyFill="0" applyAlignment="0" applyProtection="0"/>
    <xf numFmtId="4" fontId="58" fillId="0" borderId="158">
      <alignment horizontal="right" vertical="center"/>
    </xf>
    <xf numFmtId="0" fontId="58" fillId="0" borderId="158">
      <alignment horizontal="right" vertical="center"/>
    </xf>
    <xf numFmtId="0" fontId="110" fillId="57" borderId="150" applyNumberFormat="0" applyAlignment="0" applyProtection="0"/>
    <xf numFmtId="0" fontId="95" fillId="70" borderId="149" applyNumberFormat="0" applyAlignment="0" applyProtection="0"/>
    <xf numFmtId="0" fontId="97" fillId="70" borderId="150" applyNumberFormat="0" applyAlignment="0" applyProtection="0"/>
    <xf numFmtId="0" fontId="58" fillId="14" borderId="161">
      <alignment horizontal="left" vertical="center" wrapText="1" indent="2"/>
    </xf>
    <xf numFmtId="0" fontId="98" fillId="70" borderId="150" applyNumberFormat="0" applyAlignment="0" applyProtection="0"/>
    <xf numFmtId="0" fontId="98" fillId="70" borderId="150" applyNumberFormat="0" applyAlignment="0" applyProtection="0"/>
    <xf numFmtId="4" fontId="87" fillId="14" borderId="159">
      <alignment horizontal="right" vertical="center"/>
    </xf>
    <xf numFmtId="0" fontId="87" fillId="14" borderId="159">
      <alignment horizontal="right" vertical="center"/>
    </xf>
    <xf numFmtId="0" fontId="87" fillId="14" borderId="158">
      <alignment horizontal="right" vertical="center"/>
    </xf>
    <xf numFmtId="4" fontId="89" fillId="47" borderId="158">
      <alignment horizontal="right" vertical="center"/>
    </xf>
    <xf numFmtId="0" fontId="101" fillId="57" borderId="150" applyNumberFormat="0" applyAlignment="0" applyProtection="0"/>
    <xf numFmtId="0" fontId="102" fillId="0" borderId="152" applyNumberFormat="0" applyFill="0" applyAlignment="0" applyProtection="0"/>
    <xf numFmtId="0" fontId="117" fillId="0" borderId="152" applyNumberFormat="0" applyFill="0" applyAlignment="0" applyProtection="0"/>
    <xf numFmtId="0" fontId="92" fillId="73" borderId="157" applyNumberFormat="0" applyFont="0" applyAlignment="0" applyProtection="0"/>
    <xf numFmtId="0" fontId="110" fillId="57" borderId="150" applyNumberFormat="0" applyAlignment="0" applyProtection="0"/>
    <xf numFmtId="49" fontId="59" fillId="0" borderId="158" applyNumberFormat="0" applyFill="0" applyBorder="0" applyProtection="0">
      <alignment horizontal="left" vertical="center"/>
    </xf>
    <xf numFmtId="0" fontId="58" fillId="14" borderId="161">
      <alignment horizontal="left" vertical="center" wrapText="1" indent="2"/>
    </xf>
    <xf numFmtId="0" fontId="98" fillId="70" borderId="150" applyNumberFormat="0" applyAlignment="0" applyProtection="0"/>
    <xf numFmtId="0" fontId="58" fillId="0" borderId="161">
      <alignment horizontal="left" vertical="center" wrapText="1" indent="2"/>
    </xf>
    <xf numFmtId="0" fontId="92" fillId="73" borderId="157" applyNumberFormat="0" applyFont="0" applyAlignment="0" applyProtection="0"/>
    <xf numFmtId="0" fontId="39" fillId="73" borderId="157" applyNumberFormat="0" applyFont="0" applyAlignment="0" applyProtection="0"/>
    <xf numFmtId="0" fontId="114" fillId="70" borderId="149" applyNumberFormat="0" applyAlignment="0" applyProtection="0"/>
    <xf numFmtId="0" fontId="117" fillId="0" borderId="152" applyNumberFormat="0" applyFill="0" applyAlignment="0" applyProtection="0"/>
    <xf numFmtId="4" fontId="58" fillId="48" borderId="158"/>
    <xf numFmtId="0" fontId="87" fillId="14" borderId="158">
      <alignment horizontal="right" vertical="center"/>
    </xf>
    <xf numFmtId="0" fontId="117" fillId="0" borderId="152" applyNumberFormat="0" applyFill="0" applyAlignment="0" applyProtection="0"/>
    <xf numFmtId="4" fontId="87" fillId="14" borderId="160">
      <alignment horizontal="right" vertical="center"/>
    </xf>
    <xf numFmtId="0" fontId="97" fillId="70" borderId="150" applyNumberFormat="0" applyAlignment="0" applyProtection="0"/>
    <xf numFmtId="0" fontId="87" fillId="14" borderId="159">
      <alignment horizontal="right" vertical="center"/>
    </xf>
    <xf numFmtId="0" fontId="98" fillId="70" borderId="150" applyNumberFormat="0" applyAlignment="0" applyProtection="0"/>
    <xf numFmtId="0" fontId="102" fillId="0" borderId="152" applyNumberFormat="0" applyFill="0" applyAlignment="0" applyProtection="0"/>
    <xf numFmtId="0" fontId="92" fillId="73" borderId="157" applyNumberFormat="0" applyFont="0" applyAlignment="0" applyProtection="0"/>
    <xf numFmtId="4" fontId="87" fillId="14" borderId="159">
      <alignment horizontal="right" vertical="center"/>
    </xf>
    <xf numFmtId="0" fontId="58" fillId="14" borderId="161">
      <alignment horizontal="left" vertical="center" wrapText="1" indent="2"/>
    </xf>
    <xf numFmtId="0" fontId="58" fillId="48" borderId="158"/>
    <xf numFmtId="179" fontId="58" fillId="74" borderId="158" applyNumberFormat="0" applyFont="0" applyBorder="0" applyAlignment="0" applyProtection="0">
      <alignment horizontal="right" vertical="center"/>
    </xf>
    <xf numFmtId="0" fontId="58" fillId="0" borderId="158" applyNumberFormat="0" applyFill="0" applyAlignment="0" applyProtection="0"/>
    <xf numFmtId="4" fontId="58" fillId="0" borderId="158" applyFill="0" applyBorder="0" applyProtection="0">
      <alignment horizontal="right" vertical="center"/>
    </xf>
    <xf numFmtId="4" fontId="87" fillId="47" borderId="158">
      <alignment horizontal="right" vertical="center"/>
    </xf>
    <xf numFmtId="0" fontId="102" fillId="0" borderId="152" applyNumberFormat="0" applyFill="0" applyAlignment="0" applyProtection="0"/>
    <xf numFmtId="49" fontId="59" fillId="0" borderId="158" applyNumberFormat="0" applyFill="0" applyBorder="0" applyProtection="0">
      <alignment horizontal="left" vertical="center"/>
    </xf>
    <xf numFmtId="49" fontId="58" fillId="0" borderId="159" applyNumberFormat="0" applyFont="0" applyFill="0" applyBorder="0" applyProtection="0">
      <alignment horizontal="left" vertical="center" indent="5"/>
    </xf>
    <xf numFmtId="0" fontId="58" fillId="47" borderId="159">
      <alignment horizontal="left" vertical="center"/>
    </xf>
    <xf numFmtId="0" fontId="98" fillId="70" borderId="150" applyNumberFormat="0" applyAlignment="0" applyProtection="0"/>
    <xf numFmtId="4" fontId="87" fillId="14" borderId="160">
      <alignment horizontal="right" vertical="center"/>
    </xf>
    <xf numFmtId="0" fontId="110" fillId="57" borderId="150" applyNumberFormat="0" applyAlignment="0" applyProtection="0"/>
    <xf numFmtId="0" fontId="110" fillId="57" borderId="150" applyNumberFormat="0" applyAlignment="0" applyProtection="0"/>
    <xf numFmtId="0" fontId="92" fillId="73" borderId="157" applyNumberFormat="0" applyFont="0" applyAlignment="0" applyProtection="0"/>
    <xf numFmtId="0" fontId="114" fillId="70" borderId="149" applyNumberFormat="0" applyAlignment="0" applyProtection="0"/>
    <xf numFmtId="0" fontId="117" fillId="0" borderId="152" applyNumberFormat="0" applyFill="0" applyAlignment="0" applyProtection="0"/>
    <xf numFmtId="0" fontId="87" fillId="14" borderId="158">
      <alignment horizontal="right" vertical="center"/>
    </xf>
    <xf numFmtId="0" fontId="39" fillId="73" borderId="157" applyNumberFormat="0" applyFont="0" applyAlignment="0" applyProtection="0"/>
    <xf numFmtId="4" fontId="58" fillId="0" borderId="158">
      <alignment horizontal="right" vertical="center"/>
    </xf>
    <xf numFmtId="0" fontId="117" fillId="0" borderId="152" applyNumberFormat="0" applyFill="0" applyAlignment="0" applyProtection="0"/>
    <xf numFmtId="0" fontId="87" fillId="14" borderId="158">
      <alignment horizontal="right" vertical="center"/>
    </xf>
    <xf numFmtId="0" fontId="87" fillId="14" borderId="158">
      <alignment horizontal="right" vertical="center"/>
    </xf>
    <xf numFmtId="4" fontId="89" fillId="47" borderId="158">
      <alignment horizontal="right" vertical="center"/>
    </xf>
    <xf numFmtId="0" fontId="87" fillId="47" borderId="158">
      <alignment horizontal="right" vertical="center"/>
    </xf>
    <xf numFmtId="4" fontId="87" fillId="47" borderId="158">
      <alignment horizontal="right" vertical="center"/>
    </xf>
    <xf numFmtId="0" fontId="89" fillId="47" borderId="158">
      <alignment horizontal="right" vertical="center"/>
    </xf>
    <xf numFmtId="4" fontId="89" fillId="47" borderId="158">
      <alignment horizontal="right" vertical="center"/>
    </xf>
    <xf numFmtId="0" fontId="87" fillId="14" borderId="158">
      <alignment horizontal="right" vertical="center"/>
    </xf>
    <xf numFmtId="4" fontId="87" fillId="14" borderId="158">
      <alignment horizontal="right" vertical="center"/>
    </xf>
    <xf numFmtId="0" fontId="87" fillId="14" borderId="158">
      <alignment horizontal="right" vertical="center"/>
    </xf>
    <xf numFmtId="4" fontId="87" fillId="14" borderId="158">
      <alignment horizontal="right" vertical="center"/>
    </xf>
    <xf numFmtId="0" fontId="87" fillId="14" borderId="159">
      <alignment horizontal="right" vertical="center"/>
    </xf>
    <xf numFmtId="4" fontId="87" fillId="14" borderId="159">
      <alignment horizontal="right" vertical="center"/>
    </xf>
    <xf numFmtId="0" fontId="87" fillId="14" borderId="160">
      <alignment horizontal="right" vertical="center"/>
    </xf>
    <xf numFmtId="4" fontId="87" fillId="14" borderId="160">
      <alignment horizontal="right" vertical="center"/>
    </xf>
    <xf numFmtId="0" fontId="98" fillId="70" borderId="150" applyNumberFormat="0" applyAlignment="0" applyProtection="0"/>
    <xf numFmtId="0" fontId="58" fillId="14" borderId="161">
      <alignment horizontal="left" vertical="center" wrapText="1" indent="2"/>
    </xf>
    <xf numFmtId="0" fontId="58" fillId="0" borderId="161">
      <alignment horizontal="left" vertical="center" wrapText="1" indent="2"/>
    </xf>
    <xf numFmtId="0" fontId="58" fillId="47" borderId="159">
      <alignment horizontal="left" vertical="center"/>
    </xf>
    <xf numFmtId="0" fontId="110" fillId="57" borderId="150" applyNumberFormat="0" applyAlignment="0" applyProtection="0"/>
    <xf numFmtId="0" fontId="58" fillId="0" borderId="158">
      <alignment horizontal="right" vertical="center"/>
    </xf>
    <xf numFmtId="4" fontId="58" fillId="0" borderId="158">
      <alignment horizontal="right" vertical="center"/>
    </xf>
    <xf numFmtId="0" fontId="58" fillId="0" borderId="158" applyNumberFormat="0" applyFill="0" applyAlignment="0" applyProtection="0"/>
    <xf numFmtId="0" fontId="114" fillId="70" borderId="149" applyNumberFormat="0" applyAlignment="0" applyProtection="0"/>
    <xf numFmtId="179" fontId="58" fillId="74" borderId="158" applyNumberFormat="0" applyFont="0" applyBorder="0" applyAlignment="0" applyProtection="0">
      <alignment horizontal="right" vertical="center"/>
    </xf>
    <xf numFmtId="0" fontId="58" fillId="48" borderId="158"/>
    <xf numFmtId="4" fontId="58" fillId="48" borderId="158"/>
    <xf numFmtId="0" fontId="117" fillId="0" borderId="152" applyNumberFormat="0" applyFill="0" applyAlignment="0" applyProtection="0"/>
    <xf numFmtId="0" fontId="39" fillId="73" borderId="157" applyNumberFormat="0" applyFont="0" applyAlignment="0" applyProtection="0"/>
    <xf numFmtId="0" fontId="92" fillId="73" borderId="157" applyNumberFormat="0" applyFont="0" applyAlignment="0" applyProtection="0"/>
    <xf numFmtId="0" fontId="58" fillId="0" borderId="158" applyNumberFormat="0" applyFill="0" applyAlignment="0" applyProtection="0"/>
    <xf numFmtId="0" fontId="102" fillId="0" borderId="152" applyNumberFormat="0" applyFill="0" applyAlignment="0" applyProtection="0"/>
    <xf numFmtId="0" fontId="117" fillId="0" borderId="152" applyNumberFormat="0" applyFill="0" applyAlignment="0" applyProtection="0"/>
    <xf numFmtId="0" fontId="101" fillId="57" borderId="150" applyNumberFormat="0" applyAlignment="0" applyProtection="0"/>
    <xf numFmtId="0" fontId="98" fillId="70" borderId="150" applyNumberFormat="0" applyAlignment="0" applyProtection="0"/>
    <xf numFmtId="4" fontId="89" fillId="47" borderId="158">
      <alignment horizontal="right" vertical="center"/>
    </xf>
    <xf numFmtId="0" fontId="87" fillId="47" borderId="158">
      <alignment horizontal="right" vertical="center"/>
    </xf>
    <xf numFmtId="179" fontId="58" fillId="74" borderId="158" applyNumberFormat="0" applyFont="0" applyBorder="0" applyAlignment="0" applyProtection="0">
      <alignment horizontal="right" vertical="center"/>
    </xf>
    <xf numFmtId="0" fontId="102" fillId="0" borderId="152" applyNumberFormat="0" applyFill="0" applyAlignment="0" applyProtection="0"/>
    <xf numFmtId="49" fontId="58" fillId="0" borderId="158" applyNumberFormat="0" applyFont="0" applyFill="0" applyBorder="0" applyProtection="0">
      <alignment horizontal="left" vertical="center" indent="2"/>
    </xf>
    <xf numFmtId="49" fontId="58" fillId="0" borderId="159" applyNumberFormat="0" applyFont="0" applyFill="0" applyBorder="0" applyProtection="0">
      <alignment horizontal="left" vertical="center" indent="5"/>
    </xf>
    <xf numFmtId="49" fontId="58" fillId="0" borderId="158" applyNumberFormat="0" applyFont="0" applyFill="0" applyBorder="0" applyProtection="0">
      <alignment horizontal="left" vertical="center" indent="2"/>
    </xf>
    <xf numFmtId="4" fontId="58" fillId="0" borderId="158" applyFill="0" applyBorder="0" applyProtection="0">
      <alignment horizontal="right" vertical="center"/>
    </xf>
    <xf numFmtId="49" fontId="59" fillId="0" borderId="158" applyNumberFormat="0" applyFill="0" applyBorder="0" applyProtection="0">
      <alignment horizontal="left" vertical="center"/>
    </xf>
    <xf numFmtId="0" fontId="58" fillId="0" borderId="161">
      <alignment horizontal="left" vertical="center" wrapText="1" indent="2"/>
    </xf>
    <xf numFmtId="0" fontId="114" fillId="70" borderId="149" applyNumberFormat="0" applyAlignment="0" applyProtection="0"/>
    <xf numFmtId="0" fontId="87" fillId="14" borderId="160">
      <alignment horizontal="right" vertical="center"/>
    </xf>
    <xf numFmtId="0" fontId="101" fillId="57" borderId="150" applyNumberFormat="0" applyAlignment="0" applyProtection="0"/>
    <xf numFmtId="0" fontId="87" fillId="14" borderId="160">
      <alignment horizontal="right" vertical="center"/>
    </xf>
    <xf numFmtId="4" fontId="87" fillId="14" borderId="158">
      <alignment horizontal="right" vertical="center"/>
    </xf>
    <xf numFmtId="0" fontId="87" fillId="14" borderId="158">
      <alignment horizontal="right" vertical="center"/>
    </xf>
    <xf numFmtId="0" fontId="95" fillId="70" borderId="149" applyNumberFormat="0" applyAlignment="0" applyProtection="0"/>
    <xf numFmtId="0" fontId="97" fillId="70" borderId="150" applyNumberFormat="0" applyAlignment="0" applyProtection="0"/>
    <xf numFmtId="0" fontId="102" fillId="0" borderId="152" applyNumberFormat="0" applyFill="0" applyAlignment="0" applyProtection="0"/>
    <xf numFmtId="0" fontId="58" fillId="48" borderId="158"/>
    <xf numFmtId="4" fontId="58" fillId="48" borderId="158"/>
    <xf numFmtId="4" fontId="87" fillId="14" borderId="158">
      <alignment horizontal="right" vertical="center"/>
    </xf>
    <xf numFmtId="0" fontId="89" fillId="47" borderId="158">
      <alignment horizontal="right" vertical="center"/>
    </xf>
    <xf numFmtId="0" fontId="101" fillId="57" borderId="150" applyNumberFormat="0" applyAlignment="0" applyProtection="0"/>
    <xf numFmtId="0" fontId="98" fillId="70" borderId="150" applyNumberFormat="0" applyAlignment="0" applyProtection="0"/>
    <xf numFmtId="4" fontId="58" fillId="0" borderId="158">
      <alignment horizontal="right" vertical="center"/>
    </xf>
    <xf numFmtId="0" fontId="58" fillId="14" borderId="161">
      <alignment horizontal="left" vertical="center" wrapText="1" indent="2"/>
    </xf>
    <xf numFmtId="0" fontId="58" fillId="0" borderId="161">
      <alignment horizontal="left" vertical="center" wrapText="1" indent="2"/>
    </xf>
    <xf numFmtId="0" fontId="114" fillId="70" borderId="149" applyNumberFormat="0" applyAlignment="0" applyProtection="0"/>
    <xf numFmtId="0" fontId="110" fillId="57" borderId="150" applyNumberFormat="0" applyAlignment="0" applyProtection="0"/>
    <xf numFmtId="0" fontId="97" fillId="70" borderId="150" applyNumberFormat="0" applyAlignment="0" applyProtection="0"/>
    <xf numFmtId="0" fontId="95" fillId="70" borderId="149" applyNumberFormat="0" applyAlignment="0" applyProtection="0"/>
    <xf numFmtId="0" fontId="87" fillId="14" borderId="160">
      <alignment horizontal="right" vertical="center"/>
    </xf>
    <xf numFmtId="0" fontId="89" fillId="47" borderId="158">
      <alignment horizontal="right" vertical="center"/>
    </xf>
    <xf numFmtId="4" fontId="87" fillId="47" borderId="158">
      <alignment horizontal="right" vertical="center"/>
    </xf>
    <xf numFmtId="4" fontId="87" fillId="14" borderId="158">
      <alignment horizontal="right" vertical="center"/>
    </xf>
    <xf numFmtId="49" fontId="58" fillId="0" borderId="159" applyNumberFormat="0" applyFont="0" applyFill="0" applyBorder="0" applyProtection="0">
      <alignment horizontal="left" vertical="center" indent="5"/>
    </xf>
    <xf numFmtId="4" fontId="58" fillId="0" borderId="158" applyFill="0" applyBorder="0" applyProtection="0">
      <alignment horizontal="right" vertical="center"/>
    </xf>
    <xf numFmtId="4" fontId="87" fillId="47" borderId="158">
      <alignment horizontal="right" vertical="center"/>
    </xf>
    <xf numFmtId="0" fontId="110" fillId="57" borderId="150" applyNumberFormat="0" applyAlignment="0" applyProtection="0"/>
    <xf numFmtId="0" fontId="101" fillId="57" borderId="150" applyNumberFormat="0" applyAlignment="0" applyProtection="0"/>
    <xf numFmtId="0" fontId="97" fillId="70" borderId="150" applyNumberFormat="0" applyAlignment="0" applyProtection="0"/>
    <xf numFmtId="0" fontId="58" fillId="14" borderId="161">
      <alignment horizontal="left" vertical="center" wrapText="1" indent="2"/>
    </xf>
    <xf numFmtId="0" fontId="58" fillId="0" borderId="161">
      <alignment horizontal="left" vertical="center" wrapText="1" indent="2"/>
    </xf>
    <xf numFmtId="0" fontId="58" fillId="14" borderId="161">
      <alignment horizontal="left" vertical="center" wrapText="1" indent="2"/>
    </xf>
    <xf numFmtId="0" fontId="9" fillId="0" borderId="0"/>
    <xf numFmtId="0" fontId="92" fillId="73" borderId="165" applyNumberFormat="0" applyFont="0" applyAlignment="0" applyProtection="0"/>
    <xf numFmtId="0" fontId="58" fillId="14" borderId="169">
      <alignment horizontal="left" vertical="center" wrapText="1" indent="2"/>
    </xf>
    <xf numFmtId="0" fontId="58" fillId="48" borderId="166"/>
    <xf numFmtId="0" fontId="79" fillId="25" borderId="138" applyNumberFormat="0" applyAlignment="0" applyProtection="0"/>
    <xf numFmtId="0" fontId="97" fillId="70" borderId="163" applyNumberFormat="0" applyAlignment="0" applyProtection="0"/>
    <xf numFmtId="0" fontId="95" fillId="70" borderId="162" applyNumberFormat="0" applyAlignment="0" applyProtection="0"/>
    <xf numFmtId="0" fontId="39" fillId="73" borderId="165" applyNumberFormat="0" applyFont="0" applyAlignment="0" applyProtection="0"/>
    <xf numFmtId="4" fontId="58" fillId="0" borderId="166">
      <alignment horizontal="right" vertical="center"/>
    </xf>
    <xf numFmtId="0" fontId="117" fillId="0" borderId="164" applyNumberFormat="0" applyFill="0" applyAlignment="0" applyProtection="0"/>
    <xf numFmtId="0" fontId="58" fillId="14" borderId="169">
      <alignment horizontal="left" vertical="center" wrapText="1" indent="2"/>
    </xf>
    <xf numFmtId="0" fontId="110" fillId="57" borderId="163" applyNumberFormat="0" applyAlignment="0" applyProtection="0"/>
    <xf numFmtId="0" fontId="9" fillId="26" borderId="0" applyNumberFormat="0" applyBorder="0" applyAlignment="0" applyProtection="0"/>
    <xf numFmtId="0" fontId="87" fillId="14" borderId="166">
      <alignment horizontal="right" vertical="center"/>
    </xf>
    <xf numFmtId="0" fontId="117" fillId="0" borderId="164" applyNumberFormat="0" applyFill="0" applyAlignment="0" applyProtection="0"/>
    <xf numFmtId="0" fontId="101" fillId="57" borderId="163" applyNumberFormat="0" applyAlignment="0" applyProtection="0"/>
    <xf numFmtId="4" fontId="58" fillId="0" borderId="166" applyFill="0" applyBorder="0" applyProtection="0">
      <alignment horizontal="right" vertical="center"/>
    </xf>
    <xf numFmtId="0" fontId="98" fillId="70" borderId="163" applyNumberFormat="0" applyAlignment="0" applyProtection="0"/>
    <xf numFmtId="0" fontId="110" fillId="57" borderId="163" applyNumberFormat="0" applyAlignment="0" applyProtection="0"/>
    <xf numFmtId="0" fontId="58" fillId="0" borderId="169">
      <alignment horizontal="left" vertical="center" wrapText="1" indent="2"/>
    </xf>
    <xf numFmtId="4" fontId="87" fillId="47" borderId="166">
      <alignment horizontal="right" vertical="center"/>
    </xf>
    <xf numFmtId="0" fontId="110" fillId="57" borderId="163" applyNumberFormat="0" applyAlignment="0" applyProtection="0"/>
    <xf numFmtId="0" fontId="58" fillId="48" borderId="166"/>
    <xf numFmtId="0" fontId="58" fillId="0" borderId="169">
      <alignment horizontal="left" vertical="center" wrapText="1" indent="2"/>
    </xf>
    <xf numFmtId="49" fontId="58" fillId="0" borderId="167" applyNumberFormat="0" applyFont="0" applyFill="0" applyBorder="0" applyProtection="0">
      <alignment horizontal="left" vertical="center" indent="5"/>
    </xf>
    <xf numFmtId="0" fontId="92" fillId="73" borderId="165" applyNumberFormat="0" applyFont="0" applyAlignment="0" applyProtection="0"/>
    <xf numFmtId="0" fontId="89" fillId="47" borderId="166">
      <alignment horizontal="right" vertical="center"/>
    </xf>
    <xf numFmtId="4" fontId="87" fillId="14" borderId="168">
      <alignment horizontal="right" vertical="center"/>
    </xf>
    <xf numFmtId="0" fontId="110" fillId="57" borderId="163" applyNumberFormat="0" applyAlignment="0" applyProtection="0"/>
    <xf numFmtId="49" fontId="58" fillId="0" borderId="166" applyNumberFormat="0" applyFont="0" applyFill="0" applyBorder="0" applyProtection="0">
      <alignment horizontal="left" vertical="center" indent="2"/>
    </xf>
    <xf numFmtId="0" fontId="58" fillId="0" borderId="169">
      <alignment horizontal="left" vertical="center" wrapText="1" indent="2"/>
    </xf>
    <xf numFmtId="4" fontId="58" fillId="0" borderId="166">
      <alignment horizontal="right" vertical="center"/>
    </xf>
    <xf numFmtId="4" fontId="87" fillId="47" borderId="166">
      <alignment horizontal="right" vertical="center"/>
    </xf>
    <xf numFmtId="4" fontId="58" fillId="0" borderId="166">
      <alignment horizontal="right" vertical="center"/>
    </xf>
    <xf numFmtId="0" fontId="39" fillId="73" borderId="165" applyNumberFormat="0" applyFont="0" applyAlignment="0" applyProtection="0"/>
    <xf numFmtId="0" fontId="87" fillId="14" borderId="166">
      <alignment horizontal="right" vertical="center"/>
    </xf>
    <xf numFmtId="0" fontId="98" fillId="70" borderId="163" applyNumberFormat="0" applyAlignment="0" applyProtection="0"/>
    <xf numFmtId="0" fontId="114" fillId="70" borderId="162" applyNumberFormat="0" applyAlignment="0" applyProtection="0"/>
    <xf numFmtId="0" fontId="102" fillId="0" borderId="164" applyNumberFormat="0" applyFill="0" applyAlignment="0" applyProtection="0"/>
    <xf numFmtId="0" fontId="87" fillId="14" borderId="166">
      <alignment horizontal="right" vertical="center"/>
    </xf>
    <xf numFmtId="0" fontId="110" fillId="57" borderId="178" applyNumberFormat="0" applyAlignment="0" applyProtection="0"/>
    <xf numFmtId="0" fontId="110" fillId="57" borderId="163" applyNumberFormat="0" applyAlignment="0" applyProtection="0"/>
    <xf numFmtId="0" fontId="82" fillId="37" borderId="0" applyNumberFormat="0" applyBorder="0" applyAlignment="0" applyProtection="0"/>
    <xf numFmtId="0" fontId="89" fillId="47" borderId="174">
      <alignment horizontal="right" vertical="center"/>
    </xf>
    <xf numFmtId="4" fontId="87" fillId="14" borderId="181">
      <alignment horizontal="right" vertical="center"/>
    </xf>
    <xf numFmtId="0" fontId="58" fillId="0" borderId="169">
      <alignment horizontal="left" vertical="center" wrapText="1" indent="2"/>
    </xf>
    <xf numFmtId="0" fontId="102" fillId="0" borderId="164" applyNumberFormat="0" applyFill="0" applyAlignment="0" applyProtection="0"/>
    <xf numFmtId="0" fontId="78" fillId="25" borderId="139" applyNumberFormat="0" applyAlignment="0" applyProtection="0"/>
    <xf numFmtId="0" fontId="79" fillId="25" borderId="138" applyNumberFormat="0" applyAlignment="0" applyProtection="0"/>
    <xf numFmtId="0" fontId="58" fillId="47" borderId="167">
      <alignment horizontal="left" vertical="center"/>
    </xf>
    <xf numFmtId="0" fontId="80" fillId="0" borderId="0" applyNumberFormat="0" applyFill="0" applyBorder="0" applyAlignment="0" applyProtection="0"/>
    <xf numFmtId="4" fontId="87" fillId="14" borderId="168">
      <alignment horizontal="right" vertical="center"/>
    </xf>
    <xf numFmtId="0" fontId="81" fillId="0" borderId="0" applyNumberFormat="0" applyFill="0" applyBorder="0" applyAlignment="0" applyProtection="0"/>
    <xf numFmtId="0" fontId="30" fillId="0" borderId="140" applyNumberFormat="0" applyFill="0" applyAlignment="0" applyProtection="0"/>
    <xf numFmtId="0" fontId="92" fillId="73" borderId="173" applyNumberFormat="0" applyFont="0" applyAlignment="0" applyProtection="0"/>
    <xf numFmtId="0" fontId="9" fillId="26" borderId="0" applyNumberFormat="0" applyBorder="0" applyAlignment="0" applyProtection="0"/>
    <xf numFmtId="0" fontId="9" fillId="27" borderId="0" applyNumberFormat="0" applyBorder="0" applyAlignment="0" applyProtection="0"/>
    <xf numFmtId="0" fontId="82" fillId="28"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82" fillId="31" borderId="0" applyNumberFormat="0" applyBorder="0" applyAlignment="0" applyProtection="0"/>
    <xf numFmtId="0" fontId="9" fillId="38"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82" fillId="34" borderId="0" applyNumberFormat="0" applyBorder="0" applyAlignment="0" applyProtection="0"/>
    <xf numFmtId="0" fontId="92" fillId="73" borderId="180" applyNumberFormat="0" applyFont="0" applyAlignment="0" applyProtection="0"/>
    <xf numFmtId="0" fontId="9" fillId="35" borderId="0" applyNumberFormat="0" applyBorder="0" applyAlignment="0" applyProtection="0"/>
    <xf numFmtId="0" fontId="9" fillId="36" borderId="0" applyNumberFormat="0" applyBorder="0" applyAlignment="0" applyProtection="0"/>
    <xf numFmtId="0" fontId="82" fillId="37" borderId="0" applyNumberFormat="0" applyBorder="0" applyAlignment="0" applyProtection="0"/>
    <xf numFmtId="0" fontId="39" fillId="73" borderId="173" applyNumberFormat="0" applyFont="0" applyAlignment="0" applyProtection="0"/>
    <xf numFmtId="0" fontId="9" fillId="38" borderId="0" applyNumberFormat="0" applyBorder="0" applyAlignment="0" applyProtection="0"/>
    <xf numFmtId="0" fontId="9" fillId="39" borderId="0" applyNumberFormat="0" applyBorder="0" applyAlignment="0" applyProtection="0"/>
    <xf numFmtId="0" fontId="82" fillId="40" borderId="0" applyNumberFormat="0" applyBorder="0" applyAlignment="0" applyProtection="0"/>
    <xf numFmtId="0" fontId="82" fillId="40" borderId="0" applyNumberFormat="0" applyBorder="0" applyAlignment="0" applyProtection="0"/>
    <xf numFmtId="0" fontId="9" fillId="41" borderId="0" applyNumberFormat="0" applyBorder="0" applyAlignment="0" applyProtection="0"/>
    <xf numFmtId="0" fontId="9" fillId="42" borderId="0" applyNumberFormat="0" applyBorder="0" applyAlignment="0" applyProtection="0"/>
    <xf numFmtId="0" fontId="82" fillId="43" borderId="0" applyNumberFormat="0" applyBorder="0" applyAlignment="0" applyProtection="0"/>
    <xf numFmtId="0" fontId="92" fillId="73" borderId="165" applyNumberFormat="0" applyFont="0" applyAlignment="0" applyProtection="0"/>
    <xf numFmtId="0" fontId="98" fillId="70" borderId="178" applyNumberFormat="0" applyAlignment="0" applyProtection="0"/>
    <xf numFmtId="49" fontId="59" fillId="0" borderId="174" applyNumberFormat="0" applyFill="0" applyBorder="0" applyProtection="0">
      <alignment horizontal="left" vertical="center"/>
    </xf>
    <xf numFmtId="0" fontId="117" fillId="0" borderId="164" applyNumberFormat="0" applyFill="0" applyAlignment="0" applyProtection="0"/>
    <xf numFmtId="0" fontId="114" fillId="70" borderId="162" applyNumberFormat="0" applyAlignment="0" applyProtection="0"/>
    <xf numFmtId="0" fontId="98" fillId="70" borderId="171" applyNumberFormat="0" applyAlignment="0" applyProtection="0"/>
    <xf numFmtId="0" fontId="110" fillId="57" borderId="163" applyNumberFormat="0" applyAlignment="0" applyProtection="0"/>
    <xf numFmtId="4" fontId="58" fillId="0" borderId="166">
      <alignment horizontal="right" vertical="center"/>
    </xf>
    <xf numFmtId="0" fontId="81" fillId="0" borderId="0" applyNumberFormat="0" applyFill="0" applyBorder="0" applyAlignment="0" applyProtection="0"/>
    <xf numFmtId="0" fontId="117" fillId="0" borderId="164" applyNumberFormat="0" applyFill="0" applyAlignment="0" applyProtection="0"/>
    <xf numFmtId="179" fontId="58" fillId="74" borderId="166" applyNumberFormat="0" applyFont="0" applyBorder="0" applyAlignment="0" applyProtection="0">
      <alignment horizontal="right" vertical="center"/>
    </xf>
    <xf numFmtId="0" fontId="39" fillId="73" borderId="165" applyNumberFormat="0" applyFont="0" applyAlignment="0" applyProtection="0"/>
    <xf numFmtId="0" fontId="9" fillId="30" borderId="0" applyNumberFormat="0" applyBorder="0" applyAlignment="0" applyProtection="0"/>
    <xf numFmtId="0" fontId="58" fillId="0" borderId="169">
      <alignment horizontal="left" vertical="center" wrapText="1" indent="2"/>
    </xf>
    <xf numFmtId="0" fontId="9" fillId="35" borderId="0" applyNumberFormat="0" applyBorder="0" applyAlignment="0" applyProtection="0"/>
    <xf numFmtId="49" fontId="59" fillId="0" borderId="166" applyNumberFormat="0" applyFill="0" applyBorder="0" applyProtection="0">
      <alignment horizontal="left" vertical="center"/>
    </xf>
    <xf numFmtId="0" fontId="117" fillId="0" borderId="164" applyNumberFormat="0" applyFill="0" applyAlignment="0" applyProtection="0"/>
    <xf numFmtId="0" fontId="97" fillId="70" borderId="163" applyNumberFormat="0" applyAlignment="0" applyProtection="0"/>
    <xf numFmtId="0" fontId="92" fillId="73" borderId="180" applyNumberFormat="0" applyFont="0" applyAlignment="0" applyProtection="0"/>
    <xf numFmtId="0" fontId="82" fillId="43" borderId="0" applyNumberFormat="0" applyBorder="0" applyAlignment="0" applyProtection="0"/>
    <xf numFmtId="0" fontId="58" fillId="0" borderId="166" applyNumberFormat="0" applyFill="0" applyAlignment="0" applyProtection="0"/>
    <xf numFmtId="4" fontId="58" fillId="0" borderId="166" applyFill="0" applyBorder="0" applyProtection="0">
      <alignment horizontal="right" vertical="center"/>
    </xf>
    <xf numFmtId="49" fontId="58" fillId="0" borderId="166" applyNumberFormat="0" applyFont="0" applyFill="0" applyBorder="0" applyProtection="0">
      <alignment horizontal="left" vertical="center" indent="2"/>
    </xf>
    <xf numFmtId="49" fontId="59" fillId="0" borderId="166" applyNumberFormat="0" applyFill="0" applyBorder="0" applyProtection="0">
      <alignment horizontal="left" vertical="center"/>
    </xf>
    <xf numFmtId="0" fontId="58" fillId="0" borderId="181">
      <alignment horizontal="right" vertical="center"/>
    </xf>
    <xf numFmtId="0" fontId="114" fillId="70" borderId="162" applyNumberFormat="0" applyAlignment="0" applyProtection="0"/>
    <xf numFmtId="4" fontId="87" fillId="14" borderId="166">
      <alignment horizontal="right" vertical="center"/>
    </xf>
    <xf numFmtId="0" fontId="9" fillId="27" borderId="0" applyNumberFormat="0" applyBorder="0" applyAlignment="0" applyProtection="0"/>
    <xf numFmtId="4" fontId="89" fillId="47" borderId="166">
      <alignment horizontal="right" vertical="center"/>
    </xf>
    <xf numFmtId="4" fontId="87" fillId="47" borderId="166">
      <alignment horizontal="right" vertical="center"/>
    </xf>
    <xf numFmtId="0" fontId="82" fillId="28" borderId="0" applyNumberFormat="0" applyBorder="0" applyAlignment="0" applyProtection="0"/>
    <xf numFmtId="0" fontId="87" fillId="14" borderId="166">
      <alignment horizontal="right" vertical="center"/>
    </xf>
    <xf numFmtId="0" fontId="58" fillId="48" borderId="166"/>
    <xf numFmtId="4" fontId="87" fillId="14" borderId="166">
      <alignment horizontal="right" vertical="center"/>
    </xf>
    <xf numFmtId="0" fontId="110" fillId="57" borderId="163" applyNumberFormat="0" applyAlignment="0" applyProtection="0"/>
    <xf numFmtId="0" fontId="114" fillId="70" borderId="162" applyNumberFormat="0" applyAlignment="0" applyProtection="0"/>
    <xf numFmtId="0" fontId="102" fillId="0" borderId="164" applyNumberFormat="0" applyFill="0" applyAlignment="0" applyProtection="0"/>
    <xf numFmtId="0" fontId="78" fillId="25" borderId="139" applyNumberFormat="0" applyAlignment="0" applyProtection="0"/>
    <xf numFmtId="0" fontId="87" fillId="47" borderId="166">
      <alignment horizontal="right" vertical="center"/>
    </xf>
    <xf numFmtId="0" fontId="101" fillId="57" borderId="163" applyNumberFormat="0" applyAlignment="0" applyProtection="0"/>
    <xf numFmtId="0" fontId="117" fillId="0" borderId="164" applyNumberFormat="0" applyFill="0" applyAlignment="0" applyProtection="0"/>
    <xf numFmtId="4" fontId="87" fillId="14" borderId="168">
      <alignment horizontal="right" vertical="center"/>
    </xf>
    <xf numFmtId="0" fontId="87" fillId="14" borderId="167">
      <alignment horizontal="right" vertical="center"/>
    </xf>
    <xf numFmtId="4" fontId="89" fillId="47" borderId="166">
      <alignment horizontal="right" vertical="center"/>
    </xf>
    <xf numFmtId="4" fontId="87" fillId="14" borderId="167">
      <alignment horizontal="right" vertical="center"/>
    </xf>
    <xf numFmtId="0" fontId="114" fillId="70" borderId="162" applyNumberFormat="0" applyAlignment="0" applyProtection="0"/>
    <xf numFmtId="4" fontId="58" fillId="48" borderId="166"/>
    <xf numFmtId="49" fontId="58" fillId="0" borderId="166" applyNumberFormat="0" applyFont="0" applyFill="0" applyBorder="0" applyProtection="0">
      <alignment horizontal="left" vertical="center" indent="2"/>
    </xf>
    <xf numFmtId="0" fontId="110" fillId="57" borderId="163" applyNumberFormat="0" applyAlignment="0" applyProtection="0"/>
    <xf numFmtId="4" fontId="87" fillId="14" borderId="167">
      <alignment horizontal="right" vertical="center"/>
    </xf>
    <xf numFmtId="0" fontId="39" fillId="73" borderId="180" applyNumberFormat="0" applyFont="0" applyAlignment="0" applyProtection="0"/>
    <xf numFmtId="0" fontId="87" fillId="14" borderId="167">
      <alignment horizontal="right" vertical="center"/>
    </xf>
    <xf numFmtId="4" fontId="58" fillId="48" borderId="166"/>
    <xf numFmtId="0" fontId="58" fillId="47" borderId="167">
      <alignment horizontal="left" vertical="center"/>
    </xf>
    <xf numFmtId="0" fontId="101" fillId="57" borderId="178" applyNumberFormat="0" applyAlignment="0" applyProtection="0"/>
    <xf numFmtId="4" fontId="87" fillId="14" borderId="167">
      <alignment horizontal="right" vertical="center"/>
    </xf>
    <xf numFmtId="0" fontId="110" fillId="57" borderId="171" applyNumberFormat="0" applyAlignment="0" applyProtection="0"/>
    <xf numFmtId="0" fontId="87" fillId="14" borderId="168">
      <alignment horizontal="right" vertical="center"/>
    </xf>
    <xf numFmtId="0" fontId="89" fillId="47" borderId="166">
      <alignment horizontal="right" vertical="center"/>
    </xf>
    <xf numFmtId="4" fontId="87" fillId="47" borderId="181">
      <alignment horizontal="right" vertical="center"/>
    </xf>
    <xf numFmtId="0" fontId="87" fillId="47" borderId="166">
      <alignment horizontal="right" vertical="center"/>
    </xf>
    <xf numFmtId="0" fontId="110" fillId="57" borderId="163" applyNumberFormat="0" applyAlignment="0" applyProtection="0"/>
    <xf numFmtId="0" fontId="95" fillId="70" borderId="162" applyNumberFormat="0" applyAlignment="0" applyProtection="0"/>
    <xf numFmtId="0" fontId="58" fillId="0" borderId="166">
      <alignment horizontal="right" vertical="center"/>
    </xf>
    <xf numFmtId="0" fontId="97" fillId="70" borderId="163" applyNumberFormat="0" applyAlignment="0" applyProtection="0"/>
    <xf numFmtId="0" fontId="98" fillId="70" borderId="163" applyNumberFormat="0" applyAlignment="0" applyProtection="0"/>
    <xf numFmtId="4" fontId="89" fillId="47" borderId="166">
      <alignment horizontal="right" vertical="center"/>
    </xf>
    <xf numFmtId="0" fontId="9" fillId="41" borderId="0" applyNumberFormat="0" applyBorder="0" applyAlignment="0" applyProtection="0"/>
    <xf numFmtId="0" fontId="9" fillId="32" borderId="0" applyNumberFormat="0" applyBorder="0" applyAlignment="0" applyProtection="0"/>
    <xf numFmtId="0" fontId="78" fillId="25" borderId="139" applyNumberFormat="0" applyAlignment="0" applyProtection="0"/>
    <xf numFmtId="4" fontId="87" fillId="14" borderId="166">
      <alignment horizontal="right" vertical="center"/>
    </xf>
    <xf numFmtId="49" fontId="58" fillId="0" borderId="166" applyNumberFormat="0" applyFont="0" applyFill="0" applyBorder="0" applyProtection="0">
      <alignment horizontal="left" vertical="center" indent="2"/>
    </xf>
    <xf numFmtId="0" fontId="97" fillId="70" borderId="163" applyNumberFormat="0" applyAlignment="0" applyProtection="0"/>
    <xf numFmtId="0" fontId="117" fillId="0" borderId="164" applyNumberFormat="0" applyFill="0" applyAlignment="0" applyProtection="0"/>
    <xf numFmtId="0" fontId="95" fillId="70" borderId="162" applyNumberFormat="0" applyAlignment="0" applyProtection="0"/>
    <xf numFmtId="0" fontId="95" fillId="70" borderId="170" applyNumberFormat="0" applyAlignment="0" applyProtection="0"/>
    <xf numFmtId="0" fontId="9" fillId="41" borderId="0" applyNumberFormat="0" applyBorder="0" applyAlignment="0" applyProtection="0"/>
    <xf numFmtId="0" fontId="98" fillId="70" borderId="163" applyNumberFormat="0" applyAlignment="0" applyProtection="0"/>
    <xf numFmtId="49" fontId="58" fillId="0" borderId="182" applyNumberFormat="0" applyFont="0" applyFill="0" applyBorder="0" applyProtection="0">
      <alignment horizontal="left" vertical="center" indent="5"/>
    </xf>
    <xf numFmtId="4" fontId="58" fillId="0" borderId="166" applyFill="0" applyBorder="0" applyProtection="0">
      <alignment horizontal="right" vertical="center"/>
    </xf>
    <xf numFmtId="4" fontId="58" fillId="0" borderId="174" applyFill="0" applyBorder="0" applyProtection="0">
      <alignment horizontal="right" vertical="center"/>
    </xf>
    <xf numFmtId="49" fontId="59" fillId="0" borderId="181" applyNumberFormat="0" applyFill="0" applyBorder="0" applyProtection="0">
      <alignment horizontal="left" vertical="center"/>
    </xf>
    <xf numFmtId="0" fontId="102" fillId="0" borderId="164" applyNumberFormat="0" applyFill="0" applyAlignment="0" applyProtection="0"/>
    <xf numFmtId="49" fontId="58" fillId="0" borderId="166" applyNumberFormat="0" applyFont="0" applyFill="0" applyBorder="0" applyProtection="0">
      <alignment horizontal="left" vertical="center" indent="2"/>
    </xf>
    <xf numFmtId="179" fontId="58" fillId="74" borderId="166" applyNumberFormat="0" applyFont="0" applyBorder="0" applyAlignment="0" applyProtection="0">
      <alignment horizontal="right" vertical="center"/>
    </xf>
    <xf numFmtId="4" fontId="89" fillId="47" borderId="166">
      <alignment horizontal="right" vertical="center"/>
    </xf>
    <xf numFmtId="0" fontId="87" fillId="47" borderId="166">
      <alignment horizontal="right" vertical="center"/>
    </xf>
    <xf numFmtId="0" fontId="82" fillId="43" borderId="0" applyNumberFormat="0" applyBorder="0" applyAlignment="0" applyProtection="0"/>
    <xf numFmtId="0" fontId="117" fillId="0" borderId="179" applyNumberFormat="0" applyFill="0" applyAlignment="0" applyProtection="0"/>
    <xf numFmtId="49" fontId="58" fillId="0" borderId="166" applyNumberFormat="0" applyFont="0" applyFill="0" applyBorder="0" applyProtection="0">
      <alignment horizontal="left" vertical="center" indent="2"/>
    </xf>
    <xf numFmtId="4" fontId="58" fillId="0" borderId="174">
      <alignment horizontal="right" vertical="center"/>
    </xf>
    <xf numFmtId="0" fontId="97" fillId="70" borderId="171" applyNumberFormat="0" applyAlignment="0" applyProtection="0"/>
    <xf numFmtId="0" fontId="87" fillId="14" borderId="166">
      <alignment horizontal="right" vertical="center"/>
    </xf>
    <xf numFmtId="0" fontId="58" fillId="0" borderId="169">
      <alignment horizontal="left" vertical="center" wrapText="1" indent="2"/>
    </xf>
    <xf numFmtId="0" fontId="117" fillId="0" borderId="164" applyNumberFormat="0" applyFill="0" applyAlignment="0" applyProtection="0"/>
    <xf numFmtId="0" fontId="82" fillId="34" borderId="0" applyNumberFormat="0" applyBorder="0" applyAlignment="0" applyProtection="0"/>
    <xf numFmtId="0" fontId="58" fillId="14" borderId="169">
      <alignment horizontal="left" vertical="center" wrapText="1" indent="2"/>
    </xf>
    <xf numFmtId="4" fontId="87" fillId="14" borderId="166">
      <alignment horizontal="right" vertical="center"/>
    </xf>
    <xf numFmtId="0" fontId="82" fillId="34" borderId="0" applyNumberFormat="0" applyBorder="0" applyAlignment="0" applyProtection="0"/>
    <xf numFmtId="0" fontId="98" fillId="70" borderId="163" applyNumberFormat="0" applyAlignment="0" applyProtection="0"/>
    <xf numFmtId="0" fontId="117" fillId="0" borderId="164" applyNumberFormat="0" applyFill="0" applyAlignment="0" applyProtection="0"/>
    <xf numFmtId="0" fontId="102" fillId="0" borderId="164" applyNumberFormat="0" applyFill="0" applyAlignment="0" applyProtection="0"/>
    <xf numFmtId="4" fontId="87" fillId="14" borderId="166">
      <alignment horizontal="right" vertical="center"/>
    </xf>
    <xf numFmtId="4" fontId="87" fillId="14" borderId="168">
      <alignment horizontal="right" vertical="center"/>
    </xf>
    <xf numFmtId="0" fontId="101" fillId="57" borderId="163" applyNumberFormat="0" applyAlignment="0" applyProtection="0"/>
    <xf numFmtId="0" fontId="87" fillId="14" borderId="183">
      <alignment horizontal="right" vertical="center"/>
    </xf>
    <xf numFmtId="4" fontId="87" fillId="14" borderId="166">
      <alignment horizontal="right" vertical="center"/>
    </xf>
    <xf numFmtId="0" fontId="114" fillId="70" borderId="162" applyNumberFormat="0" applyAlignment="0" applyProtection="0"/>
    <xf numFmtId="49" fontId="58" fillId="0" borderId="166" applyNumberFormat="0" applyFont="0" applyFill="0" applyBorder="0" applyProtection="0">
      <alignment horizontal="left" vertical="center" indent="2"/>
    </xf>
    <xf numFmtId="0" fontId="82" fillId="37" borderId="0" applyNumberFormat="0" applyBorder="0" applyAlignment="0" applyProtection="0"/>
    <xf numFmtId="0" fontId="58" fillId="48" borderId="166"/>
    <xf numFmtId="0" fontId="79" fillId="25" borderId="138" applyNumberFormat="0" applyAlignment="0" applyProtection="0"/>
    <xf numFmtId="0" fontId="39" fillId="73" borderId="165" applyNumberFormat="0" applyFont="0" applyAlignment="0" applyProtection="0"/>
    <xf numFmtId="0" fontId="58" fillId="14" borderId="169">
      <alignment horizontal="left" vertical="center" wrapText="1" indent="2"/>
    </xf>
    <xf numFmtId="0" fontId="89" fillId="47" borderId="166">
      <alignment horizontal="right" vertical="center"/>
    </xf>
    <xf numFmtId="0" fontId="58" fillId="47" borderId="167">
      <alignment horizontal="left" vertical="center"/>
    </xf>
    <xf numFmtId="4" fontId="58" fillId="0" borderId="166" applyFill="0" applyBorder="0" applyProtection="0">
      <alignment horizontal="right" vertical="center"/>
    </xf>
    <xf numFmtId="0" fontId="58" fillId="47" borderId="182">
      <alignment horizontal="left" vertical="center"/>
    </xf>
    <xf numFmtId="0" fontId="117" fillId="0" borderId="164" applyNumberFormat="0" applyFill="0" applyAlignment="0" applyProtection="0"/>
    <xf numFmtId="0" fontId="102" fillId="0" borderId="164" applyNumberFormat="0" applyFill="0" applyAlignment="0" applyProtection="0"/>
    <xf numFmtId="0" fontId="87" fillId="14" borderId="167">
      <alignment horizontal="right" vertical="center"/>
    </xf>
    <xf numFmtId="0" fontId="117" fillId="0" borderId="164" applyNumberFormat="0" applyFill="0" applyAlignment="0" applyProtection="0"/>
    <xf numFmtId="0" fontId="110" fillId="57" borderId="163" applyNumberFormat="0" applyAlignment="0" applyProtection="0"/>
    <xf numFmtId="0" fontId="39" fillId="73" borderId="165" applyNumberFormat="0" applyFont="0" applyAlignment="0" applyProtection="0"/>
    <xf numFmtId="4" fontId="87" fillId="14" borderId="166">
      <alignment horizontal="right" vertical="center"/>
    </xf>
    <xf numFmtId="0" fontId="58" fillId="0" borderId="166">
      <alignment horizontal="right" vertical="center"/>
    </xf>
    <xf numFmtId="0" fontId="82" fillId="40" borderId="0" applyNumberFormat="0" applyBorder="0" applyAlignment="0" applyProtection="0"/>
    <xf numFmtId="0" fontId="58" fillId="14" borderId="169">
      <alignment horizontal="left" vertical="center" wrapText="1" indent="2"/>
    </xf>
    <xf numFmtId="0" fontId="102" fillId="0" borderId="164" applyNumberFormat="0" applyFill="0" applyAlignment="0" applyProtection="0"/>
    <xf numFmtId="4" fontId="87" fillId="14" borderId="166">
      <alignment horizontal="right" vertical="center"/>
    </xf>
    <xf numFmtId="0" fontId="92" fillId="73" borderId="165" applyNumberFormat="0" applyFont="0" applyAlignment="0" applyProtection="0"/>
    <xf numFmtId="49" fontId="59" fillId="0" borderId="166" applyNumberFormat="0" applyFill="0" applyBorder="0" applyProtection="0">
      <alignment horizontal="left" vertical="center"/>
    </xf>
    <xf numFmtId="4" fontId="87" fillId="47" borderId="166">
      <alignment horizontal="right" vertical="center"/>
    </xf>
    <xf numFmtId="0" fontId="114" fillId="70" borderId="162" applyNumberFormat="0" applyAlignment="0" applyProtection="0"/>
    <xf numFmtId="0" fontId="87" fillId="14" borderId="166">
      <alignment horizontal="right" vertical="center"/>
    </xf>
    <xf numFmtId="0" fontId="80" fillId="0" borderId="0" applyNumberFormat="0" applyFill="0" applyBorder="0" applyAlignment="0" applyProtection="0"/>
    <xf numFmtId="0" fontId="110" fillId="57" borderId="163" applyNumberFormat="0" applyAlignment="0" applyProtection="0"/>
    <xf numFmtId="0" fontId="92" fillId="73" borderId="165" applyNumberFormat="0" applyFont="0" applyAlignment="0" applyProtection="0"/>
    <xf numFmtId="0" fontId="92" fillId="73" borderId="165" applyNumberFormat="0" applyFont="0" applyAlignment="0" applyProtection="0"/>
    <xf numFmtId="0" fontId="89" fillId="47" borderId="181">
      <alignment horizontal="right" vertical="center"/>
    </xf>
    <xf numFmtId="4" fontId="87" fillId="14" borderId="168">
      <alignment horizontal="right" vertical="center"/>
    </xf>
    <xf numFmtId="0" fontId="81" fillId="0" borderId="0" applyNumberFormat="0" applyFill="0" applyBorder="0" applyAlignment="0" applyProtection="0"/>
    <xf numFmtId="0" fontId="87" fillId="14" borderId="168">
      <alignment horizontal="right" vertical="center"/>
    </xf>
    <xf numFmtId="4" fontId="58" fillId="0" borderId="181" applyFill="0" applyBorder="0" applyProtection="0">
      <alignment horizontal="right" vertical="center"/>
    </xf>
    <xf numFmtId="49" fontId="58" fillId="0" borderId="167" applyNumberFormat="0" applyFont="0" applyFill="0" applyBorder="0" applyProtection="0">
      <alignment horizontal="left" vertical="center" indent="5"/>
    </xf>
    <xf numFmtId="0" fontId="102" fillId="0" borderId="164" applyNumberFormat="0" applyFill="0" applyAlignment="0" applyProtection="0"/>
    <xf numFmtId="0" fontId="98" fillId="70" borderId="178" applyNumberFormat="0" applyAlignment="0" applyProtection="0"/>
    <xf numFmtId="0" fontId="98" fillId="70" borderId="163" applyNumberFormat="0" applyAlignment="0" applyProtection="0"/>
    <xf numFmtId="179" fontId="58" fillId="74" borderId="166" applyNumberFormat="0" applyFont="0" applyBorder="0" applyAlignment="0" applyProtection="0">
      <alignment horizontal="right" vertical="center"/>
    </xf>
    <xf numFmtId="0" fontId="101" fillId="57" borderId="171" applyNumberFormat="0" applyAlignment="0" applyProtection="0"/>
    <xf numFmtId="0" fontId="117" fillId="0" borderId="164" applyNumberFormat="0" applyFill="0" applyAlignment="0" applyProtection="0"/>
    <xf numFmtId="0" fontId="58" fillId="0" borderId="166" applyNumberFormat="0" applyFill="0" applyAlignment="0" applyProtection="0"/>
    <xf numFmtId="0" fontId="117" fillId="0" borderId="164" applyNumberFormat="0" applyFill="0" applyAlignment="0" applyProtection="0"/>
    <xf numFmtId="0" fontId="117" fillId="0" borderId="179" applyNumberFormat="0" applyFill="0" applyAlignment="0" applyProtection="0"/>
    <xf numFmtId="0" fontId="58" fillId="0" borderId="169">
      <alignment horizontal="left" vertical="center" wrapText="1" indent="2"/>
    </xf>
    <xf numFmtId="0" fontId="101" fillId="57" borderId="163" applyNumberFormat="0" applyAlignment="0" applyProtection="0"/>
    <xf numFmtId="0" fontId="92" fillId="73" borderId="165" applyNumberFormat="0" applyFont="0" applyAlignment="0" applyProtection="0"/>
    <xf numFmtId="49" fontId="59" fillId="0" borderId="166" applyNumberFormat="0" applyFill="0" applyBorder="0" applyProtection="0">
      <alignment horizontal="left" vertical="center"/>
    </xf>
    <xf numFmtId="4" fontId="58" fillId="48" borderId="166"/>
    <xf numFmtId="0" fontId="92" fillId="73" borderId="165" applyNumberFormat="0" applyFont="0" applyAlignment="0" applyProtection="0"/>
    <xf numFmtId="0" fontId="97" fillId="70" borderId="163" applyNumberFormat="0" applyAlignment="0" applyProtection="0"/>
    <xf numFmtId="0" fontId="87" fillId="14" borderId="168">
      <alignment horizontal="right" vertical="center"/>
    </xf>
    <xf numFmtId="4" fontId="58" fillId="48" borderId="166"/>
    <xf numFmtId="0" fontId="98" fillId="70" borderId="163" applyNumberFormat="0" applyAlignment="0" applyProtection="0"/>
    <xf numFmtId="0" fontId="97" fillId="70" borderId="163" applyNumberFormat="0" applyAlignment="0" applyProtection="0"/>
    <xf numFmtId="0" fontId="87" fillId="14" borderId="168">
      <alignment horizontal="right" vertical="center"/>
    </xf>
    <xf numFmtId="0" fontId="98" fillId="70" borderId="163" applyNumberFormat="0" applyAlignment="0" applyProtection="0"/>
    <xf numFmtId="0" fontId="117" fillId="0" borderId="164" applyNumberFormat="0" applyFill="0" applyAlignment="0" applyProtection="0"/>
    <xf numFmtId="0" fontId="92" fillId="73" borderId="165" applyNumberFormat="0" applyFont="0" applyAlignment="0" applyProtection="0"/>
    <xf numFmtId="49" fontId="59" fillId="0" borderId="166" applyNumberFormat="0" applyFill="0" applyBorder="0" applyProtection="0">
      <alignment horizontal="left" vertical="center"/>
    </xf>
    <xf numFmtId="0" fontId="87" fillId="14" borderId="166">
      <alignment horizontal="right" vertical="center"/>
    </xf>
    <xf numFmtId="0" fontId="58" fillId="14" borderId="169">
      <alignment horizontal="left" vertical="center" wrapText="1" indent="2"/>
    </xf>
    <xf numFmtId="0" fontId="9" fillId="32" borderId="0" applyNumberFormat="0" applyBorder="0" applyAlignment="0" applyProtection="0"/>
    <xf numFmtId="0" fontId="9" fillId="30" borderId="0" applyNumberFormat="0" applyBorder="0" applyAlignment="0" applyProtection="0"/>
    <xf numFmtId="0" fontId="58" fillId="0" borderId="166" applyNumberFormat="0" applyFill="0" applyAlignment="0" applyProtection="0"/>
    <xf numFmtId="0" fontId="98" fillId="70" borderId="163" applyNumberFormat="0" applyAlignment="0" applyProtection="0"/>
    <xf numFmtId="4" fontId="58" fillId="0" borderId="166" applyFill="0" applyBorder="0" applyProtection="0">
      <alignment horizontal="right" vertical="center"/>
    </xf>
    <xf numFmtId="0" fontId="58" fillId="47" borderId="167">
      <alignment horizontal="left" vertical="center"/>
    </xf>
    <xf numFmtId="0" fontId="58" fillId="47" borderId="167">
      <alignment horizontal="left" vertical="center"/>
    </xf>
    <xf numFmtId="0" fontId="58" fillId="0" borderId="169">
      <alignment horizontal="left" vertical="center" wrapText="1" indent="2"/>
    </xf>
    <xf numFmtId="0" fontId="87" fillId="14" borderId="166">
      <alignment horizontal="right" vertical="center"/>
    </xf>
    <xf numFmtId="0" fontId="97" fillId="70" borderId="163" applyNumberFormat="0" applyAlignment="0" applyProtection="0"/>
    <xf numFmtId="0" fontId="102" fillId="0" borderId="164" applyNumberFormat="0" applyFill="0" applyAlignment="0" applyProtection="0"/>
    <xf numFmtId="0" fontId="9" fillId="36" borderId="0" applyNumberFormat="0" applyBorder="0" applyAlignment="0" applyProtection="0"/>
    <xf numFmtId="0" fontId="114" fillId="70" borderId="162" applyNumberFormat="0" applyAlignment="0" applyProtection="0"/>
    <xf numFmtId="0" fontId="110" fillId="57" borderId="163" applyNumberFormat="0" applyAlignment="0" applyProtection="0"/>
    <xf numFmtId="4" fontId="87" fillId="14" borderId="167">
      <alignment horizontal="right" vertical="center"/>
    </xf>
    <xf numFmtId="4" fontId="87" fillId="14" borderId="166">
      <alignment horizontal="right" vertical="center"/>
    </xf>
    <xf numFmtId="0" fontId="58" fillId="14" borderId="169">
      <alignment horizontal="left" vertical="center" wrapText="1" indent="2"/>
    </xf>
    <xf numFmtId="4" fontId="87" fillId="14" borderId="166">
      <alignment horizontal="right" vertical="center"/>
    </xf>
    <xf numFmtId="0" fontId="58" fillId="0" borderId="166">
      <alignment horizontal="right" vertical="center"/>
    </xf>
    <xf numFmtId="0" fontId="89" fillId="47" borderId="166">
      <alignment horizontal="right" vertical="center"/>
    </xf>
    <xf numFmtId="179" fontId="58" fillId="74" borderId="166" applyNumberFormat="0" applyFont="0" applyBorder="0" applyAlignment="0" applyProtection="0">
      <alignment horizontal="right" vertical="center"/>
    </xf>
    <xf numFmtId="4" fontId="87" fillId="47" borderId="174">
      <alignment horizontal="right" vertical="center"/>
    </xf>
    <xf numFmtId="4" fontId="58" fillId="48" borderId="166"/>
    <xf numFmtId="0" fontId="101" fillId="57" borderId="163" applyNumberFormat="0" applyAlignment="0" applyProtection="0"/>
    <xf numFmtId="0" fontId="82" fillId="34" borderId="0" applyNumberFormat="0" applyBorder="0" applyAlignment="0" applyProtection="0"/>
    <xf numFmtId="0" fontId="39" fillId="73" borderId="165" applyNumberFormat="0" applyFont="0" applyAlignment="0" applyProtection="0"/>
    <xf numFmtId="0" fontId="58" fillId="0" borderId="166">
      <alignment horizontal="right" vertical="center"/>
    </xf>
    <xf numFmtId="49" fontId="59" fillId="0" borderId="166" applyNumberFormat="0" applyFill="0" applyBorder="0" applyProtection="0">
      <alignment horizontal="left" vertical="center"/>
    </xf>
    <xf numFmtId="0" fontId="110" fillId="57" borderId="163" applyNumberFormat="0" applyAlignment="0" applyProtection="0"/>
    <xf numFmtId="0" fontId="58" fillId="14" borderId="169">
      <alignment horizontal="left" vertical="center" wrapText="1" indent="2"/>
    </xf>
    <xf numFmtId="0" fontId="87" fillId="14" borderId="166">
      <alignment horizontal="right" vertical="center"/>
    </xf>
    <xf numFmtId="0" fontId="92" fillId="73" borderId="165" applyNumberFormat="0" applyFont="0" applyAlignment="0" applyProtection="0"/>
    <xf numFmtId="4" fontId="58" fillId="0" borderId="166">
      <alignment horizontal="right" vertical="center"/>
    </xf>
    <xf numFmtId="0" fontId="98" fillId="70" borderId="163" applyNumberFormat="0" applyAlignment="0" applyProtection="0"/>
    <xf numFmtId="4" fontId="58" fillId="0" borderId="166" applyFill="0" applyBorder="0" applyProtection="0">
      <alignment horizontal="right" vertical="center"/>
    </xf>
    <xf numFmtId="4" fontId="58" fillId="48" borderId="166"/>
    <xf numFmtId="0" fontId="58" fillId="0" borderId="181" applyNumberFormat="0" applyFill="0" applyAlignment="0" applyProtection="0"/>
    <xf numFmtId="0" fontId="81" fillId="0" borderId="0" applyNumberFormat="0" applyFill="0" applyBorder="0" applyAlignment="0" applyProtection="0"/>
    <xf numFmtId="4" fontId="87" fillId="47" borderId="166">
      <alignment horizontal="right" vertical="center"/>
    </xf>
    <xf numFmtId="0" fontId="9" fillId="33" borderId="0" applyNumberFormat="0" applyBorder="0" applyAlignment="0" applyProtection="0"/>
    <xf numFmtId="0" fontId="110" fillId="57" borderId="163" applyNumberFormat="0" applyAlignment="0" applyProtection="0"/>
    <xf numFmtId="49" fontId="58" fillId="0" borderId="167" applyNumberFormat="0" applyFont="0" applyFill="0" applyBorder="0" applyProtection="0">
      <alignment horizontal="left" vertical="center" indent="5"/>
    </xf>
    <xf numFmtId="0" fontId="87" fillId="14" borderId="168">
      <alignment horizontal="right" vertical="center"/>
    </xf>
    <xf numFmtId="4" fontId="58" fillId="0" borderId="166">
      <alignment horizontal="right" vertical="center"/>
    </xf>
    <xf numFmtId="0" fontId="58" fillId="0" borderId="169">
      <alignment horizontal="left" vertical="center" wrapText="1" indent="2"/>
    </xf>
    <xf numFmtId="0" fontId="110" fillId="57" borderId="163" applyNumberFormat="0" applyAlignment="0" applyProtection="0"/>
    <xf numFmtId="0" fontId="58" fillId="0" borderId="184">
      <alignment horizontal="left" vertical="center" wrapText="1" indent="2"/>
    </xf>
    <xf numFmtId="0" fontId="110" fillId="57" borderId="171" applyNumberFormat="0" applyAlignment="0" applyProtection="0"/>
    <xf numFmtId="49" fontId="58" fillId="0" borderId="167" applyNumberFormat="0" applyFont="0" applyFill="0" applyBorder="0" applyProtection="0">
      <alignment horizontal="left" vertical="center" indent="5"/>
    </xf>
    <xf numFmtId="0" fontId="117" fillId="0" borderId="164" applyNumberFormat="0" applyFill="0" applyAlignment="0" applyProtection="0"/>
    <xf numFmtId="0" fontId="87" fillId="14" borderId="166">
      <alignment horizontal="right" vertical="center"/>
    </xf>
    <xf numFmtId="0" fontId="98" fillId="70" borderId="171" applyNumberFormat="0" applyAlignment="0" applyProtection="0"/>
    <xf numFmtId="0" fontId="95" fillId="70" borderId="162" applyNumberFormat="0" applyAlignment="0" applyProtection="0"/>
    <xf numFmtId="0" fontId="97" fillId="70" borderId="163" applyNumberFormat="0" applyAlignment="0" applyProtection="0"/>
    <xf numFmtId="0" fontId="87" fillId="14" borderId="166">
      <alignment horizontal="right" vertical="center"/>
    </xf>
    <xf numFmtId="0" fontId="98" fillId="70" borderId="171" applyNumberFormat="0" applyAlignment="0" applyProtection="0"/>
    <xf numFmtId="0" fontId="80" fillId="0" borderId="0" applyNumberFormat="0" applyFill="0" applyBorder="0" applyAlignment="0" applyProtection="0"/>
    <xf numFmtId="0" fontId="117" fillId="0" borderId="164" applyNumberFormat="0" applyFill="0" applyAlignment="0" applyProtection="0"/>
    <xf numFmtId="49" fontId="58" fillId="0" borderId="181" applyNumberFormat="0" applyFont="0" applyFill="0" applyBorder="0" applyProtection="0">
      <alignment horizontal="left" vertical="center" indent="2"/>
    </xf>
    <xf numFmtId="0" fontId="98" fillId="70" borderId="163" applyNumberFormat="0" applyAlignment="0" applyProtection="0"/>
    <xf numFmtId="0" fontId="117" fillId="0" borderId="164" applyNumberFormat="0" applyFill="0" applyAlignment="0" applyProtection="0"/>
    <xf numFmtId="4" fontId="58" fillId="48" borderId="174"/>
    <xf numFmtId="0" fontId="58" fillId="14" borderId="184">
      <alignment horizontal="left" vertical="center" wrapText="1" indent="2"/>
    </xf>
    <xf numFmtId="0" fontId="58" fillId="0" borderId="166" applyNumberFormat="0" applyFill="0" applyAlignment="0" applyProtection="0"/>
    <xf numFmtId="4" fontId="89" fillId="47" borderId="174">
      <alignment horizontal="right" vertical="center"/>
    </xf>
    <xf numFmtId="0" fontId="98" fillId="70" borderId="163" applyNumberFormat="0" applyAlignment="0" applyProtection="0"/>
    <xf numFmtId="0" fontId="114" fillId="70" borderId="162" applyNumberFormat="0" applyAlignment="0" applyProtection="0"/>
    <xf numFmtId="0" fontId="95" fillId="70" borderId="162" applyNumberFormat="0" applyAlignment="0" applyProtection="0"/>
    <xf numFmtId="0" fontId="114" fillId="70" borderId="162" applyNumberFormat="0" applyAlignment="0" applyProtection="0"/>
    <xf numFmtId="4" fontId="87" fillId="14" borderId="166">
      <alignment horizontal="right" vertical="center"/>
    </xf>
    <xf numFmtId="0" fontId="117" fillId="0" borderId="164" applyNumberFormat="0" applyFill="0" applyAlignment="0" applyProtection="0"/>
    <xf numFmtId="0" fontId="87" fillId="14" borderId="167">
      <alignment horizontal="right" vertical="center"/>
    </xf>
    <xf numFmtId="0" fontId="87" fillId="14" borderId="166">
      <alignment horizontal="right" vertical="center"/>
    </xf>
    <xf numFmtId="0" fontId="87" fillId="14" borderId="166">
      <alignment horizontal="right" vertical="center"/>
    </xf>
    <xf numFmtId="0" fontId="87" fillId="14" borderId="168">
      <alignment horizontal="right" vertical="center"/>
    </xf>
    <xf numFmtId="0" fontId="58" fillId="48" borderId="166"/>
    <xf numFmtId="0" fontId="82" fillId="37" borderId="0" applyNumberFormat="0" applyBorder="0" applyAlignment="0" applyProtection="0"/>
    <xf numFmtId="4" fontId="89" fillId="47" borderId="166">
      <alignment horizontal="right" vertical="center"/>
    </xf>
    <xf numFmtId="0" fontId="87" fillId="14" borderId="167">
      <alignment horizontal="right" vertical="center"/>
    </xf>
    <xf numFmtId="0" fontId="97" fillId="70" borderId="163" applyNumberFormat="0" applyAlignment="0" applyProtection="0"/>
    <xf numFmtId="0" fontId="58" fillId="0" borderId="166">
      <alignment horizontal="right" vertical="center"/>
    </xf>
    <xf numFmtId="0" fontId="95" fillId="70" borderId="162" applyNumberFormat="0" applyAlignment="0" applyProtection="0"/>
    <xf numFmtId="4" fontId="58" fillId="0" borderId="166">
      <alignment horizontal="right" vertical="center"/>
    </xf>
    <xf numFmtId="0" fontId="87" fillId="14" borderId="167">
      <alignment horizontal="right" vertical="center"/>
    </xf>
    <xf numFmtId="0" fontId="39" fillId="73" borderId="165" applyNumberFormat="0" applyFont="0" applyAlignment="0" applyProtection="0"/>
    <xf numFmtId="0" fontId="92" fillId="73" borderId="165" applyNumberFormat="0" applyFont="0" applyAlignment="0" applyProtection="0"/>
    <xf numFmtId="0" fontId="98" fillId="70" borderId="163" applyNumberFormat="0" applyAlignment="0" applyProtection="0"/>
    <xf numFmtId="0" fontId="117" fillId="0" borderId="164" applyNumberFormat="0" applyFill="0" applyAlignment="0" applyProtection="0"/>
    <xf numFmtId="0" fontId="117" fillId="0" borderId="164" applyNumberFormat="0" applyFill="0" applyAlignment="0" applyProtection="0"/>
    <xf numFmtId="0" fontId="87" fillId="47" borderId="166">
      <alignment horizontal="right" vertical="center"/>
    </xf>
    <xf numFmtId="0" fontId="87" fillId="47" borderId="166">
      <alignment horizontal="right" vertical="center"/>
    </xf>
    <xf numFmtId="49" fontId="58" fillId="0" borderId="167" applyNumberFormat="0" applyFont="0" applyFill="0" applyBorder="0" applyProtection="0">
      <alignment horizontal="left" vertical="center" indent="5"/>
    </xf>
    <xf numFmtId="0" fontId="78" fillId="25" borderId="139" applyNumberFormat="0" applyAlignment="0" applyProtection="0"/>
    <xf numFmtId="0" fontId="80" fillId="0" borderId="0" applyNumberFormat="0" applyFill="0" applyBorder="0" applyAlignment="0" applyProtection="0"/>
    <xf numFmtId="0" fontId="9" fillId="41" borderId="0" applyNumberFormat="0" applyBorder="0" applyAlignment="0" applyProtection="0"/>
    <xf numFmtId="0" fontId="117" fillId="0" borderId="172" applyNumberFormat="0" applyFill="0" applyAlignment="0" applyProtection="0"/>
    <xf numFmtId="4" fontId="87" fillId="14" borderId="166">
      <alignment horizontal="right" vertical="center"/>
    </xf>
    <xf numFmtId="0" fontId="82" fillId="28" borderId="0" applyNumberFormat="0" applyBorder="0" applyAlignment="0" applyProtection="0"/>
    <xf numFmtId="4" fontId="87" fillId="14" borderId="166">
      <alignment horizontal="right" vertical="center"/>
    </xf>
    <xf numFmtId="0" fontId="110" fillId="57" borderId="163" applyNumberFormat="0" applyAlignment="0" applyProtection="0"/>
    <xf numFmtId="0" fontId="98" fillId="70" borderId="163" applyNumberFormat="0" applyAlignment="0" applyProtection="0"/>
    <xf numFmtId="0" fontId="97" fillId="70" borderId="163" applyNumberFormat="0" applyAlignment="0" applyProtection="0"/>
    <xf numFmtId="0" fontId="58" fillId="0" borderId="169">
      <alignment horizontal="left" vertical="center" wrapText="1" indent="2"/>
    </xf>
    <xf numFmtId="0" fontId="9" fillId="26" borderId="0" applyNumberFormat="0" applyBorder="0" applyAlignment="0" applyProtection="0"/>
    <xf numFmtId="0" fontId="101" fillId="57" borderId="163" applyNumberFormat="0" applyAlignment="0" applyProtection="0"/>
    <xf numFmtId="0" fontId="102" fillId="0" borderId="164" applyNumberFormat="0" applyFill="0" applyAlignment="0" applyProtection="0"/>
    <xf numFmtId="179" fontId="58" fillId="74" borderId="166" applyNumberFormat="0" applyFont="0" applyBorder="0" applyAlignment="0" applyProtection="0">
      <alignment horizontal="right" vertical="center"/>
    </xf>
    <xf numFmtId="0" fontId="110" fillId="57" borderId="163" applyNumberFormat="0" applyAlignment="0" applyProtection="0"/>
    <xf numFmtId="0" fontId="9" fillId="29" borderId="0" applyNumberFormat="0" applyBorder="0" applyAlignment="0" applyProtection="0"/>
    <xf numFmtId="0" fontId="58" fillId="0" borderId="169">
      <alignment horizontal="left" vertical="center" wrapText="1" indent="2"/>
    </xf>
    <xf numFmtId="0" fontId="87" fillId="14" borderId="166">
      <alignment horizontal="right" vertical="center"/>
    </xf>
    <xf numFmtId="4" fontId="58" fillId="0" borderId="166" applyFill="0" applyBorder="0" applyProtection="0">
      <alignment horizontal="right" vertical="center"/>
    </xf>
    <xf numFmtId="0" fontId="79" fillId="25" borderId="138" applyNumberFormat="0" applyAlignment="0" applyProtection="0"/>
    <xf numFmtId="0" fontId="110" fillId="57" borderId="163" applyNumberFormat="0" applyAlignment="0" applyProtection="0"/>
    <xf numFmtId="0" fontId="58" fillId="0" borderId="169">
      <alignment horizontal="left" vertical="center" wrapText="1" indent="2"/>
    </xf>
    <xf numFmtId="0" fontId="58" fillId="48" borderId="166"/>
    <xf numFmtId="0" fontId="58" fillId="0" borderId="166">
      <alignment horizontal="right" vertical="center"/>
    </xf>
    <xf numFmtId="0" fontId="58" fillId="48" borderId="166"/>
    <xf numFmtId="0" fontId="92" fillId="73" borderId="173" applyNumberFormat="0" applyFont="0" applyAlignment="0" applyProtection="0"/>
    <xf numFmtId="0" fontId="58" fillId="0" borderId="166">
      <alignment horizontal="right" vertical="center"/>
    </xf>
    <xf numFmtId="0" fontId="58" fillId="0" borderId="169">
      <alignment horizontal="left" vertical="center" wrapText="1" indent="2"/>
    </xf>
    <xf numFmtId="0" fontId="110" fillId="57" borderId="163" applyNumberFormat="0" applyAlignment="0" applyProtection="0"/>
    <xf numFmtId="4" fontId="87" fillId="47" borderId="166">
      <alignment horizontal="right" vertical="center"/>
    </xf>
    <xf numFmtId="0" fontId="58" fillId="14" borderId="169">
      <alignment horizontal="left" vertical="center" wrapText="1" indent="2"/>
    </xf>
    <xf numFmtId="0" fontId="114" fillId="70" borderId="162" applyNumberFormat="0" applyAlignment="0" applyProtection="0"/>
    <xf numFmtId="0" fontId="89" fillId="47" borderId="166">
      <alignment horizontal="right" vertical="center"/>
    </xf>
    <xf numFmtId="0" fontId="9" fillId="36" borderId="0" applyNumberFormat="0" applyBorder="0" applyAlignment="0" applyProtection="0"/>
    <xf numFmtId="0" fontId="101" fillId="57" borderId="163" applyNumberFormat="0" applyAlignment="0" applyProtection="0"/>
    <xf numFmtId="4" fontId="89" fillId="47" borderId="166">
      <alignment horizontal="right" vertical="center"/>
    </xf>
    <xf numFmtId="0" fontId="102" fillId="0" borderId="164" applyNumberFormat="0" applyFill="0" applyAlignment="0" applyProtection="0"/>
    <xf numFmtId="0" fontId="98" fillId="70" borderId="178" applyNumberFormat="0" applyAlignment="0" applyProtection="0"/>
    <xf numFmtId="0" fontId="102" fillId="0" borderId="172" applyNumberFormat="0" applyFill="0" applyAlignment="0" applyProtection="0"/>
    <xf numFmtId="0" fontId="82" fillId="31" borderId="0" applyNumberFormat="0" applyBorder="0" applyAlignment="0" applyProtection="0"/>
    <xf numFmtId="0" fontId="87" fillId="14" borderId="167">
      <alignment horizontal="right" vertical="center"/>
    </xf>
    <xf numFmtId="0" fontId="95" fillId="70" borderId="162" applyNumberFormat="0" applyAlignment="0" applyProtection="0"/>
    <xf numFmtId="0" fontId="9" fillId="42" borderId="0" applyNumberFormat="0" applyBorder="0" applyAlignment="0" applyProtection="0"/>
    <xf numFmtId="0" fontId="58" fillId="48" borderId="166"/>
    <xf numFmtId="4" fontId="89" fillId="47" borderId="166">
      <alignment horizontal="right" vertical="center"/>
    </xf>
    <xf numFmtId="0" fontId="89" fillId="47" borderId="166">
      <alignment horizontal="right" vertical="center"/>
    </xf>
    <xf numFmtId="0" fontId="114" fillId="70" borderId="162" applyNumberFormat="0" applyAlignment="0" applyProtection="0"/>
    <xf numFmtId="49" fontId="58" fillId="0" borderId="166" applyNumberFormat="0" applyFont="0" applyFill="0" applyBorder="0" applyProtection="0">
      <alignment horizontal="left" vertical="center" indent="2"/>
    </xf>
    <xf numFmtId="0" fontId="9" fillId="36" borderId="0" applyNumberFormat="0" applyBorder="0" applyAlignment="0" applyProtection="0"/>
    <xf numFmtId="0" fontId="102" fillId="0" borderId="164" applyNumberFormat="0" applyFill="0" applyAlignment="0" applyProtection="0"/>
    <xf numFmtId="0" fontId="9" fillId="39" borderId="0" applyNumberFormat="0" applyBorder="0" applyAlignment="0" applyProtection="0"/>
    <xf numFmtId="0" fontId="114" fillId="70" borderId="162" applyNumberFormat="0" applyAlignment="0" applyProtection="0"/>
    <xf numFmtId="4" fontId="58" fillId="48" borderId="166"/>
    <xf numFmtId="0" fontId="30" fillId="0" borderId="140" applyNumberFormat="0" applyFill="0" applyAlignment="0" applyProtection="0"/>
    <xf numFmtId="0" fontId="9" fillId="27" borderId="0" applyNumberFormat="0" applyBorder="0" applyAlignment="0" applyProtection="0"/>
    <xf numFmtId="0" fontId="87" fillId="14" borderId="168">
      <alignment horizontal="right" vertical="center"/>
    </xf>
    <xf numFmtId="0" fontId="87" fillId="14" borderId="182">
      <alignment horizontal="right" vertical="center"/>
    </xf>
    <xf numFmtId="0" fontId="95" fillId="70" borderId="162" applyNumberFormat="0" applyAlignment="0" applyProtection="0"/>
    <xf numFmtId="0" fontId="87" fillId="47" borderId="166">
      <alignment horizontal="right" vertical="center"/>
    </xf>
    <xf numFmtId="179" fontId="58" fillId="74" borderId="181" applyNumberFormat="0" applyFont="0" applyBorder="0" applyAlignment="0" applyProtection="0">
      <alignment horizontal="right" vertical="center"/>
    </xf>
    <xf numFmtId="4" fontId="87" fillId="14" borderId="182">
      <alignment horizontal="right" vertical="center"/>
    </xf>
    <xf numFmtId="4" fontId="58" fillId="0" borderId="166">
      <alignment horizontal="right" vertical="center"/>
    </xf>
    <xf numFmtId="0" fontId="58" fillId="47" borderId="175">
      <alignment horizontal="left" vertical="center"/>
    </xf>
    <xf numFmtId="49" fontId="58" fillId="0" borderId="166" applyNumberFormat="0" applyFont="0" applyFill="0" applyBorder="0" applyProtection="0">
      <alignment horizontal="left" vertical="center" indent="2"/>
    </xf>
    <xf numFmtId="0" fontId="58" fillId="14" borderId="169">
      <alignment horizontal="left" vertical="center" wrapText="1" indent="2"/>
    </xf>
    <xf numFmtId="4" fontId="87" fillId="14" borderId="166">
      <alignment horizontal="right" vertical="center"/>
    </xf>
    <xf numFmtId="0" fontId="80" fillId="0" borderId="0" applyNumberFormat="0" applyFill="0" applyBorder="0" applyAlignment="0" applyProtection="0"/>
    <xf numFmtId="4" fontId="58" fillId="48" borderId="166"/>
    <xf numFmtId="0" fontId="87" fillId="47" borderId="166">
      <alignment horizontal="right" vertical="center"/>
    </xf>
    <xf numFmtId="4" fontId="58" fillId="48" borderId="181"/>
    <xf numFmtId="0" fontId="82" fillId="28" borderId="0" applyNumberFormat="0" applyBorder="0" applyAlignment="0" applyProtection="0"/>
    <xf numFmtId="4" fontId="87" fillId="14" borderId="166">
      <alignment horizontal="right" vertical="center"/>
    </xf>
    <xf numFmtId="0" fontId="98" fillId="70" borderId="163" applyNumberFormat="0" applyAlignment="0" applyProtection="0"/>
    <xf numFmtId="0" fontId="92" fillId="73" borderId="165" applyNumberFormat="0" applyFont="0" applyAlignment="0" applyProtection="0"/>
    <xf numFmtId="0" fontId="117" fillId="0" borderId="164" applyNumberFormat="0" applyFill="0" applyAlignment="0" applyProtection="0"/>
    <xf numFmtId="0" fontId="117" fillId="0" borderId="164" applyNumberFormat="0" applyFill="0" applyAlignment="0" applyProtection="0"/>
    <xf numFmtId="4" fontId="87" fillId="14" borderId="167">
      <alignment horizontal="right" vertical="center"/>
    </xf>
    <xf numFmtId="0" fontId="82" fillId="43" borderId="0" applyNumberFormat="0" applyBorder="0" applyAlignment="0" applyProtection="0"/>
    <xf numFmtId="4" fontId="89" fillId="47" borderId="166">
      <alignment horizontal="right" vertical="center"/>
    </xf>
    <xf numFmtId="0" fontId="87" fillId="14" borderId="166">
      <alignment horizontal="right" vertical="center"/>
    </xf>
    <xf numFmtId="0" fontId="30" fillId="0" borderId="140" applyNumberFormat="0" applyFill="0" applyAlignment="0" applyProtection="0"/>
    <xf numFmtId="0" fontId="98" fillId="70" borderId="163" applyNumberFormat="0" applyAlignment="0" applyProtection="0"/>
    <xf numFmtId="4" fontId="87" fillId="14" borderId="183">
      <alignment horizontal="right" vertical="center"/>
    </xf>
    <xf numFmtId="0" fontId="9" fillId="33" borderId="0" applyNumberFormat="0" applyBorder="0" applyAlignment="0" applyProtection="0"/>
    <xf numFmtId="0" fontId="9" fillId="39" borderId="0" applyNumberFormat="0" applyBorder="0" applyAlignment="0" applyProtection="0"/>
    <xf numFmtId="0" fontId="97" fillId="70" borderId="163" applyNumberFormat="0" applyAlignment="0" applyProtection="0"/>
    <xf numFmtId="0" fontId="87" fillId="47" borderId="166">
      <alignment horizontal="right" vertical="center"/>
    </xf>
    <xf numFmtId="0" fontId="98" fillId="70" borderId="163" applyNumberFormat="0" applyAlignment="0" applyProtection="0"/>
    <xf numFmtId="4" fontId="58" fillId="0" borderId="166" applyFill="0" applyBorder="0" applyProtection="0">
      <alignment horizontal="right" vertical="center"/>
    </xf>
    <xf numFmtId="0" fontId="58" fillId="14" borderId="169">
      <alignment horizontal="left" vertical="center" wrapText="1" indent="2"/>
    </xf>
    <xf numFmtId="4" fontId="58" fillId="48" borderId="166"/>
    <xf numFmtId="0" fontId="79" fillId="25" borderId="138" applyNumberFormat="0" applyAlignment="0" applyProtection="0"/>
    <xf numFmtId="4" fontId="87" fillId="14" borderId="168">
      <alignment horizontal="right" vertical="center"/>
    </xf>
    <xf numFmtId="0" fontId="9" fillId="39" borderId="0" applyNumberFormat="0" applyBorder="0" applyAlignment="0" applyProtection="0"/>
    <xf numFmtId="0" fontId="82" fillId="40" borderId="0" applyNumberFormat="0" applyBorder="0" applyAlignment="0" applyProtection="0"/>
    <xf numFmtId="0" fontId="101" fillId="57" borderId="163" applyNumberFormat="0" applyAlignment="0" applyProtection="0"/>
    <xf numFmtId="0" fontId="114" fillId="70" borderId="170" applyNumberFormat="0" applyAlignment="0" applyProtection="0"/>
    <xf numFmtId="49" fontId="59" fillId="0" borderId="166" applyNumberFormat="0" applyFill="0" applyBorder="0" applyProtection="0">
      <alignment horizontal="left" vertical="center"/>
    </xf>
    <xf numFmtId="179" fontId="58" fillId="74" borderId="174" applyNumberFormat="0" applyFont="0" applyBorder="0" applyAlignment="0" applyProtection="0">
      <alignment horizontal="right" vertical="center"/>
    </xf>
    <xf numFmtId="0" fontId="58" fillId="48" borderId="174"/>
    <xf numFmtId="49" fontId="58" fillId="0" borderId="175" applyNumberFormat="0" applyFont="0" applyFill="0" applyBorder="0" applyProtection="0">
      <alignment horizontal="left" vertical="center" indent="5"/>
    </xf>
    <xf numFmtId="0" fontId="58" fillId="14" borderId="169">
      <alignment horizontal="left" vertical="center" wrapText="1" indent="2"/>
    </xf>
    <xf numFmtId="0" fontId="58" fillId="14" borderId="169">
      <alignment horizontal="left" vertical="center" wrapText="1" indent="2"/>
    </xf>
    <xf numFmtId="0" fontId="98" fillId="70" borderId="163" applyNumberFormat="0" applyAlignment="0" applyProtection="0"/>
    <xf numFmtId="0" fontId="82" fillId="28" borderId="0" applyNumberFormat="0" applyBorder="0" applyAlignment="0" applyProtection="0"/>
    <xf numFmtId="0" fontId="87" fillId="14" borderId="166">
      <alignment horizontal="right" vertical="center"/>
    </xf>
    <xf numFmtId="179" fontId="58" fillId="74" borderId="166" applyNumberFormat="0" applyFont="0" applyBorder="0" applyAlignment="0" applyProtection="0">
      <alignment horizontal="right" vertical="center"/>
    </xf>
    <xf numFmtId="0" fontId="9" fillId="42" borderId="0" applyNumberFormat="0" applyBorder="0" applyAlignment="0" applyProtection="0"/>
    <xf numFmtId="0" fontId="98" fillId="70" borderId="163" applyNumberFormat="0" applyAlignment="0" applyProtection="0"/>
    <xf numFmtId="0" fontId="9" fillId="33" borderId="0" applyNumberFormat="0" applyBorder="0" applyAlignment="0" applyProtection="0"/>
    <xf numFmtId="0" fontId="98" fillId="70" borderId="163" applyNumberFormat="0" applyAlignment="0" applyProtection="0"/>
    <xf numFmtId="0" fontId="114" fillId="70" borderId="162" applyNumberFormat="0" applyAlignment="0" applyProtection="0"/>
    <xf numFmtId="0" fontId="114" fillId="70" borderId="170" applyNumberFormat="0" applyAlignment="0" applyProtection="0"/>
    <xf numFmtId="0" fontId="117" fillId="0" borderId="164" applyNumberFormat="0" applyFill="0" applyAlignment="0" applyProtection="0"/>
    <xf numFmtId="4" fontId="87" fillId="14" borderId="181">
      <alignment horizontal="right" vertical="center"/>
    </xf>
    <xf numFmtId="0" fontId="87" fillId="47" borderId="166">
      <alignment horizontal="right" vertical="center"/>
    </xf>
    <xf numFmtId="0" fontId="114" fillId="70" borderId="162" applyNumberFormat="0" applyAlignment="0" applyProtection="0"/>
    <xf numFmtId="0" fontId="9" fillId="27" borderId="0" applyNumberFormat="0" applyBorder="0" applyAlignment="0" applyProtection="0"/>
    <xf numFmtId="4" fontId="89" fillId="47" borderId="166">
      <alignment horizontal="right" vertical="center"/>
    </xf>
    <xf numFmtId="4" fontId="87" fillId="47" borderId="166">
      <alignment horizontal="right" vertical="center"/>
    </xf>
    <xf numFmtId="0" fontId="87" fillId="14" borderId="174">
      <alignment horizontal="right" vertical="center"/>
    </xf>
    <xf numFmtId="0" fontId="117" fillId="0" borderId="179" applyNumberFormat="0" applyFill="0" applyAlignment="0" applyProtection="0"/>
    <xf numFmtId="0" fontId="58" fillId="0" borderId="166" applyNumberFormat="0" applyFill="0" applyAlignment="0" applyProtection="0"/>
    <xf numFmtId="4" fontId="87" fillId="47" borderId="166">
      <alignment horizontal="right" vertical="center"/>
    </xf>
    <xf numFmtId="0" fontId="114" fillId="70" borderId="170" applyNumberFormat="0" applyAlignment="0" applyProtection="0"/>
    <xf numFmtId="0" fontId="9" fillId="35" borderId="0" applyNumberFormat="0" applyBorder="0" applyAlignment="0" applyProtection="0"/>
    <xf numFmtId="0" fontId="102" fillId="0" borderId="164" applyNumberFormat="0" applyFill="0" applyAlignment="0" applyProtection="0"/>
    <xf numFmtId="0" fontId="9" fillId="29" borderId="0" applyNumberFormat="0" applyBorder="0" applyAlignment="0" applyProtection="0"/>
    <xf numFmtId="0" fontId="87" fillId="14" borderId="175">
      <alignment horizontal="right" vertical="center"/>
    </xf>
    <xf numFmtId="0" fontId="58" fillId="0" borderId="166" applyNumberFormat="0" applyFill="0" applyAlignment="0" applyProtection="0"/>
    <xf numFmtId="0" fontId="89" fillId="47" borderId="166">
      <alignment horizontal="right" vertical="center"/>
    </xf>
    <xf numFmtId="0" fontId="92" fillId="73" borderId="165" applyNumberFormat="0" applyFont="0" applyAlignment="0" applyProtection="0"/>
    <xf numFmtId="4" fontId="87" fillId="14" borderId="166">
      <alignment horizontal="right" vertical="center"/>
    </xf>
    <xf numFmtId="0" fontId="58" fillId="0" borderId="177">
      <alignment horizontal="left" vertical="center" wrapText="1" indent="2"/>
    </xf>
    <xf numFmtId="4" fontId="87" fillId="14" borderId="166">
      <alignment horizontal="right" vertical="center"/>
    </xf>
    <xf numFmtId="0" fontId="110" fillId="57" borderId="163" applyNumberFormat="0" applyAlignment="0" applyProtection="0"/>
    <xf numFmtId="4" fontId="89" fillId="47" borderId="166">
      <alignment horizontal="right" vertical="center"/>
    </xf>
    <xf numFmtId="0" fontId="92" fillId="73" borderId="165" applyNumberFormat="0" applyFont="0" applyAlignment="0" applyProtection="0"/>
    <xf numFmtId="0" fontId="58" fillId="0" borderId="166" applyNumberFormat="0" applyFill="0" applyAlignment="0" applyProtection="0"/>
    <xf numFmtId="0" fontId="87" fillId="14" borderId="168">
      <alignment horizontal="right" vertical="center"/>
    </xf>
    <xf numFmtId="0" fontId="87" fillId="14" borderId="181">
      <alignment horizontal="right" vertical="center"/>
    </xf>
    <xf numFmtId="49" fontId="58" fillId="0" borderId="174" applyNumberFormat="0" applyFont="0" applyFill="0" applyBorder="0" applyProtection="0">
      <alignment horizontal="left" vertical="center" indent="2"/>
    </xf>
    <xf numFmtId="4" fontId="87" fillId="14" borderId="166">
      <alignment horizontal="right" vertical="center"/>
    </xf>
    <xf numFmtId="0" fontId="95" fillId="70" borderId="162" applyNumberFormat="0" applyAlignment="0" applyProtection="0"/>
    <xf numFmtId="0" fontId="58" fillId="0" borderId="174" applyNumberFormat="0" applyFill="0" applyAlignment="0" applyProtection="0"/>
    <xf numFmtId="4" fontId="58" fillId="48" borderId="166"/>
    <xf numFmtId="0" fontId="101" fillId="57" borderId="163" applyNumberFormat="0" applyAlignment="0" applyProtection="0"/>
    <xf numFmtId="0" fontId="98" fillId="70" borderId="163" applyNumberFormat="0" applyAlignment="0" applyProtection="0"/>
    <xf numFmtId="0" fontId="58" fillId="47" borderId="167">
      <alignment horizontal="left" vertical="center"/>
    </xf>
    <xf numFmtId="0" fontId="101" fillId="57" borderId="163" applyNumberFormat="0" applyAlignment="0" applyProtection="0"/>
    <xf numFmtId="0" fontId="89" fillId="47" borderId="166">
      <alignment horizontal="right" vertical="center"/>
    </xf>
    <xf numFmtId="0" fontId="87" fillId="14" borderId="166">
      <alignment horizontal="right" vertical="center"/>
    </xf>
    <xf numFmtId="0" fontId="58" fillId="47" borderId="167">
      <alignment horizontal="left" vertical="center"/>
    </xf>
    <xf numFmtId="0" fontId="39" fillId="73" borderId="165" applyNumberFormat="0" applyFont="0" applyAlignment="0" applyProtection="0"/>
    <xf numFmtId="0" fontId="82" fillId="40" borderId="0" applyNumberFormat="0" applyBorder="0" applyAlignment="0" applyProtection="0"/>
    <xf numFmtId="0" fontId="114" fillId="70" borderId="162" applyNumberFormat="0" applyAlignment="0" applyProtection="0"/>
    <xf numFmtId="0" fontId="9" fillId="39" borderId="0" applyNumberFormat="0" applyBorder="0" applyAlignment="0" applyProtection="0"/>
    <xf numFmtId="0" fontId="97" fillId="70" borderId="163" applyNumberFormat="0" applyAlignment="0" applyProtection="0"/>
    <xf numFmtId="0" fontId="110" fillId="57" borderId="163" applyNumberFormat="0" applyAlignment="0" applyProtection="0"/>
    <xf numFmtId="0" fontId="9" fillId="30" borderId="0" applyNumberFormat="0" applyBorder="0" applyAlignment="0" applyProtection="0"/>
    <xf numFmtId="0" fontId="98" fillId="70" borderId="163" applyNumberFormat="0" applyAlignment="0" applyProtection="0"/>
    <xf numFmtId="0" fontId="78" fillId="25" borderId="139" applyNumberFormat="0" applyAlignment="0" applyProtection="0"/>
    <xf numFmtId="0" fontId="9" fillId="32" borderId="0" applyNumberFormat="0" applyBorder="0" applyAlignment="0" applyProtection="0"/>
    <xf numFmtId="49" fontId="59" fillId="0" borderId="166" applyNumberFormat="0" applyFill="0" applyBorder="0" applyProtection="0">
      <alignment horizontal="left" vertical="center"/>
    </xf>
    <xf numFmtId="0" fontId="98" fillId="70" borderId="163" applyNumberFormat="0" applyAlignment="0" applyProtection="0"/>
    <xf numFmtId="0" fontId="97" fillId="70" borderId="163" applyNumberFormat="0" applyAlignment="0" applyProtection="0"/>
    <xf numFmtId="4" fontId="87" fillId="14" borderId="175">
      <alignment horizontal="right" vertical="center"/>
    </xf>
    <xf numFmtId="4" fontId="87" fillId="14" borderId="167">
      <alignment horizontal="right" vertical="center"/>
    </xf>
    <xf numFmtId="49" fontId="59" fillId="0" borderId="166" applyNumberFormat="0" applyFill="0" applyBorder="0" applyProtection="0">
      <alignment horizontal="left" vertical="center"/>
    </xf>
    <xf numFmtId="0" fontId="9" fillId="35" borderId="0" applyNumberFormat="0" applyBorder="0" applyAlignment="0" applyProtection="0"/>
    <xf numFmtId="0" fontId="58" fillId="14" borderId="184">
      <alignment horizontal="left" vertical="center" wrapText="1" indent="2"/>
    </xf>
    <xf numFmtId="0" fontId="82" fillId="43" borderId="0" applyNumberFormat="0" applyBorder="0" applyAlignment="0" applyProtection="0"/>
    <xf numFmtId="0" fontId="87" fillId="47" borderId="166">
      <alignment horizontal="right" vertical="center"/>
    </xf>
    <xf numFmtId="0" fontId="9" fillId="29" borderId="0" applyNumberFormat="0" applyBorder="0" applyAlignment="0" applyProtection="0"/>
    <xf numFmtId="0" fontId="9" fillId="42" borderId="0" applyNumberFormat="0" applyBorder="0" applyAlignment="0" applyProtection="0"/>
    <xf numFmtId="0" fontId="110" fillId="57" borderId="163" applyNumberFormat="0" applyAlignment="0" applyProtection="0"/>
    <xf numFmtId="0" fontId="117" fillId="0" borderId="172" applyNumberFormat="0" applyFill="0" applyAlignment="0" applyProtection="0"/>
    <xf numFmtId="4" fontId="87" fillId="14" borderId="176">
      <alignment horizontal="right" vertical="center"/>
    </xf>
    <xf numFmtId="4" fontId="87" fillId="14" borderId="167">
      <alignment horizontal="right" vertical="center"/>
    </xf>
    <xf numFmtId="4" fontId="87" fillId="14" borderId="174">
      <alignment horizontal="right" vertical="center"/>
    </xf>
    <xf numFmtId="0" fontId="87" fillId="14" borderId="166">
      <alignment horizontal="right" vertical="center"/>
    </xf>
    <xf numFmtId="179" fontId="58" fillId="74" borderId="166" applyNumberFormat="0" applyFont="0" applyBorder="0" applyAlignment="0" applyProtection="0">
      <alignment horizontal="right" vertical="center"/>
    </xf>
    <xf numFmtId="0" fontId="101" fillId="57" borderId="163" applyNumberFormat="0" applyAlignment="0" applyProtection="0"/>
    <xf numFmtId="0" fontId="9" fillId="27" borderId="0" applyNumberFormat="0" applyBorder="0" applyAlignment="0" applyProtection="0"/>
    <xf numFmtId="0" fontId="102" fillId="0" borderId="164" applyNumberFormat="0" applyFill="0" applyAlignment="0" applyProtection="0"/>
    <xf numFmtId="0" fontId="117" fillId="0" borderId="164" applyNumberFormat="0" applyFill="0" applyAlignment="0" applyProtection="0"/>
    <xf numFmtId="0" fontId="58" fillId="0" borderId="166" applyNumberFormat="0" applyFill="0" applyAlignment="0" applyProtection="0"/>
    <xf numFmtId="0" fontId="58" fillId="0" borderId="166">
      <alignment horizontal="right" vertical="center"/>
    </xf>
    <xf numFmtId="0" fontId="9" fillId="26" borderId="0" applyNumberFormat="0" applyBorder="0" applyAlignment="0" applyProtection="0"/>
    <xf numFmtId="179" fontId="58" fillId="74" borderId="166" applyNumberFormat="0" applyFont="0" applyBorder="0" applyAlignment="0" applyProtection="0">
      <alignment horizontal="right" vertical="center"/>
    </xf>
    <xf numFmtId="0" fontId="81" fillId="0" borderId="0" applyNumberFormat="0" applyFill="0" applyBorder="0" applyAlignment="0" applyProtection="0"/>
    <xf numFmtId="0" fontId="58" fillId="0" borderId="184">
      <alignment horizontal="left" vertical="center" wrapText="1" indent="2"/>
    </xf>
    <xf numFmtId="0" fontId="87" fillId="14" borderId="176">
      <alignment horizontal="right" vertical="center"/>
    </xf>
    <xf numFmtId="0" fontId="110" fillId="57" borderId="178" applyNumberFormat="0" applyAlignment="0" applyProtection="0"/>
    <xf numFmtId="0" fontId="82" fillId="31" borderId="0" applyNumberFormat="0" applyBorder="0" applyAlignment="0" applyProtection="0"/>
    <xf numFmtId="4" fontId="87" fillId="14" borderId="174">
      <alignment horizontal="right" vertical="center"/>
    </xf>
    <xf numFmtId="0" fontId="82" fillId="34" borderId="0" applyNumberFormat="0" applyBorder="0" applyAlignment="0" applyProtection="0"/>
    <xf numFmtId="0" fontId="102" fillId="0" borderId="164" applyNumberFormat="0" applyFill="0" applyAlignment="0" applyProtection="0"/>
    <xf numFmtId="4" fontId="87" fillId="14" borderId="168">
      <alignment horizontal="right" vertical="center"/>
    </xf>
    <xf numFmtId="0" fontId="58" fillId="0" borderId="166">
      <alignment horizontal="right" vertical="center"/>
    </xf>
    <xf numFmtId="0" fontId="92" fillId="73" borderId="165" applyNumberFormat="0" applyFont="0" applyAlignment="0" applyProtection="0"/>
    <xf numFmtId="0" fontId="58" fillId="0" borderId="174">
      <alignment horizontal="right" vertical="center"/>
    </xf>
    <xf numFmtId="0" fontId="9" fillId="38" borderId="0" applyNumberFormat="0" applyBorder="0" applyAlignment="0" applyProtection="0"/>
    <xf numFmtId="0" fontId="30" fillId="0" borderId="140" applyNumberFormat="0" applyFill="0" applyAlignment="0" applyProtection="0"/>
    <xf numFmtId="0" fontId="92" fillId="73" borderId="165" applyNumberFormat="0" applyFont="0" applyAlignment="0" applyProtection="0"/>
    <xf numFmtId="0" fontId="9" fillId="26" borderId="0" applyNumberFormat="0" applyBorder="0" applyAlignment="0" applyProtection="0"/>
    <xf numFmtId="0" fontId="82" fillId="31" borderId="0" applyNumberFormat="0" applyBorder="0" applyAlignment="0" applyProtection="0"/>
    <xf numFmtId="0" fontId="117" fillId="0" borderId="172" applyNumberFormat="0" applyFill="0" applyAlignment="0" applyProtection="0"/>
    <xf numFmtId="0" fontId="58" fillId="0" borderId="166" applyNumberFormat="0" applyFill="0" applyAlignment="0" applyProtection="0"/>
    <xf numFmtId="0" fontId="9" fillId="30" borderId="0" applyNumberFormat="0" applyBorder="0" applyAlignment="0" applyProtection="0"/>
    <xf numFmtId="0" fontId="58" fillId="0" borderId="177">
      <alignment horizontal="left" vertical="center" wrapText="1" indent="2"/>
    </xf>
    <xf numFmtId="0" fontId="87" fillId="14" borderId="174">
      <alignment horizontal="right" vertical="center"/>
    </xf>
    <xf numFmtId="4" fontId="58" fillId="0" borderId="166" applyFill="0" applyBorder="0" applyProtection="0">
      <alignment horizontal="right" vertical="center"/>
    </xf>
    <xf numFmtId="0" fontId="87" fillId="47" borderId="174">
      <alignment horizontal="right" vertical="center"/>
    </xf>
    <xf numFmtId="0" fontId="82" fillId="37" borderId="0" applyNumberFormat="0" applyBorder="0" applyAlignment="0" applyProtection="0"/>
    <xf numFmtId="0" fontId="9" fillId="38" borderId="0" applyNumberFormat="0" applyBorder="0" applyAlignment="0" applyProtection="0"/>
    <xf numFmtId="0" fontId="58" fillId="14" borderId="177">
      <alignment horizontal="left" vertical="center" wrapText="1" indent="2"/>
    </xf>
    <xf numFmtId="0" fontId="89" fillId="47" borderId="166">
      <alignment horizontal="right" vertical="center"/>
    </xf>
    <xf numFmtId="0" fontId="101" fillId="57" borderId="163" applyNumberFormat="0" applyAlignment="0" applyProtection="0"/>
    <xf numFmtId="179" fontId="58" fillId="74" borderId="166" applyNumberFormat="0" applyFont="0" applyBorder="0" applyAlignment="0" applyProtection="0">
      <alignment horizontal="right" vertical="center"/>
    </xf>
    <xf numFmtId="0" fontId="101" fillId="57" borderId="163" applyNumberFormat="0" applyAlignment="0" applyProtection="0"/>
    <xf numFmtId="4" fontId="58" fillId="0" borderId="166">
      <alignment horizontal="right" vertical="center"/>
    </xf>
    <xf numFmtId="49" fontId="58" fillId="0" borderId="166" applyNumberFormat="0" applyFont="0" applyFill="0" applyBorder="0" applyProtection="0">
      <alignment horizontal="left" vertical="center" indent="2"/>
    </xf>
    <xf numFmtId="179" fontId="58" fillId="74" borderId="166" applyNumberFormat="0" applyFont="0" applyBorder="0" applyAlignment="0" applyProtection="0">
      <alignment horizontal="right" vertical="center"/>
    </xf>
    <xf numFmtId="0" fontId="110" fillId="57" borderId="178" applyNumberFormat="0" applyAlignment="0" applyProtection="0"/>
    <xf numFmtId="49" fontId="59" fillId="0" borderId="166" applyNumberFormat="0" applyFill="0" applyBorder="0" applyProtection="0">
      <alignment horizontal="left" vertical="center"/>
    </xf>
    <xf numFmtId="4" fontId="87" fillId="14" borderId="166">
      <alignment horizontal="right" vertical="center"/>
    </xf>
    <xf numFmtId="4" fontId="58" fillId="0" borderId="181">
      <alignment horizontal="right" vertical="center"/>
    </xf>
    <xf numFmtId="0" fontId="101" fillId="57" borderId="163" applyNumberFormat="0" applyAlignment="0" applyProtection="0"/>
    <xf numFmtId="0" fontId="98" fillId="70" borderId="163" applyNumberFormat="0" applyAlignment="0" applyProtection="0"/>
    <xf numFmtId="4" fontId="58" fillId="0" borderId="166">
      <alignment horizontal="right" vertical="center"/>
    </xf>
    <xf numFmtId="0" fontId="58" fillId="14" borderId="169">
      <alignment horizontal="left" vertical="center" wrapText="1" indent="2"/>
    </xf>
    <xf numFmtId="0" fontId="58" fillId="0" borderId="169">
      <alignment horizontal="left" vertical="center" wrapText="1" indent="2"/>
    </xf>
    <xf numFmtId="0" fontId="114" fillId="70" borderId="162" applyNumberFormat="0" applyAlignment="0" applyProtection="0"/>
    <xf numFmtId="0" fontId="110" fillId="57" borderId="163" applyNumberFormat="0" applyAlignment="0" applyProtection="0"/>
    <xf numFmtId="0" fontId="97" fillId="70" borderId="163" applyNumberFormat="0" applyAlignment="0" applyProtection="0"/>
    <xf numFmtId="0" fontId="95" fillId="70" borderId="162" applyNumberFormat="0" applyAlignment="0" applyProtection="0"/>
    <xf numFmtId="0" fontId="87" fillId="14" borderId="168">
      <alignment horizontal="right" vertical="center"/>
    </xf>
    <xf numFmtId="0" fontId="89" fillId="47" borderId="166">
      <alignment horizontal="right" vertical="center"/>
    </xf>
    <xf numFmtId="4" fontId="87" fillId="47" borderId="166">
      <alignment horizontal="right" vertical="center"/>
    </xf>
    <xf numFmtId="4" fontId="87" fillId="14" borderId="166">
      <alignment horizontal="right" vertical="center"/>
    </xf>
    <xf numFmtId="49" fontId="58" fillId="0" borderId="167" applyNumberFormat="0" applyFont="0" applyFill="0" applyBorder="0" applyProtection="0">
      <alignment horizontal="left" vertical="center" indent="5"/>
    </xf>
    <xf numFmtId="4" fontId="58" fillId="0" borderId="166" applyFill="0" applyBorder="0" applyProtection="0">
      <alignment horizontal="right" vertical="center"/>
    </xf>
    <xf numFmtId="4" fontId="87" fillId="47" borderId="166">
      <alignment horizontal="right" vertical="center"/>
    </xf>
    <xf numFmtId="0" fontId="110" fillId="57" borderId="163" applyNumberFormat="0" applyAlignment="0" applyProtection="0"/>
    <xf numFmtId="0" fontId="101" fillId="57" borderId="163" applyNumberFormat="0" applyAlignment="0" applyProtection="0"/>
    <xf numFmtId="0" fontId="97" fillId="70" borderId="163" applyNumberFormat="0" applyAlignment="0" applyProtection="0"/>
    <xf numFmtId="0" fontId="58" fillId="14" borderId="169">
      <alignment horizontal="left" vertical="center" wrapText="1" indent="2"/>
    </xf>
    <xf numFmtId="0" fontId="58" fillId="0" borderId="169">
      <alignment horizontal="left" vertical="center" wrapText="1" indent="2"/>
    </xf>
    <xf numFmtId="0" fontId="58" fillId="14" borderId="169">
      <alignment horizontal="left" vertical="center" wrapText="1" indent="2"/>
    </xf>
    <xf numFmtId="0" fontId="9" fillId="29" borderId="0" applyNumberFormat="0" applyBorder="0" applyAlignment="0" applyProtection="0"/>
    <xf numFmtId="0" fontId="9" fillId="41" borderId="0" applyNumberFormat="0" applyBorder="0" applyAlignment="0" applyProtection="0"/>
    <xf numFmtId="0" fontId="9" fillId="42" borderId="0" applyNumberFormat="0" applyBorder="0" applyAlignment="0" applyProtection="0"/>
    <xf numFmtId="0" fontId="9" fillId="35" borderId="0" applyNumberFormat="0" applyBorder="0" applyAlignment="0" applyProtection="0"/>
    <xf numFmtId="0" fontId="9" fillId="38" borderId="0" applyNumberFormat="0" applyBorder="0" applyAlignment="0" applyProtection="0"/>
    <xf numFmtId="0" fontId="9" fillId="36"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82" fillId="31" borderId="0" applyNumberFormat="0" applyBorder="0" applyAlignment="0" applyProtection="0"/>
    <xf numFmtId="0" fontId="30" fillId="0" borderId="140" applyNumberFormat="0" applyFill="0" applyAlignment="0" applyProtection="0"/>
    <xf numFmtId="0" fontId="87" fillId="14" borderId="181">
      <alignment horizontal="right" vertical="center"/>
    </xf>
    <xf numFmtId="0" fontId="87" fillId="47" borderId="181">
      <alignment horizontal="right" vertical="center"/>
    </xf>
    <xf numFmtId="4" fontId="87" fillId="14" borderId="174">
      <alignment horizontal="right" vertical="center"/>
    </xf>
    <xf numFmtId="0" fontId="58" fillId="48" borderId="174"/>
    <xf numFmtId="0" fontId="97" fillId="70" borderId="171" applyNumberFormat="0" applyAlignment="0" applyProtection="0"/>
    <xf numFmtId="0" fontId="87" fillId="47" borderId="174">
      <alignment horizontal="right" vertical="center"/>
    </xf>
    <xf numFmtId="0" fontId="58" fillId="0" borderId="174">
      <alignment horizontal="right" vertical="center"/>
    </xf>
    <xf numFmtId="0" fontId="117" fillId="0" borderId="172" applyNumberFormat="0" applyFill="0" applyAlignment="0" applyProtection="0"/>
    <xf numFmtId="0" fontId="58" fillId="47" borderId="175">
      <alignment horizontal="left" vertical="center"/>
    </xf>
    <xf numFmtId="0" fontId="110" fillId="57" borderId="171" applyNumberFormat="0" applyAlignment="0" applyProtection="0"/>
    <xf numFmtId="179" fontId="58" fillId="74" borderId="174" applyNumberFormat="0" applyFont="0" applyBorder="0" applyAlignment="0" applyProtection="0">
      <alignment horizontal="right" vertical="center"/>
    </xf>
    <xf numFmtId="0" fontId="92" fillId="73" borderId="173" applyNumberFormat="0" applyFont="0" applyAlignment="0" applyProtection="0"/>
    <xf numFmtId="0" fontId="58" fillId="0" borderId="177">
      <alignment horizontal="left" vertical="center" wrapText="1" indent="2"/>
    </xf>
    <xf numFmtId="4" fontId="58" fillId="48" borderId="174"/>
    <xf numFmtId="49" fontId="59" fillId="0" borderId="174" applyNumberFormat="0" applyFill="0" applyBorder="0" applyProtection="0">
      <alignment horizontal="left" vertical="center"/>
    </xf>
    <xf numFmtId="0" fontId="58" fillId="0" borderId="174">
      <alignment horizontal="right" vertical="center"/>
    </xf>
    <xf numFmtId="4" fontId="87" fillId="14" borderId="176">
      <alignment horizontal="right" vertical="center"/>
    </xf>
    <xf numFmtId="4" fontId="87" fillId="14" borderId="174">
      <alignment horizontal="right" vertical="center"/>
    </xf>
    <xf numFmtId="4" fontId="87" fillId="14" borderId="174">
      <alignment horizontal="right" vertical="center"/>
    </xf>
    <xf numFmtId="0" fontId="89" fillId="47" borderId="174">
      <alignment horizontal="right" vertical="center"/>
    </xf>
    <xf numFmtId="0" fontId="87" fillId="47" borderId="174">
      <alignment horizontal="right" vertical="center"/>
    </xf>
    <xf numFmtId="49" fontId="58" fillId="0" borderId="174" applyNumberFormat="0" applyFont="0" applyFill="0" applyBorder="0" applyProtection="0">
      <alignment horizontal="left" vertical="center" indent="2"/>
    </xf>
    <xf numFmtId="0" fontId="110" fillId="57" borderId="171" applyNumberFormat="0" applyAlignment="0" applyProtection="0"/>
    <xf numFmtId="0" fontId="95" fillId="70" borderId="170" applyNumberFormat="0" applyAlignment="0" applyProtection="0"/>
    <xf numFmtId="49" fontId="58" fillId="0" borderId="174" applyNumberFormat="0" applyFont="0" applyFill="0" applyBorder="0" applyProtection="0">
      <alignment horizontal="left" vertical="center" indent="2"/>
    </xf>
    <xf numFmtId="0" fontId="101" fillId="57" borderId="171" applyNumberFormat="0" applyAlignment="0" applyProtection="0"/>
    <xf numFmtId="4" fontId="58" fillId="0" borderId="174" applyFill="0" applyBorder="0" applyProtection="0">
      <alignment horizontal="right" vertical="center"/>
    </xf>
    <xf numFmtId="0" fontId="98" fillId="70" borderId="171" applyNumberFormat="0" applyAlignment="0" applyProtection="0"/>
    <xf numFmtId="0" fontId="117" fillId="0" borderId="172" applyNumberFormat="0" applyFill="0" applyAlignment="0" applyProtection="0"/>
    <xf numFmtId="0" fontId="114" fillId="70" borderId="170" applyNumberFormat="0" applyAlignment="0" applyProtection="0"/>
    <xf numFmtId="0" fontId="58" fillId="0" borderId="174" applyNumberFormat="0" applyFill="0" applyAlignment="0" applyProtection="0"/>
    <xf numFmtId="4" fontId="58" fillId="0" borderId="174">
      <alignment horizontal="right" vertical="center"/>
    </xf>
    <xf numFmtId="0" fontId="58" fillId="0" borderId="174">
      <alignment horizontal="right" vertical="center"/>
    </xf>
    <xf numFmtId="0" fontId="110" fillId="57" borderId="171" applyNumberFormat="0" applyAlignment="0" applyProtection="0"/>
    <xf numFmtId="0" fontId="95" fillId="70" borderId="170" applyNumberFormat="0" applyAlignment="0" applyProtection="0"/>
    <xf numFmtId="0" fontId="97" fillId="70" borderId="171" applyNumberFormat="0" applyAlignment="0" applyProtection="0"/>
    <xf numFmtId="0" fontId="58" fillId="14" borderId="177">
      <alignment horizontal="left" vertical="center" wrapText="1" indent="2"/>
    </xf>
    <xf numFmtId="0" fontId="98" fillId="70" borderId="171" applyNumberFormat="0" applyAlignment="0" applyProtection="0"/>
    <xf numFmtId="0" fontId="98" fillId="70" borderId="171" applyNumberFormat="0" applyAlignment="0" applyProtection="0"/>
    <xf numFmtId="4" fontId="87" fillId="14" borderId="175">
      <alignment horizontal="right" vertical="center"/>
    </xf>
    <xf numFmtId="0" fontId="87" fillId="14" borderId="175">
      <alignment horizontal="right" vertical="center"/>
    </xf>
    <xf numFmtId="0" fontId="87" fillId="14" borderId="174">
      <alignment horizontal="right" vertical="center"/>
    </xf>
    <xf numFmtId="4" fontId="89" fillId="47" borderId="174">
      <alignment horizontal="right" vertical="center"/>
    </xf>
    <xf numFmtId="0" fontId="101" fillId="57" borderId="171" applyNumberFormat="0" applyAlignment="0" applyProtection="0"/>
    <xf numFmtId="0" fontId="102" fillId="0" borderId="172" applyNumberFormat="0" applyFill="0" applyAlignment="0" applyProtection="0"/>
    <xf numFmtId="0" fontId="117" fillId="0" borderId="172" applyNumberFormat="0" applyFill="0" applyAlignment="0" applyProtection="0"/>
    <xf numFmtId="0" fontId="92" fillId="73" borderId="173" applyNumberFormat="0" applyFont="0" applyAlignment="0" applyProtection="0"/>
    <xf numFmtId="0" fontId="110" fillId="57" borderId="171" applyNumberFormat="0" applyAlignment="0" applyProtection="0"/>
    <xf numFmtId="49" fontId="59" fillId="0" borderId="174" applyNumberFormat="0" applyFill="0" applyBorder="0" applyProtection="0">
      <alignment horizontal="left" vertical="center"/>
    </xf>
    <xf numFmtId="0" fontId="58" fillId="14" borderId="177">
      <alignment horizontal="left" vertical="center" wrapText="1" indent="2"/>
    </xf>
    <xf numFmtId="0" fontId="98" fillId="70" borderId="171" applyNumberFormat="0" applyAlignment="0" applyProtection="0"/>
    <xf numFmtId="0" fontId="58" fillId="0" borderId="177">
      <alignment horizontal="left" vertical="center" wrapText="1" indent="2"/>
    </xf>
    <xf numFmtId="0" fontId="92" fillId="73" borderId="173" applyNumberFormat="0" applyFont="0" applyAlignment="0" applyProtection="0"/>
    <xf numFmtId="0" fontId="39" fillId="73" borderId="173" applyNumberFormat="0" applyFont="0" applyAlignment="0" applyProtection="0"/>
    <xf numFmtId="0" fontId="114" fillId="70" borderId="170" applyNumberFormat="0" applyAlignment="0" applyProtection="0"/>
    <xf numFmtId="0" fontId="117" fillId="0" borderId="172" applyNumberFormat="0" applyFill="0" applyAlignment="0" applyProtection="0"/>
    <xf numFmtId="4" fontId="58" fillId="48" borderId="174"/>
    <xf numFmtId="0" fontId="87" fillId="14" borderId="174">
      <alignment horizontal="right" vertical="center"/>
    </xf>
    <xf numFmtId="0" fontId="117" fillId="0" borderId="172" applyNumberFormat="0" applyFill="0" applyAlignment="0" applyProtection="0"/>
    <xf numFmtId="4" fontId="87" fillId="14" borderId="176">
      <alignment horizontal="right" vertical="center"/>
    </xf>
    <xf numFmtId="0" fontId="97" fillId="70" borderId="171" applyNumberFormat="0" applyAlignment="0" applyProtection="0"/>
    <xf numFmtId="0" fontId="87" fillId="14" borderId="175">
      <alignment horizontal="right" vertical="center"/>
    </xf>
    <xf numFmtId="0" fontId="98" fillId="70" borderId="171" applyNumberFormat="0" applyAlignment="0" applyProtection="0"/>
    <xf numFmtId="0" fontId="102" fillId="0" borderId="172" applyNumberFormat="0" applyFill="0" applyAlignment="0" applyProtection="0"/>
    <xf numFmtId="0" fontId="92" fillId="73" borderId="173" applyNumberFormat="0" applyFont="0" applyAlignment="0" applyProtection="0"/>
    <xf numFmtId="4" fontId="87" fillId="14" borderId="175">
      <alignment horizontal="right" vertical="center"/>
    </xf>
    <xf numFmtId="0" fontId="58" fillId="14" borderId="177">
      <alignment horizontal="left" vertical="center" wrapText="1" indent="2"/>
    </xf>
    <xf numFmtId="0" fontId="58" fillId="48" borderId="174"/>
    <xf numFmtId="179" fontId="58" fillId="74" borderId="174" applyNumberFormat="0" applyFont="0" applyBorder="0" applyAlignment="0" applyProtection="0">
      <alignment horizontal="right" vertical="center"/>
    </xf>
    <xf numFmtId="0" fontId="58" fillId="0" borderId="174" applyNumberFormat="0" applyFill="0" applyAlignment="0" applyProtection="0"/>
    <xf numFmtId="4" fontId="58" fillId="0" borderId="174" applyFill="0" applyBorder="0" applyProtection="0">
      <alignment horizontal="right" vertical="center"/>
    </xf>
    <xf numFmtId="4" fontId="87" fillId="47" borderId="174">
      <alignment horizontal="right" vertical="center"/>
    </xf>
    <xf numFmtId="0" fontId="102" fillId="0" borderId="172" applyNumberFormat="0" applyFill="0" applyAlignment="0" applyProtection="0"/>
    <xf numFmtId="49" fontId="59" fillId="0" borderId="174" applyNumberFormat="0" applyFill="0" applyBorder="0" applyProtection="0">
      <alignment horizontal="left" vertical="center"/>
    </xf>
    <xf numFmtId="49" fontId="58" fillId="0" borderId="175" applyNumberFormat="0" applyFont="0" applyFill="0" applyBorder="0" applyProtection="0">
      <alignment horizontal="left" vertical="center" indent="5"/>
    </xf>
    <xf numFmtId="0" fontId="58" fillId="47" borderId="175">
      <alignment horizontal="left" vertical="center"/>
    </xf>
    <xf numFmtId="0" fontId="98" fillId="70" borderId="171" applyNumberFormat="0" applyAlignment="0" applyProtection="0"/>
    <xf numFmtId="4" fontId="87" fillId="14" borderId="176">
      <alignment horizontal="right" vertical="center"/>
    </xf>
    <xf numFmtId="0" fontId="110" fillId="57" borderId="171" applyNumberFormat="0" applyAlignment="0" applyProtection="0"/>
    <xf numFmtId="0" fontId="110" fillId="57" borderId="171" applyNumberFormat="0" applyAlignment="0" applyProtection="0"/>
    <xf numFmtId="0" fontId="92" fillId="73" borderId="173" applyNumberFormat="0" applyFont="0" applyAlignment="0" applyProtection="0"/>
    <xf numFmtId="0" fontId="114" fillId="70" borderId="170" applyNumberFormat="0" applyAlignment="0" applyProtection="0"/>
    <xf numFmtId="0" fontId="117" fillId="0" borderId="172" applyNumberFormat="0" applyFill="0" applyAlignment="0" applyProtection="0"/>
    <xf numFmtId="0" fontId="87" fillId="14" borderId="174">
      <alignment horizontal="right" vertical="center"/>
    </xf>
    <xf numFmtId="0" fontId="39" fillId="73" borderId="173" applyNumberFormat="0" applyFont="0" applyAlignment="0" applyProtection="0"/>
    <xf numFmtId="4" fontId="58" fillId="0" borderId="174">
      <alignment horizontal="right" vertical="center"/>
    </xf>
    <xf numFmtId="0" fontId="117" fillId="0" borderId="172" applyNumberFormat="0" applyFill="0" applyAlignment="0" applyProtection="0"/>
    <xf numFmtId="0" fontId="87" fillId="14" borderId="174">
      <alignment horizontal="right" vertical="center"/>
    </xf>
    <xf numFmtId="0" fontId="87" fillId="14" borderId="174">
      <alignment horizontal="right" vertical="center"/>
    </xf>
    <xf numFmtId="4" fontId="89" fillId="47" borderId="174">
      <alignment horizontal="right" vertical="center"/>
    </xf>
    <xf numFmtId="0" fontId="87" fillId="47" borderId="174">
      <alignment horizontal="right" vertical="center"/>
    </xf>
    <xf numFmtId="4" fontId="87" fillId="47" borderId="174">
      <alignment horizontal="right" vertical="center"/>
    </xf>
    <xf numFmtId="0" fontId="89" fillId="47" borderId="174">
      <alignment horizontal="right" vertical="center"/>
    </xf>
    <xf numFmtId="4" fontId="89" fillId="47" borderId="174">
      <alignment horizontal="right" vertical="center"/>
    </xf>
    <xf numFmtId="0" fontId="87" fillId="14" borderId="174">
      <alignment horizontal="right" vertical="center"/>
    </xf>
    <xf numFmtId="4" fontId="87" fillId="14" borderId="174">
      <alignment horizontal="right" vertical="center"/>
    </xf>
    <xf numFmtId="0" fontId="87" fillId="14" borderId="174">
      <alignment horizontal="right" vertical="center"/>
    </xf>
    <xf numFmtId="4" fontId="87" fillId="14" borderId="174">
      <alignment horizontal="right" vertical="center"/>
    </xf>
    <xf numFmtId="0" fontId="87" fillId="14" borderId="175">
      <alignment horizontal="right" vertical="center"/>
    </xf>
    <xf numFmtId="4" fontId="87" fillId="14" borderId="175">
      <alignment horizontal="right" vertical="center"/>
    </xf>
    <xf numFmtId="0" fontId="87" fillId="14" borderId="176">
      <alignment horizontal="right" vertical="center"/>
    </xf>
    <xf numFmtId="4" fontId="87" fillId="14" borderId="176">
      <alignment horizontal="right" vertical="center"/>
    </xf>
    <xf numFmtId="0" fontId="98" fillId="70" borderId="171" applyNumberFormat="0" applyAlignment="0" applyProtection="0"/>
    <xf numFmtId="0" fontId="58" fillId="14" borderId="177">
      <alignment horizontal="left" vertical="center" wrapText="1" indent="2"/>
    </xf>
    <xf numFmtId="0" fontId="58" fillId="0" borderId="177">
      <alignment horizontal="left" vertical="center" wrapText="1" indent="2"/>
    </xf>
    <xf numFmtId="0" fontId="58" fillId="47" borderId="175">
      <alignment horizontal="left" vertical="center"/>
    </xf>
    <xf numFmtId="0" fontId="110" fillId="57" borderId="171" applyNumberFormat="0" applyAlignment="0" applyProtection="0"/>
    <xf numFmtId="0" fontId="58" fillId="0" borderId="174">
      <alignment horizontal="right" vertical="center"/>
    </xf>
    <xf numFmtId="4" fontId="58" fillId="0" borderId="174">
      <alignment horizontal="right" vertical="center"/>
    </xf>
    <xf numFmtId="0" fontId="58" fillId="0" borderId="174" applyNumberFormat="0" applyFill="0" applyAlignment="0" applyProtection="0"/>
    <xf numFmtId="0" fontId="114" fillId="70" borderId="170" applyNumberFormat="0" applyAlignment="0" applyProtection="0"/>
    <xf numFmtId="179" fontId="58" fillId="74" borderId="174" applyNumberFormat="0" applyFont="0" applyBorder="0" applyAlignment="0" applyProtection="0">
      <alignment horizontal="right" vertical="center"/>
    </xf>
    <xf numFmtId="0" fontId="58" fillId="48" borderId="174"/>
    <xf numFmtId="4" fontId="58" fillId="48" borderId="174"/>
    <xf numFmtId="0" fontId="117" fillId="0" borderId="172" applyNumberFormat="0" applyFill="0" applyAlignment="0" applyProtection="0"/>
    <xf numFmtId="0" fontId="39" fillId="73" borderId="173" applyNumberFormat="0" applyFont="0" applyAlignment="0" applyProtection="0"/>
    <xf numFmtId="0" fontId="92" fillId="73" borderId="173" applyNumberFormat="0" applyFont="0" applyAlignment="0" applyProtection="0"/>
    <xf numFmtId="0" fontId="58" fillId="0" borderId="174" applyNumberFormat="0" applyFill="0" applyAlignment="0" applyProtection="0"/>
    <xf numFmtId="0" fontId="102" fillId="0" borderId="172" applyNumberFormat="0" applyFill="0" applyAlignment="0" applyProtection="0"/>
    <xf numFmtId="0" fontId="117" fillId="0" borderId="172" applyNumberFormat="0" applyFill="0" applyAlignment="0" applyProtection="0"/>
    <xf numFmtId="0" fontId="101" fillId="57" borderId="171" applyNumberFormat="0" applyAlignment="0" applyProtection="0"/>
    <xf numFmtId="0" fontId="98" fillId="70" borderId="171" applyNumberFormat="0" applyAlignment="0" applyProtection="0"/>
    <xf numFmtId="4" fontId="89" fillId="47" borderId="174">
      <alignment horizontal="right" vertical="center"/>
    </xf>
    <xf numFmtId="0" fontId="87" fillId="47" borderId="174">
      <alignment horizontal="right" vertical="center"/>
    </xf>
    <xf numFmtId="179" fontId="58" fillId="74" borderId="174" applyNumberFormat="0" applyFont="0" applyBorder="0" applyAlignment="0" applyProtection="0">
      <alignment horizontal="right" vertical="center"/>
    </xf>
    <xf numFmtId="0" fontId="102" fillId="0" borderId="172" applyNumberFormat="0" applyFill="0" applyAlignment="0" applyProtection="0"/>
    <xf numFmtId="49" fontId="58" fillId="0" borderId="174" applyNumberFormat="0" applyFont="0" applyFill="0" applyBorder="0" applyProtection="0">
      <alignment horizontal="left" vertical="center" indent="2"/>
    </xf>
    <xf numFmtId="49" fontId="58" fillId="0" borderId="175" applyNumberFormat="0" applyFont="0" applyFill="0" applyBorder="0" applyProtection="0">
      <alignment horizontal="left" vertical="center" indent="5"/>
    </xf>
    <xf numFmtId="49" fontId="58" fillId="0" borderId="174" applyNumberFormat="0" applyFont="0" applyFill="0" applyBorder="0" applyProtection="0">
      <alignment horizontal="left" vertical="center" indent="2"/>
    </xf>
    <xf numFmtId="4" fontId="58" fillId="0" borderId="174" applyFill="0" applyBorder="0" applyProtection="0">
      <alignment horizontal="right" vertical="center"/>
    </xf>
    <xf numFmtId="49" fontId="59" fillId="0" borderId="174" applyNumberFormat="0" applyFill="0" applyBorder="0" applyProtection="0">
      <alignment horizontal="left" vertical="center"/>
    </xf>
    <xf numFmtId="0" fontId="58" fillId="0" borderId="177">
      <alignment horizontal="left" vertical="center" wrapText="1" indent="2"/>
    </xf>
    <xf numFmtId="0" fontId="114" fillId="70" borderId="170" applyNumberFormat="0" applyAlignment="0" applyProtection="0"/>
    <xf numFmtId="0" fontId="87" fillId="14" borderId="176">
      <alignment horizontal="right" vertical="center"/>
    </xf>
    <xf numFmtId="0" fontId="101" fillId="57" borderId="171" applyNumberFormat="0" applyAlignment="0" applyProtection="0"/>
    <xf numFmtId="0" fontId="87" fillId="14" borderId="176">
      <alignment horizontal="right" vertical="center"/>
    </xf>
    <xf numFmtId="4" fontId="87" fillId="14" borderId="174">
      <alignment horizontal="right" vertical="center"/>
    </xf>
    <xf numFmtId="0" fontId="87" fillId="14" borderId="174">
      <alignment horizontal="right" vertical="center"/>
    </xf>
    <xf numFmtId="0" fontId="95" fillId="70" borderId="170" applyNumberFormat="0" applyAlignment="0" applyProtection="0"/>
    <xf numFmtId="0" fontId="97" fillId="70" borderId="171" applyNumberFormat="0" applyAlignment="0" applyProtection="0"/>
    <xf numFmtId="0" fontId="102" fillId="0" borderId="172" applyNumberFormat="0" applyFill="0" applyAlignment="0" applyProtection="0"/>
    <xf numFmtId="0" fontId="58" fillId="48" borderId="174"/>
    <xf numFmtId="4" fontId="58" fillId="48" borderId="174"/>
    <xf numFmtId="4" fontId="87" fillId="14" borderId="174">
      <alignment horizontal="right" vertical="center"/>
    </xf>
    <xf numFmtId="0" fontId="89" fillId="47" borderId="174">
      <alignment horizontal="right" vertical="center"/>
    </xf>
    <xf numFmtId="0" fontId="101" fillId="57" borderId="171" applyNumberFormat="0" applyAlignment="0" applyProtection="0"/>
    <xf numFmtId="0" fontId="98" fillId="70" borderId="171" applyNumberFormat="0" applyAlignment="0" applyProtection="0"/>
    <xf numFmtId="4" fontId="58" fillId="0" borderId="174">
      <alignment horizontal="right" vertical="center"/>
    </xf>
    <xf numFmtId="0" fontId="58" fillId="14" borderId="177">
      <alignment horizontal="left" vertical="center" wrapText="1" indent="2"/>
    </xf>
    <xf numFmtId="0" fontId="58" fillId="0" borderId="177">
      <alignment horizontal="left" vertical="center" wrapText="1" indent="2"/>
    </xf>
    <xf numFmtId="0" fontId="114" fillId="70" borderId="170" applyNumberFormat="0" applyAlignment="0" applyProtection="0"/>
    <xf numFmtId="0" fontId="110" fillId="57" borderId="171" applyNumberFormat="0" applyAlignment="0" applyProtection="0"/>
    <xf numFmtId="0" fontId="97" fillId="70" borderId="171" applyNumberFormat="0" applyAlignment="0" applyProtection="0"/>
    <xf numFmtId="0" fontId="95" fillId="70" borderId="170" applyNumberFormat="0" applyAlignment="0" applyProtection="0"/>
    <xf numFmtId="0" fontId="87" fillId="14" borderId="176">
      <alignment horizontal="right" vertical="center"/>
    </xf>
    <xf numFmtId="0" fontId="89" fillId="47" borderId="174">
      <alignment horizontal="right" vertical="center"/>
    </xf>
    <xf numFmtId="4" fontId="87" fillId="47" borderId="174">
      <alignment horizontal="right" vertical="center"/>
    </xf>
    <xf numFmtId="4" fontId="87" fillId="14" borderId="174">
      <alignment horizontal="right" vertical="center"/>
    </xf>
    <xf numFmtId="49" fontId="58" fillId="0" borderId="175" applyNumberFormat="0" applyFont="0" applyFill="0" applyBorder="0" applyProtection="0">
      <alignment horizontal="left" vertical="center" indent="5"/>
    </xf>
    <xf numFmtId="4" fontId="58" fillId="0" borderId="174" applyFill="0" applyBorder="0" applyProtection="0">
      <alignment horizontal="right" vertical="center"/>
    </xf>
    <xf numFmtId="4" fontId="87" fillId="47" borderId="174">
      <alignment horizontal="right" vertical="center"/>
    </xf>
    <xf numFmtId="0" fontId="110" fillId="57" borderId="171" applyNumberFormat="0" applyAlignment="0" applyProtection="0"/>
    <xf numFmtId="0" fontId="101" fillId="57" borderId="171" applyNumberFormat="0" applyAlignment="0" applyProtection="0"/>
    <xf numFmtId="0" fontId="97" fillId="70" borderId="171" applyNumberFormat="0" applyAlignment="0" applyProtection="0"/>
    <xf numFmtId="0" fontId="58" fillId="14" borderId="177">
      <alignment horizontal="left" vertical="center" wrapText="1" indent="2"/>
    </xf>
    <xf numFmtId="0" fontId="58" fillId="0" borderId="177">
      <alignment horizontal="left" vertical="center" wrapText="1" indent="2"/>
    </xf>
    <xf numFmtId="0" fontId="58" fillId="14" borderId="177">
      <alignment horizontal="left" vertical="center" wrapText="1" indent="2"/>
    </xf>
    <xf numFmtId="0" fontId="58" fillId="0" borderId="177">
      <alignment horizontal="left" vertical="center" wrapText="1" indent="2"/>
    </xf>
    <xf numFmtId="0" fontId="95" fillId="70" borderId="170" applyNumberFormat="0" applyAlignment="0" applyProtection="0"/>
    <xf numFmtId="0" fontId="97" fillId="70" borderId="171" applyNumberFormat="0" applyAlignment="0" applyProtection="0"/>
    <xf numFmtId="0" fontId="98" fillId="70" borderId="171" applyNumberFormat="0" applyAlignment="0" applyProtection="0"/>
    <xf numFmtId="0" fontId="101" fillId="57" borderId="171" applyNumberFormat="0" applyAlignment="0" applyProtection="0"/>
    <xf numFmtId="0" fontId="102" fillId="0" borderId="172" applyNumberFormat="0" applyFill="0" applyAlignment="0" applyProtection="0"/>
    <xf numFmtId="0" fontId="110" fillId="57" borderId="171" applyNumberFormat="0" applyAlignment="0" applyProtection="0"/>
    <xf numFmtId="0" fontId="92" fillId="73" borderId="173" applyNumberFormat="0" applyFont="0" applyAlignment="0" applyProtection="0"/>
    <xf numFmtId="0" fontId="39" fillId="73" borderId="173" applyNumberFormat="0" applyFont="0" applyAlignment="0" applyProtection="0"/>
    <xf numFmtId="0" fontId="114" fillId="70" borderId="170" applyNumberFormat="0" applyAlignment="0" applyProtection="0"/>
    <xf numFmtId="0" fontId="117" fillId="0" borderId="172" applyNumberFormat="0" applyFill="0" applyAlignment="0" applyProtection="0"/>
    <xf numFmtId="0" fontId="98" fillId="70" borderId="171" applyNumberFormat="0" applyAlignment="0" applyProtection="0"/>
    <xf numFmtId="0" fontId="110" fillId="57" borderId="171" applyNumberFormat="0" applyAlignment="0" applyProtection="0"/>
    <xf numFmtId="0" fontId="92" fillId="73" borderId="173" applyNumberFormat="0" applyFont="0" applyAlignment="0" applyProtection="0"/>
    <xf numFmtId="0" fontId="114" fillId="70" borderId="170" applyNumberFormat="0" applyAlignment="0" applyProtection="0"/>
    <xf numFmtId="0" fontId="117" fillId="0" borderId="172" applyNumberFormat="0" applyFill="0" applyAlignment="0" applyProtection="0"/>
    <xf numFmtId="0" fontId="98" fillId="70" borderId="171" applyNumberFormat="0" applyAlignment="0" applyProtection="0"/>
    <xf numFmtId="4" fontId="89" fillId="47" borderId="181">
      <alignment horizontal="right" vertical="center"/>
    </xf>
    <xf numFmtId="0" fontId="110" fillId="57" borderId="171" applyNumberFormat="0" applyAlignment="0" applyProtection="0"/>
    <xf numFmtId="0" fontId="114" fillId="70" borderId="170" applyNumberFormat="0" applyAlignment="0" applyProtection="0"/>
    <xf numFmtId="0" fontId="117" fillId="0" borderId="172" applyNumberFormat="0" applyFill="0" applyAlignment="0" applyProtection="0"/>
    <xf numFmtId="0" fontId="95" fillId="70" borderId="170" applyNumberFormat="0" applyAlignment="0" applyProtection="0"/>
    <xf numFmtId="0" fontId="97" fillId="70" borderId="171" applyNumberFormat="0" applyAlignment="0" applyProtection="0"/>
    <xf numFmtId="0" fontId="102" fillId="0" borderId="172" applyNumberFormat="0" applyFill="0" applyAlignment="0" applyProtection="0"/>
    <xf numFmtId="49" fontId="58" fillId="0" borderId="174" applyNumberFormat="0" applyFont="0" applyFill="0" applyBorder="0" applyProtection="0">
      <alignment horizontal="left" vertical="center" indent="2"/>
    </xf>
    <xf numFmtId="0" fontId="87" fillId="47" borderId="174">
      <alignment horizontal="right" vertical="center"/>
    </xf>
    <xf numFmtId="4" fontId="87" fillId="47" borderId="174">
      <alignment horizontal="right" vertical="center"/>
    </xf>
    <xf numFmtId="0" fontId="89" fillId="47" borderId="174">
      <alignment horizontal="right" vertical="center"/>
    </xf>
    <xf numFmtId="4" fontId="89" fillId="47" borderId="174">
      <alignment horizontal="right" vertical="center"/>
    </xf>
    <xf numFmtId="0" fontId="87" fillId="14" borderId="174">
      <alignment horizontal="right" vertical="center"/>
    </xf>
    <xf numFmtId="4" fontId="87" fillId="14" borderId="174">
      <alignment horizontal="right" vertical="center"/>
    </xf>
    <xf numFmtId="0" fontId="87" fillId="14" borderId="174">
      <alignment horizontal="right" vertical="center"/>
    </xf>
    <xf numFmtId="4" fontId="87" fillId="14" borderId="174">
      <alignment horizontal="right" vertical="center"/>
    </xf>
    <xf numFmtId="0" fontId="101" fillId="57" borderId="171" applyNumberFormat="0" applyAlignment="0" applyProtection="0"/>
    <xf numFmtId="0" fontId="58" fillId="0" borderId="174">
      <alignment horizontal="right" vertical="center"/>
    </xf>
    <xf numFmtId="4" fontId="58" fillId="0" borderId="174">
      <alignment horizontal="right" vertical="center"/>
    </xf>
    <xf numFmtId="4" fontId="58" fillId="0" borderId="174" applyFill="0" applyBorder="0" applyProtection="0">
      <alignment horizontal="right" vertical="center"/>
    </xf>
    <xf numFmtId="49" fontId="59" fillId="0" borderId="174" applyNumberFormat="0" applyFill="0" applyBorder="0" applyProtection="0">
      <alignment horizontal="left" vertical="center"/>
    </xf>
    <xf numFmtId="0" fontId="58" fillId="0" borderId="174" applyNumberFormat="0" applyFill="0" applyAlignment="0" applyProtection="0"/>
    <xf numFmtId="179" fontId="58" fillId="74" borderId="174" applyNumberFormat="0" applyFont="0" applyBorder="0" applyAlignment="0" applyProtection="0">
      <alignment horizontal="right" vertical="center"/>
    </xf>
    <xf numFmtId="0" fontId="58" fillId="48" borderId="174"/>
    <xf numFmtId="4" fontId="58" fillId="48" borderId="174"/>
    <xf numFmtId="4" fontId="87" fillId="14" borderId="174">
      <alignment horizontal="right" vertical="center"/>
    </xf>
    <xf numFmtId="0" fontId="58" fillId="48" borderId="174"/>
    <xf numFmtId="0" fontId="97" fillId="70" borderId="171" applyNumberFormat="0" applyAlignment="0" applyProtection="0"/>
    <xf numFmtId="0" fontId="87" fillId="47" borderId="174">
      <alignment horizontal="right" vertical="center"/>
    </xf>
    <xf numFmtId="0" fontId="58" fillId="0" borderId="174">
      <alignment horizontal="right" vertical="center"/>
    </xf>
    <xf numFmtId="0" fontId="117" fillId="0" borderId="172" applyNumberFormat="0" applyFill="0" applyAlignment="0" applyProtection="0"/>
    <xf numFmtId="0" fontId="58" fillId="47" borderId="175">
      <alignment horizontal="left" vertical="center"/>
    </xf>
    <xf numFmtId="0" fontId="110" fillId="57" borderId="171" applyNumberFormat="0" applyAlignment="0" applyProtection="0"/>
    <xf numFmtId="179" fontId="58" fillId="74" borderId="174" applyNumberFormat="0" applyFont="0" applyBorder="0" applyAlignment="0" applyProtection="0">
      <alignment horizontal="right" vertical="center"/>
    </xf>
    <xf numFmtId="0" fontId="92" fillId="73" borderId="173" applyNumberFormat="0" applyFont="0" applyAlignment="0" applyProtection="0"/>
    <xf numFmtId="0" fontId="58" fillId="0" borderId="177">
      <alignment horizontal="left" vertical="center" wrapText="1" indent="2"/>
    </xf>
    <xf numFmtId="4" fontId="58" fillId="48" borderId="174"/>
    <xf numFmtId="49" fontId="59" fillId="0" borderId="174" applyNumberFormat="0" applyFill="0" applyBorder="0" applyProtection="0">
      <alignment horizontal="left" vertical="center"/>
    </xf>
    <xf numFmtId="0" fontId="58" fillId="0" borderId="174">
      <alignment horizontal="right" vertical="center"/>
    </xf>
    <xf numFmtId="4" fontId="87" fillId="14" borderId="176">
      <alignment horizontal="right" vertical="center"/>
    </xf>
    <xf numFmtId="4" fontId="87" fillId="14" borderId="174">
      <alignment horizontal="right" vertical="center"/>
    </xf>
    <xf numFmtId="4" fontId="87" fillId="14" borderId="174">
      <alignment horizontal="right" vertical="center"/>
    </xf>
    <xf numFmtId="0" fontId="89" fillId="47" borderId="174">
      <alignment horizontal="right" vertical="center"/>
    </xf>
    <xf numFmtId="0" fontId="87" fillId="47" borderId="174">
      <alignment horizontal="right" vertical="center"/>
    </xf>
    <xf numFmtId="49" fontId="58" fillId="0" borderId="174" applyNumberFormat="0" applyFont="0" applyFill="0" applyBorder="0" applyProtection="0">
      <alignment horizontal="left" vertical="center" indent="2"/>
    </xf>
    <xf numFmtId="0" fontId="110" fillId="57" borderId="171" applyNumberFormat="0" applyAlignment="0" applyProtection="0"/>
    <xf numFmtId="0" fontId="95" fillId="70" borderId="170" applyNumberFormat="0" applyAlignment="0" applyProtection="0"/>
    <xf numFmtId="49" fontId="58" fillId="0" borderId="174" applyNumberFormat="0" applyFont="0" applyFill="0" applyBorder="0" applyProtection="0">
      <alignment horizontal="left" vertical="center" indent="2"/>
    </xf>
    <xf numFmtId="0" fontId="101" fillId="57" borderId="171" applyNumberFormat="0" applyAlignment="0" applyProtection="0"/>
    <xf numFmtId="4" fontId="58" fillId="0" borderId="174" applyFill="0" applyBorder="0" applyProtection="0">
      <alignment horizontal="right" vertical="center"/>
    </xf>
    <xf numFmtId="0" fontId="98" fillId="70" borderId="171" applyNumberFormat="0" applyAlignment="0" applyProtection="0"/>
    <xf numFmtId="0" fontId="117" fillId="0" borderId="172" applyNumberFormat="0" applyFill="0" applyAlignment="0" applyProtection="0"/>
    <xf numFmtId="0" fontId="114" fillId="70" borderId="170" applyNumberFormat="0" applyAlignment="0" applyProtection="0"/>
    <xf numFmtId="0" fontId="58" fillId="0" borderId="174" applyNumberFormat="0" applyFill="0" applyAlignment="0" applyProtection="0"/>
    <xf numFmtId="4" fontId="58" fillId="0" borderId="174">
      <alignment horizontal="right" vertical="center"/>
    </xf>
    <xf numFmtId="0" fontId="58" fillId="0" borderId="174">
      <alignment horizontal="right" vertical="center"/>
    </xf>
    <xf numFmtId="0" fontId="110" fillId="57" borderId="171" applyNumberFormat="0" applyAlignment="0" applyProtection="0"/>
    <xf numFmtId="0" fontId="95" fillId="70" borderId="170" applyNumberFormat="0" applyAlignment="0" applyProtection="0"/>
    <xf numFmtId="0" fontId="97" fillId="70" borderId="171" applyNumberFormat="0" applyAlignment="0" applyProtection="0"/>
    <xf numFmtId="0" fontId="58" fillId="14" borderId="177">
      <alignment horizontal="left" vertical="center" wrapText="1" indent="2"/>
    </xf>
    <xf numFmtId="0" fontId="98" fillId="70" borderId="171" applyNumberFormat="0" applyAlignment="0" applyProtection="0"/>
    <xf numFmtId="0" fontId="98" fillId="70" borderId="171" applyNumberFormat="0" applyAlignment="0" applyProtection="0"/>
    <xf numFmtId="4" fontId="87" fillId="14" borderId="175">
      <alignment horizontal="right" vertical="center"/>
    </xf>
    <xf numFmtId="0" fontId="87" fillId="14" borderId="175">
      <alignment horizontal="right" vertical="center"/>
    </xf>
    <xf numFmtId="0" fontId="87" fillId="14" borderId="174">
      <alignment horizontal="right" vertical="center"/>
    </xf>
    <xf numFmtId="4" fontId="89" fillId="47" borderId="174">
      <alignment horizontal="right" vertical="center"/>
    </xf>
    <xf numFmtId="0" fontId="101" fillId="57" borderId="171" applyNumberFormat="0" applyAlignment="0" applyProtection="0"/>
    <xf numFmtId="0" fontId="102" fillId="0" borderId="172" applyNumberFormat="0" applyFill="0" applyAlignment="0" applyProtection="0"/>
    <xf numFmtId="0" fontId="117" fillId="0" borderId="172" applyNumberFormat="0" applyFill="0" applyAlignment="0" applyProtection="0"/>
    <xf numFmtId="0" fontId="92" fillId="73" borderId="173" applyNumberFormat="0" applyFont="0" applyAlignment="0" applyProtection="0"/>
    <xf numFmtId="0" fontId="110" fillId="57" borderId="171" applyNumberFormat="0" applyAlignment="0" applyProtection="0"/>
    <xf numFmtId="49" fontId="59" fillId="0" borderId="174" applyNumberFormat="0" applyFill="0" applyBorder="0" applyProtection="0">
      <alignment horizontal="left" vertical="center"/>
    </xf>
    <xf numFmtId="0" fontId="58" fillId="14" borderId="177">
      <alignment horizontal="left" vertical="center" wrapText="1" indent="2"/>
    </xf>
    <xf numFmtId="0" fontId="98" fillId="70" borderId="171" applyNumberFormat="0" applyAlignment="0" applyProtection="0"/>
    <xf numFmtId="0" fontId="58" fillId="0" borderId="177">
      <alignment horizontal="left" vertical="center" wrapText="1" indent="2"/>
    </xf>
    <xf numFmtId="0" fontId="92" fillId="73" borderId="173" applyNumberFormat="0" applyFont="0" applyAlignment="0" applyProtection="0"/>
    <xf numFmtId="0" fontId="39" fillId="73" borderId="173" applyNumberFormat="0" applyFont="0" applyAlignment="0" applyProtection="0"/>
    <xf numFmtId="0" fontId="114" fillId="70" borderId="170" applyNumberFormat="0" applyAlignment="0" applyProtection="0"/>
    <xf numFmtId="0" fontId="117" fillId="0" borderId="172" applyNumberFormat="0" applyFill="0" applyAlignment="0" applyProtection="0"/>
    <xf numFmtId="4" fontId="58" fillId="48" borderId="174"/>
    <xf numFmtId="0" fontId="87" fillId="14" borderId="174">
      <alignment horizontal="right" vertical="center"/>
    </xf>
    <xf numFmtId="0" fontId="117" fillId="0" borderId="172" applyNumberFormat="0" applyFill="0" applyAlignment="0" applyProtection="0"/>
    <xf numFmtId="4" fontId="87" fillId="14" borderId="176">
      <alignment horizontal="right" vertical="center"/>
    </xf>
    <xf numFmtId="0" fontId="97" fillId="70" borderId="171" applyNumberFormat="0" applyAlignment="0" applyProtection="0"/>
    <xf numFmtId="0" fontId="87" fillId="14" borderId="175">
      <alignment horizontal="right" vertical="center"/>
    </xf>
    <xf numFmtId="0" fontId="98" fillId="70" borderId="171" applyNumberFormat="0" applyAlignment="0" applyProtection="0"/>
    <xf numFmtId="0" fontId="102" fillId="0" borderId="172" applyNumberFormat="0" applyFill="0" applyAlignment="0" applyProtection="0"/>
    <xf numFmtId="0" fontId="92" fillId="73" borderId="173" applyNumberFormat="0" applyFont="0" applyAlignment="0" applyProtection="0"/>
    <xf numFmtId="4" fontId="87" fillId="14" borderId="175">
      <alignment horizontal="right" vertical="center"/>
    </xf>
    <xf numFmtId="0" fontId="58" fillId="14" borderId="177">
      <alignment horizontal="left" vertical="center" wrapText="1" indent="2"/>
    </xf>
    <xf numFmtId="0" fontId="58" fillId="48" borderId="174"/>
    <xf numFmtId="179" fontId="58" fillId="74" borderId="174" applyNumberFormat="0" applyFont="0" applyBorder="0" applyAlignment="0" applyProtection="0">
      <alignment horizontal="right" vertical="center"/>
    </xf>
    <xf numFmtId="0" fontId="58" fillId="0" borderId="174" applyNumberFormat="0" applyFill="0" applyAlignment="0" applyProtection="0"/>
    <xf numFmtId="4" fontId="58" fillId="0" borderId="174" applyFill="0" applyBorder="0" applyProtection="0">
      <alignment horizontal="right" vertical="center"/>
    </xf>
    <xf numFmtId="4" fontId="87" fillId="47" borderId="174">
      <alignment horizontal="right" vertical="center"/>
    </xf>
    <xf numFmtId="0" fontId="102" fillId="0" borderId="172" applyNumberFormat="0" applyFill="0" applyAlignment="0" applyProtection="0"/>
    <xf numFmtId="49" fontId="59" fillId="0" borderId="174" applyNumberFormat="0" applyFill="0" applyBorder="0" applyProtection="0">
      <alignment horizontal="left" vertical="center"/>
    </xf>
    <xf numFmtId="49" fontId="58" fillId="0" borderId="175" applyNumberFormat="0" applyFont="0" applyFill="0" applyBorder="0" applyProtection="0">
      <alignment horizontal="left" vertical="center" indent="5"/>
    </xf>
    <xf numFmtId="0" fontId="58" fillId="47" borderId="175">
      <alignment horizontal="left" vertical="center"/>
    </xf>
    <xf numFmtId="0" fontId="98" fillId="70" borderId="171" applyNumberFormat="0" applyAlignment="0" applyProtection="0"/>
    <xf numFmtId="4" fontId="87" fillId="14" borderId="176">
      <alignment horizontal="right" vertical="center"/>
    </xf>
    <xf numFmtId="0" fontId="110" fillId="57" borderId="171" applyNumberFormat="0" applyAlignment="0" applyProtection="0"/>
    <xf numFmtId="0" fontId="110" fillId="57" borderId="171" applyNumberFormat="0" applyAlignment="0" applyProtection="0"/>
    <xf numFmtId="0" fontId="92" fillId="73" borderId="173" applyNumberFormat="0" applyFont="0" applyAlignment="0" applyProtection="0"/>
    <xf numFmtId="0" fontId="114" fillId="70" borderId="170" applyNumberFormat="0" applyAlignment="0" applyProtection="0"/>
    <xf numFmtId="0" fontId="117" fillId="0" borderId="172" applyNumberFormat="0" applyFill="0" applyAlignment="0" applyProtection="0"/>
    <xf numFmtId="0" fontId="87" fillId="14" borderId="174">
      <alignment horizontal="right" vertical="center"/>
    </xf>
    <xf numFmtId="0" fontId="39" fillId="73" borderId="173" applyNumberFormat="0" applyFont="0" applyAlignment="0" applyProtection="0"/>
    <xf numFmtId="4" fontId="58" fillId="0" borderId="174">
      <alignment horizontal="right" vertical="center"/>
    </xf>
    <xf numFmtId="0" fontId="117" fillId="0" borderId="172" applyNumberFormat="0" applyFill="0" applyAlignment="0" applyProtection="0"/>
    <xf numFmtId="0" fontId="87" fillId="14" borderId="174">
      <alignment horizontal="right" vertical="center"/>
    </xf>
    <xf numFmtId="0" fontId="87" fillId="14" borderId="174">
      <alignment horizontal="right" vertical="center"/>
    </xf>
    <xf numFmtId="4" fontId="89" fillId="47" borderId="174">
      <alignment horizontal="right" vertical="center"/>
    </xf>
    <xf numFmtId="0" fontId="87" fillId="47" borderId="174">
      <alignment horizontal="right" vertical="center"/>
    </xf>
    <xf numFmtId="4" fontId="87" fillId="47" borderId="174">
      <alignment horizontal="right" vertical="center"/>
    </xf>
    <xf numFmtId="0" fontId="89" fillId="47" borderId="174">
      <alignment horizontal="right" vertical="center"/>
    </xf>
    <xf numFmtId="4" fontId="89" fillId="47" borderId="174">
      <alignment horizontal="right" vertical="center"/>
    </xf>
    <xf numFmtId="0" fontId="87" fillId="14" borderId="174">
      <alignment horizontal="right" vertical="center"/>
    </xf>
    <xf numFmtId="4" fontId="87" fillId="14" borderId="174">
      <alignment horizontal="right" vertical="center"/>
    </xf>
    <xf numFmtId="0" fontId="87" fillId="14" borderId="174">
      <alignment horizontal="right" vertical="center"/>
    </xf>
    <xf numFmtId="4" fontId="87" fillId="14" borderId="174">
      <alignment horizontal="right" vertical="center"/>
    </xf>
    <xf numFmtId="0" fontId="87" fillId="14" borderId="175">
      <alignment horizontal="right" vertical="center"/>
    </xf>
    <xf numFmtId="4" fontId="87" fillId="14" borderId="175">
      <alignment horizontal="right" vertical="center"/>
    </xf>
    <xf numFmtId="0" fontId="87" fillId="14" borderId="176">
      <alignment horizontal="right" vertical="center"/>
    </xf>
    <xf numFmtId="4" fontId="87" fillId="14" borderId="176">
      <alignment horizontal="right" vertical="center"/>
    </xf>
    <xf numFmtId="0" fontId="98" fillId="70" borderId="171" applyNumberFormat="0" applyAlignment="0" applyProtection="0"/>
    <xf numFmtId="0" fontId="58" fillId="14" borderId="177">
      <alignment horizontal="left" vertical="center" wrapText="1" indent="2"/>
    </xf>
    <xf numFmtId="0" fontId="58" fillId="0" borderId="177">
      <alignment horizontal="left" vertical="center" wrapText="1" indent="2"/>
    </xf>
    <xf numFmtId="0" fontId="58" fillId="47" borderId="175">
      <alignment horizontal="left" vertical="center"/>
    </xf>
    <xf numFmtId="0" fontId="110" fillId="57" borderId="171" applyNumberFormat="0" applyAlignment="0" applyProtection="0"/>
    <xf numFmtId="0" fontId="58" fillId="0" borderId="174">
      <alignment horizontal="right" vertical="center"/>
    </xf>
    <xf numFmtId="4" fontId="58" fillId="0" borderId="174">
      <alignment horizontal="right" vertical="center"/>
    </xf>
    <xf numFmtId="0" fontId="58" fillId="0" borderId="174" applyNumberFormat="0" applyFill="0" applyAlignment="0" applyProtection="0"/>
    <xf numFmtId="0" fontId="114" fillId="70" borderId="170" applyNumberFormat="0" applyAlignment="0" applyProtection="0"/>
    <xf numFmtId="179" fontId="58" fillId="74" borderId="174" applyNumberFormat="0" applyFont="0" applyBorder="0" applyAlignment="0" applyProtection="0">
      <alignment horizontal="right" vertical="center"/>
    </xf>
    <xf numFmtId="0" fontId="58" fillId="48" borderId="174"/>
    <xf numFmtId="4" fontId="58" fillId="48" borderId="174"/>
    <xf numFmtId="0" fontId="117" fillId="0" borderId="172" applyNumberFormat="0" applyFill="0" applyAlignment="0" applyProtection="0"/>
    <xf numFmtId="0" fontId="39" fillId="73" borderId="173" applyNumberFormat="0" applyFont="0" applyAlignment="0" applyProtection="0"/>
    <xf numFmtId="0" fontId="92" fillId="73" borderId="173" applyNumberFormat="0" applyFont="0" applyAlignment="0" applyProtection="0"/>
    <xf numFmtId="0" fontId="58" fillId="0" borderId="174" applyNumberFormat="0" applyFill="0" applyAlignment="0" applyProtection="0"/>
    <xf numFmtId="0" fontId="102" fillId="0" borderId="172" applyNumberFormat="0" applyFill="0" applyAlignment="0" applyProtection="0"/>
    <xf numFmtId="0" fontId="117" fillId="0" borderId="172" applyNumberFormat="0" applyFill="0" applyAlignment="0" applyProtection="0"/>
    <xf numFmtId="0" fontId="101" fillId="57" borderId="171" applyNumberFormat="0" applyAlignment="0" applyProtection="0"/>
    <xf numFmtId="0" fontId="98" fillId="70" borderId="171" applyNumberFormat="0" applyAlignment="0" applyProtection="0"/>
    <xf numFmtId="4" fontId="89" fillId="47" borderId="174">
      <alignment horizontal="right" vertical="center"/>
    </xf>
    <xf numFmtId="0" fontId="87" fillId="47" borderId="174">
      <alignment horizontal="right" vertical="center"/>
    </xf>
    <xf numFmtId="179" fontId="58" fillId="74" borderId="174" applyNumberFormat="0" applyFont="0" applyBorder="0" applyAlignment="0" applyProtection="0">
      <alignment horizontal="right" vertical="center"/>
    </xf>
    <xf numFmtId="0" fontId="102" fillId="0" borderId="172" applyNumberFormat="0" applyFill="0" applyAlignment="0" applyProtection="0"/>
    <xf numFmtId="49" fontId="58" fillId="0" borderId="174" applyNumberFormat="0" applyFont="0" applyFill="0" applyBorder="0" applyProtection="0">
      <alignment horizontal="left" vertical="center" indent="2"/>
    </xf>
    <xf numFmtId="49" fontId="58" fillId="0" borderId="175" applyNumberFormat="0" applyFont="0" applyFill="0" applyBorder="0" applyProtection="0">
      <alignment horizontal="left" vertical="center" indent="5"/>
    </xf>
    <xf numFmtId="49" fontId="58" fillId="0" borderId="174" applyNumberFormat="0" applyFont="0" applyFill="0" applyBorder="0" applyProtection="0">
      <alignment horizontal="left" vertical="center" indent="2"/>
    </xf>
    <xf numFmtId="4" fontId="58" fillId="0" borderId="174" applyFill="0" applyBorder="0" applyProtection="0">
      <alignment horizontal="right" vertical="center"/>
    </xf>
    <xf numFmtId="49" fontId="59" fillId="0" borderId="174" applyNumberFormat="0" applyFill="0" applyBorder="0" applyProtection="0">
      <alignment horizontal="left" vertical="center"/>
    </xf>
    <xf numFmtId="0" fontId="58" fillId="0" borderId="177">
      <alignment horizontal="left" vertical="center" wrapText="1" indent="2"/>
    </xf>
    <xf numFmtId="0" fontId="114" fillId="70" borderId="170" applyNumberFormat="0" applyAlignment="0" applyProtection="0"/>
    <xf numFmtId="0" fontId="87" fillId="14" borderId="176">
      <alignment horizontal="right" vertical="center"/>
    </xf>
    <xf numFmtId="0" fontId="101" fillId="57" borderId="171" applyNumberFormat="0" applyAlignment="0" applyProtection="0"/>
    <xf numFmtId="0" fontId="87" fillId="14" borderId="176">
      <alignment horizontal="right" vertical="center"/>
    </xf>
    <xf numFmtId="4" fontId="87" fillId="14" borderId="174">
      <alignment horizontal="right" vertical="center"/>
    </xf>
    <xf numFmtId="0" fontId="87" fillId="14" borderId="174">
      <alignment horizontal="right" vertical="center"/>
    </xf>
    <xf numFmtId="0" fontId="95" fillId="70" borderId="170" applyNumberFormat="0" applyAlignment="0" applyProtection="0"/>
    <xf numFmtId="0" fontId="97" fillId="70" borderId="171" applyNumberFormat="0" applyAlignment="0" applyProtection="0"/>
    <xf numFmtId="0" fontId="102" fillId="0" borderId="172" applyNumberFormat="0" applyFill="0" applyAlignment="0" applyProtection="0"/>
    <xf numFmtId="0" fontId="58" fillId="48" borderId="174"/>
    <xf numFmtId="4" fontId="58" fillId="48" borderId="174"/>
    <xf numFmtId="4" fontId="87" fillId="14" borderId="174">
      <alignment horizontal="right" vertical="center"/>
    </xf>
    <xf numFmtId="0" fontId="89" fillId="47" borderId="174">
      <alignment horizontal="right" vertical="center"/>
    </xf>
    <xf numFmtId="0" fontId="101" fillId="57" borderId="171" applyNumberFormat="0" applyAlignment="0" applyProtection="0"/>
    <xf numFmtId="0" fontId="98" fillId="70" borderId="171" applyNumberFormat="0" applyAlignment="0" applyProtection="0"/>
    <xf numFmtId="4" fontId="58" fillId="0" borderId="174">
      <alignment horizontal="right" vertical="center"/>
    </xf>
    <xf numFmtId="0" fontId="58" fillId="14" borderId="177">
      <alignment horizontal="left" vertical="center" wrapText="1" indent="2"/>
    </xf>
    <xf numFmtId="0" fontId="58" fillId="0" borderId="177">
      <alignment horizontal="left" vertical="center" wrapText="1" indent="2"/>
    </xf>
    <xf numFmtId="0" fontId="114" fillId="70" borderId="170" applyNumberFormat="0" applyAlignment="0" applyProtection="0"/>
    <xf numFmtId="0" fontId="110" fillId="57" borderId="171" applyNumberFormat="0" applyAlignment="0" applyProtection="0"/>
    <xf numFmtId="0" fontId="97" fillId="70" borderId="171" applyNumberFormat="0" applyAlignment="0" applyProtection="0"/>
    <xf numFmtId="0" fontId="95" fillId="70" borderId="170" applyNumberFormat="0" applyAlignment="0" applyProtection="0"/>
    <xf numFmtId="0" fontId="87" fillId="14" borderId="176">
      <alignment horizontal="right" vertical="center"/>
    </xf>
    <xf numFmtId="0" fontId="89" fillId="47" borderId="174">
      <alignment horizontal="right" vertical="center"/>
    </xf>
    <xf numFmtId="4" fontId="87" fillId="47" borderId="174">
      <alignment horizontal="right" vertical="center"/>
    </xf>
    <xf numFmtId="4" fontId="87" fillId="14" borderId="174">
      <alignment horizontal="right" vertical="center"/>
    </xf>
    <xf numFmtId="49" fontId="58" fillId="0" borderId="175" applyNumberFormat="0" applyFont="0" applyFill="0" applyBorder="0" applyProtection="0">
      <alignment horizontal="left" vertical="center" indent="5"/>
    </xf>
    <xf numFmtId="4" fontId="58" fillId="0" borderId="174" applyFill="0" applyBorder="0" applyProtection="0">
      <alignment horizontal="right" vertical="center"/>
    </xf>
    <xf numFmtId="4" fontId="87" fillId="47" borderId="174">
      <alignment horizontal="right" vertical="center"/>
    </xf>
    <xf numFmtId="0" fontId="110" fillId="57" borderId="171" applyNumberFormat="0" applyAlignment="0" applyProtection="0"/>
    <xf numFmtId="0" fontId="101" fillId="57" borderId="171" applyNumberFormat="0" applyAlignment="0" applyProtection="0"/>
    <xf numFmtId="0" fontId="97" fillId="70" borderId="171" applyNumberFormat="0" applyAlignment="0" applyProtection="0"/>
    <xf numFmtId="0" fontId="58" fillId="14" borderId="177">
      <alignment horizontal="left" vertical="center" wrapText="1" indent="2"/>
    </xf>
    <xf numFmtId="0" fontId="58" fillId="0" borderId="177">
      <alignment horizontal="left" vertical="center" wrapText="1" indent="2"/>
    </xf>
    <xf numFmtId="0" fontId="58" fillId="14" borderId="177">
      <alignment horizontal="left" vertical="center" wrapText="1" indent="2"/>
    </xf>
    <xf numFmtId="4" fontId="87" fillId="14" borderId="181">
      <alignment horizontal="right" vertical="center"/>
    </xf>
    <xf numFmtId="0" fontId="58" fillId="48" borderId="181"/>
    <xf numFmtId="0" fontId="97" fillId="70" borderId="178" applyNumberFormat="0" applyAlignment="0" applyProtection="0"/>
    <xf numFmtId="0" fontId="87" fillId="47" borderId="181">
      <alignment horizontal="right" vertical="center"/>
    </xf>
    <xf numFmtId="0" fontId="58" fillId="0" borderId="181">
      <alignment horizontal="right" vertical="center"/>
    </xf>
    <xf numFmtId="0" fontId="117" fillId="0" borderId="179" applyNumberFormat="0" applyFill="0" applyAlignment="0" applyProtection="0"/>
    <xf numFmtId="0" fontId="58" fillId="47" borderId="182">
      <alignment horizontal="left" vertical="center"/>
    </xf>
    <xf numFmtId="0" fontId="110" fillId="57" borderId="178" applyNumberFormat="0" applyAlignment="0" applyProtection="0"/>
    <xf numFmtId="179" fontId="58" fillId="74" borderId="181" applyNumberFormat="0" applyFont="0" applyBorder="0" applyAlignment="0" applyProtection="0">
      <alignment horizontal="right" vertical="center"/>
    </xf>
    <xf numFmtId="0" fontId="92" fillId="73" borderId="180" applyNumberFormat="0" applyFont="0" applyAlignment="0" applyProtection="0"/>
    <xf numFmtId="0" fontId="58" fillId="0" borderId="184">
      <alignment horizontal="left" vertical="center" wrapText="1" indent="2"/>
    </xf>
    <xf numFmtId="4" fontId="58" fillId="48" borderId="181"/>
    <xf numFmtId="49" fontId="59" fillId="0" borderId="181" applyNumberFormat="0" applyFill="0" applyBorder="0" applyProtection="0">
      <alignment horizontal="left" vertical="center"/>
    </xf>
    <xf numFmtId="0" fontId="58" fillId="0" borderId="181">
      <alignment horizontal="right" vertical="center"/>
    </xf>
    <xf numFmtId="4" fontId="87" fillId="14" borderId="183">
      <alignment horizontal="right" vertical="center"/>
    </xf>
    <xf numFmtId="4" fontId="87" fillId="14" borderId="181">
      <alignment horizontal="right" vertical="center"/>
    </xf>
    <xf numFmtId="4" fontId="87" fillId="14" borderId="181">
      <alignment horizontal="right" vertical="center"/>
    </xf>
    <xf numFmtId="0" fontId="89" fillId="47" borderId="181">
      <alignment horizontal="right" vertical="center"/>
    </xf>
    <xf numFmtId="0" fontId="87" fillId="47" borderId="181">
      <alignment horizontal="right" vertical="center"/>
    </xf>
    <xf numFmtId="49" fontId="58" fillId="0" borderId="181" applyNumberFormat="0" applyFont="0" applyFill="0" applyBorder="0" applyProtection="0">
      <alignment horizontal="left" vertical="center" indent="2"/>
    </xf>
    <xf numFmtId="0" fontId="110" fillId="57" borderId="178" applyNumberFormat="0" applyAlignment="0" applyProtection="0"/>
    <xf numFmtId="0" fontId="95" fillId="70" borderId="185" applyNumberFormat="0" applyAlignment="0" applyProtection="0"/>
    <xf numFmtId="49" fontId="58" fillId="0" borderId="181" applyNumberFormat="0" applyFont="0" applyFill="0" applyBorder="0" applyProtection="0">
      <alignment horizontal="left" vertical="center" indent="2"/>
    </xf>
    <xf numFmtId="0" fontId="101" fillId="57" borderId="178" applyNumberFormat="0" applyAlignment="0" applyProtection="0"/>
    <xf numFmtId="4" fontId="58" fillId="0" borderId="181" applyFill="0" applyBorder="0" applyProtection="0">
      <alignment horizontal="right" vertical="center"/>
    </xf>
    <xf numFmtId="0" fontId="98" fillId="70" borderId="178" applyNumberFormat="0" applyAlignment="0" applyProtection="0"/>
    <xf numFmtId="0" fontId="117" fillId="0" borderId="179" applyNumberFormat="0" applyFill="0" applyAlignment="0" applyProtection="0"/>
    <xf numFmtId="0" fontId="114" fillId="70" borderId="185" applyNumberFormat="0" applyAlignment="0" applyProtection="0"/>
    <xf numFmtId="0" fontId="58" fillId="0" borderId="181" applyNumberFormat="0" applyFill="0" applyAlignment="0" applyProtection="0"/>
    <xf numFmtId="4" fontId="58" fillId="0" borderId="181">
      <alignment horizontal="right" vertical="center"/>
    </xf>
    <xf numFmtId="0" fontId="58" fillId="0" borderId="181">
      <alignment horizontal="right" vertical="center"/>
    </xf>
    <xf numFmtId="0" fontId="110" fillId="57" borderId="178" applyNumberFormat="0" applyAlignment="0" applyProtection="0"/>
    <xf numFmtId="0" fontId="95" fillId="70" borderId="185" applyNumberFormat="0" applyAlignment="0" applyProtection="0"/>
    <xf numFmtId="0" fontId="97" fillId="70" borderId="178" applyNumberFormat="0" applyAlignment="0" applyProtection="0"/>
    <xf numFmtId="0" fontId="58" fillId="14" borderId="184">
      <alignment horizontal="left" vertical="center" wrapText="1" indent="2"/>
    </xf>
    <xf numFmtId="0" fontId="98" fillId="70" borderId="178" applyNumberFormat="0" applyAlignment="0" applyProtection="0"/>
    <xf numFmtId="0" fontId="98" fillId="70" borderId="178" applyNumberFormat="0" applyAlignment="0" applyProtection="0"/>
    <xf numFmtId="4" fontId="87" fillId="14" borderId="182">
      <alignment horizontal="right" vertical="center"/>
    </xf>
    <xf numFmtId="0" fontId="87" fillId="14" borderId="182">
      <alignment horizontal="right" vertical="center"/>
    </xf>
    <xf numFmtId="0" fontId="87" fillId="14" borderId="181">
      <alignment horizontal="right" vertical="center"/>
    </xf>
    <xf numFmtId="4" fontId="89" fillId="47" borderId="181">
      <alignment horizontal="right" vertical="center"/>
    </xf>
    <xf numFmtId="0" fontId="101" fillId="57" borderId="178" applyNumberFormat="0" applyAlignment="0" applyProtection="0"/>
    <xf numFmtId="0" fontId="102" fillId="0" borderId="179" applyNumberFormat="0" applyFill="0" applyAlignment="0" applyProtection="0"/>
    <xf numFmtId="0" fontId="117" fillId="0" borderId="179" applyNumberFormat="0" applyFill="0" applyAlignment="0" applyProtection="0"/>
    <xf numFmtId="0" fontId="92" fillId="73" borderId="180" applyNumberFormat="0" applyFont="0" applyAlignment="0" applyProtection="0"/>
    <xf numFmtId="0" fontId="110" fillId="57" borderId="178" applyNumberFormat="0" applyAlignment="0" applyProtection="0"/>
    <xf numFmtId="49" fontId="59" fillId="0" borderId="181" applyNumberFormat="0" applyFill="0" applyBorder="0" applyProtection="0">
      <alignment horizontal="left" vertical="center"/>
    </xf>
    <xf numFmtId="0" fontId="58" fillId="14" borderId="184">
      <alignment horizontal="left" vertical="center" wrapText="1" indent="2"/>
    </xf>
    <xf numFmtId="0" fontId="98" fillId="70" borderId="178" applyNumberFormat="0" applyAlignment="0" applyProtection="0"/>
    <xf numFmtId="0" fontId="58" fillId="0" borderId="184">
      <alignment horizontal="left" vertical="center" wrapText="1" indent="2"/>
    </xf>
    <xf numFmtId="0" fontId="92" fillId="73" borderId="180" applyNumberFormat="0" applyFont="0" applyAlignment="0" applyProtection="0"/>
    <xf numFmtId="0" fontId="39" fillId="73" borderId="180" applyNumberFormat="0" applyFont="0" applyAlignment="0" applyProtection="0"/>
    <xf numFmtId="0" fontId="114" fillId="70" borderId="185" applyNumberFormat="0" applyAlignment="0" applyProtection="0"/>
    <xf numFmtId="0" fontId="117" fillId="0" borderId="179" applyNumberFormat="0" applyFill="0" applyAlignment="0" applyProtection="0"/>
    <xf numFmtId="4" fontId="58" fillId="48" borderId="181"/>
    <xf numFmtId="0" fontId="87" fillId="14" borderId="181">
      <alignment horizontal="right" vertical="center"/>
    </xf>
    <xf numFmtId="0" fontId="117" fillId="0" borderId="179" applyNumberFormat="0" applyFill="0" applyAlignment="0" applyProtection="0"/>
    <xf numFmtId="4" fontId="87" fillId="14" borderId="183">
      <alignment horizontal="right" vertical="center"/>
    </xf>
    <xf numFmtId="0" fontId="97" fillId="70" borderId="178" applyNumberFormat="0" applyAlignment="0" applyProtection="0"/>
    <xf numFmtId="0" fontId="87" fillId="14" borderId="182">
      <alignment horizontal="right" vertical="center"/>
    </xf>
    <xf numFmtId="0" fontId="98" fillId="70" borderId="178" applyNumberFormat="0" applyAlignment="0" applyProtection="0"/>
    <xf numFmtId="0" fontId="102" fillId="0" borderId="179" applyNumberFormat="0" applyFill="0" applyAlignment="0" applyProtection="0"/>
    <xf numFmtId="0" fontId="92" fillId="73" borderId="180" applyNumberFormat="0" applyFont="0" applyAlignment="0" applyProtection="0"/>
    <xf numFmtId="4" fontId="87" fillId="14" borderId="182">
      <alignment horizontal="right" vertical="center"/>
    </xf>
    <xf numFmtId="0" fontId="58" fillId="14" borderId="184">
      <alignment horizontal="left" vertical="center" wrapText="1" indent="2"/>
    </xf>
    <xf numFmtId="0" fontId="58" fillId="48" borderId="181"/>
    <xf numFmtId="179" fontId="58" fillId="74" borderId="181" applyNumberFormat="0" applyFont="0" applyBorder="0" applyAlignment="0" applyProtection="0">
      <alignment horizontal="right" vertical="center"/>
    </xf>
    <xf numFmtId="0" fontId="58" fillId="0" borderId="181" applyNumberFormat="0" applyFill="0" applyAlignment="0" applyProtection="0"/>
    <xf numFmtId="4" fontId="58" fillId="0" borderId="181" applyFill="0" applyBorder="0" applyProtection="0">
      <alignment horizontal="right" vertical="center"/>
    </xf>
    <xf numFmtId="4" fontId="87" fillId="47" borderId="181">
      <alignment horizontal="right" vertical="center"/>
    </xf>
    <xf numFmtId="0" fontId="102" fillId="0" borderId="179" applyNumberFormat="0" applyFill="0" applyAlignment="0" applyProtection="0"/>
    <xf numFmtId="49" fontId="59" fillId="0" borderId="181" applyNumberFormat="0" applyFill="0" applyBorder="0" applyProtection="0">
      <alignment horizontal="left" vertical="center"/>
    </xf>
    <xf numFmtId="49" fontId="58" fillId="0" borderId="182" applyNumberFormat="0" applyFont="0" applyFill="0" applyBorder="0" applyProtection="0">
      <alignment horizontal="left" vertical="center" indent="5"/>
    </xf>
    <xf numFmtId="0" fontId="58" fillId="47" borderId="182">
      <alignment horizontal="left" vertical="center"/>
    </xf>
    <xf numFmtId="0" fontId="98" fillId="70" borderId="178" applyNumberFormat="0" applyAlignment="0" applyProtection="0"/>
    <xf numFmtId="4" fontId="87" fillId="14" borderId="183">
      <alignment horizontal="right" vertical="center"/>
    </xf>
    <xf numFmtId="0" fontId="110" fillId="57" borderId="178" applyNumberFormat="0" applyAlignment="0" applyProtection="0"/>
    <xf numFmtId="0" fontId="110" fillId="57" borderId="178" applyNumberFormat="0" applyAlignment="0" applyProtection="0"/>
    <xf numFmtId="0" fontId="92" fillId="73" borderId="180" applyNumberFormat="0" applyFont="0" applyAlignment="0" applyProtection="0"/>
    <xf numFmtId="0" fontId="114" fillId="70" borderId="185" applyNumberFormat="0" applyAlignment="0" applyProtection="0"/>
    <xf numFmtId="0" fontId="117" fillId="0" borderId="179" applyNumberFormat="0" applyFill="0" applyAlignment="0" applyProtection="0"/>
    <xf numFmtId="0" fontId="87" fillId="14" borderId="181">
      <alignment horizontal="right" vertical="center"/>
    </xf>
    <xf numFmtId="0" fontId="39" fillId="73" borderId="180" applyNumberFormat="0" applyFont="0" applyAlignment="0" applyProtection="0"/>
    <xf numFmtId="4" fontId="58" fillId="0" borderId="181">
      <alignment horizontal="right" vertical="center"/>
    </xf>
    <xf numFmtId="0" fontId="117" fillId="0" borderId="179" applyNumberFormat="0" applyFill="0" applyAlignment="0" applyProtection="0"/>
    <xf numFmtId="0" fontId="87" fillId="14" borderId="181">
      <alignment horizontal="right" vertical="center"/>
    </xf>
    <xf numFmtId="0" fontId="87" fillId="14" borderId="181">
      <alignment horizontal="right" vertical="center"/>
    </xf>
    <xf numFmtId="4" fontId="89" fillId="47" borderId="181">
      <alignment horizontal="right" vertical="center"/>
    </xf>
    <xf numFmtId="0" fontId="87" fillId="47" borderId="181">
      <alignment horizontal="right" vertical="center"/>
    </xf>
    <xf numFmtId="4" fontId="87" fillId="47" borderId="181">
      <alignment horizontal="right" vertical="center"/>
    </xf>
    <xf numFmtId="0" fontId="89" fillId="47" borderId="181">
      <alignment horizontal="right" vertical="center"/>
    </xf>
    <xf numFmtId="4" fontId="89" fillId="47" borderId="181">
      <alignment horizontal="right" vertical="center"/>
    </xf>
    <xf numFmtId="0" fontId="87" fillId="14" borderId="181">
      <alignment horizontal="right" vertical="center"/>
    </xf>
    <xf numFmtId="4" fontId="87" fillId="14" borderId="181">
      <alignment horizontal="right" vertical="center"/>
    </xf>
    <xf numFmtId="0" fontId="87" fillId="14" borderId="181">
      <alignment horizontal="right" vertical="center"/>
    </xf>
    <xf numFmtId="4" fontId="87" fillId="14" borderId="181">
      <alignment horizontal="right" vertical="center"/>
    </xf>
    <xf numFmtId="0" fontId="87" fillId="14" borderId="182">
      <alignment horizontal="right" vertical="center"/>
    </xf>
    <xf numFmtId="4" fontId="87" fillId="14" borderId="182">
      <alignment horizontal="right" vertical="center"/>
    </xf>
    <xf numFmtId="0" fontId="87" fillId="14" borderId="183">
      <alignment horizontal="right" vertical="center"/>
    </xf>
    <xf numFmtId="4" fontId="87" fillId="14" borderId="183">
      <alignment horizontal="right" vertical="center"/>
    </xf>
    <xf numFmtId="0" fontId="98" fillId="70" borderId="178" applyNumberFormat="0" applyAlignment="0" applyProtection="0"/>
    <xf numFmtId="0" fontId="58" fillId="14" borderId="184">
      <alignment horizontal="left" vertical="center" wrapText="1" indent="2"/>
    </xf>
    <xf numFmtId="0" fontId="58" fillId="0" borderId="184">
      <alignment horizontal="left" vertical="center" wrapText="1" indent="2"/>
    </xf>
    <xf numFmtId="0" fontId="58" fillId="47" borderId="182">
      <alignment horizontal="left" vertical="center"/>
    </xf>
    <xf numFmtId="0" fontId="110" fillId="57" borderId="178" applyNumberFormat="0" applyAlignment="0" applyProtection="0"/>
    <xf numFmtId="0" fontId="58" fillId="0" borderId="181">
      <alignment horizontal="right" vertical="center"/>
    </xf>
    <xf numFmtId="4" fontId="58" fillId="0" borderId="181">
      <alignment horizontal="right" vertical="center"/>
    </xf>
    <xf numFmtId="0" fontId="58" fillId="0" borderId="181" applyNumberFormat="0" applyFill="0" applyAlignment="0" applyProtection="0"/>
    <xf numFmtId="0" fontId="114" fillId="70" borderId="185" applyNumberFormat="0" applyAlignment="0" applyProtection="0"/>
    <xf numFmtId="179" fontId="58" fillId="74" borderId="181" applyNumberFormat="0" applyFont="0" applyBorder="0" applyAlignment="0" applyProtection="0">
      <alignment horizontal="right" vertical="center"/>
    </xf>
    <xf numFmtId="0" fontId="58" fillId="48" borderId="181"/>
    <xf numFmtId="4" fontId="58" fillId="48" borderId="181"/>
    <xf numFmtId="0" fontId="117" fillId="0" borderId="179" applyNumberFormat="0" applyFill="0" applyAlignment="0" applyProtection="0"/>
    <xf numFmtId="0" fontId="39" fillId="73" borderId="180" applyNumberFormat="0" applyFont="0" applyAlignment="0" applyProtection="0"/>
    <xf numFmtId="0" fontId="92" fillId="73" borderId="180" applyNumberFormat="0" applyFont="0" applyAlignment="0" applyProtection="0"/>
    <xf numFmtId="0" fontId="58" fillId="0" borderId="181" applyNumberFormat="0" applyFill="0" applyAlignment="0" applyProtection="0"/>
    <xf numFmtId="0" fontId="102" fillId="0" borderId="179" applyNumberFormat="0" applyFill="0" applyAlignment="0" applyProtection="0"/>
    <xf numFmtId="0" fontId="117" fillId="0" borderId="179" applyNumberFormat="0" applyFill="0" applyAlignment="0" applyProtection="0"/>
    <xf numFmtId="0" fontId="101" fillId="57" borderId="178" applyNumberFormat="0" applyAlignment="0" applyProtection="0"/>
    <xf numFmtId="0" fontId="98" fillId="70" borderId="178" applyNumberFormat="0" applyAlignment="0" applyProtection="0"/>
    <xf numFmtId="4" fontId="89" fillId="47" borderId="181">
      <alignment horizontal="right" vertical="center"/>
    </xf>
    <xf numFmtId="0" fontId="87" fillId="47" borderId="181">
      <alignment horizontal="right" vertical="center"/>
    </xf>
    <xf numFmtId="179" fontId="58" fillId="74" borderId="181" applyNumberFormat="0" applyFont="0" applyBorder="0" applyAlignment="0" applyProtection="0">
      <alignment horizontal="right" vertical="center"/>
    </xf>
    <xf numFmtId="0" fontId="102" fillId="0" borderId="179" applyNumberFormat="0" applyFill="0" applyAlignment="0" applyProtection="0"/>
    <xf numFmtId="49" fontId="58" fillId="0" borderId="181" applyNumberFormat="0" applyFont="0" applyFill="0" applyBorder="0" applyProtection="0">
      <alignment horizontal="left" vertical="center" indent="2"/>
    </xf>
    <xf numFmtId="49" fontId="58" fillId="0" borderId="182" applyNumberFormat="0" applyFont="0" applyFill="0" applyBorder="0" applyProtection="0">
      <alignment horizontal="left" vertical="center" indent="5"/>
    </xf>
    <xf numFmtId="49" fontId="58" fillId="0" borderId="181" applyNumberFormat="0" applyFont="0" applyFill="0" applyBorder="0" applyProtection="0">
      <alignment horizontal="left" vertical="center" indent="2"/>
    </xf>
    <xf numFmtId="4" fontId="58" fillId="0" borderId="181" applyFill="0" applyBorder="0" applyProtection="0">
      <alignment horizontal="right" vertical="center"/>
    </xf>
    <xf numFmtId="49" fontId="59" fillId="0" borderId="181" applyNumberFormat="0" applyFill="0" applyBorder="0" applyProtection="0">
      <alignment horizontal="left" vertical="center"/>
    </xf>
    <xf numFmtId="0" fontId="58" fillId="0" borderId="184">
      <alignment horizontal="left" vertical="center" wrapText="1" indent="2"/>
    </xf>
    <xf numFmtId="0" fontId="114" fillId="70" borderId="185" applyNumberFormat="0" applyAlignment="0" applyProtection="0"/>
    <xf numFmtId="0" fontId="87" fillId="14" borderId="183">
      <alignment horizontal="right" vertical="center"/>
    </xf>
    <xf numFmtId="0" fontId="101" fillId="57" borderId="178" applyNumberFormat="0" applyAlignment="0" applyProtection="0"/>
    <xf numFmtId="0" fontId="87" fillId="14" borderId="183">
      <alignment horizontal="right" vertical="center"/>
    </xf>
    <xf numFmtId="4" fontId="87" fillId="14" borderId="181">
      <alignment horizontal="right" vertical="center"/>
    </xf>
    <xf numFmtId="0" fontId="87" fillId="14" borderId="181">
      <alignment horizontal="right" vertical="center"/>
    </xf>
    <xf numFmtId="0" fontId="95" fillId="70" borderId="185" applyNumberFormat="0" applyAlignment="0" applyProtection="0"/>
    <xf numFmtId="0" fontId="97" fillId="70" borderId="178" applyNumberFormat="0" applyAlignment="0" applyProtection="0"/>
    <xf numFmtId="0" fontId="102" fillId="0" borderId="179" applyNumberFormat="0" applyFill="0" applyAlignment="0" applyProtection="0"/>
    <xf numFmtId="0" fontId="58" fillId="48" borderId="181"/>
    <xf numFmtId="4" fontId="58" fillId="48" borderId="181"/>
    <xf numFmtId="4" fontId="87" fillId="14" borderId="181">
      <alignment horizontal="right" vertical="center"/>
    </xf>
    <xf numFmtId="0" fontId="89" fillId="47" borderId="181">
      <alignment horizontal="right" vertical="center"/>
    </xf>
    <xf numFmtId="0" fontId="101" fillId="57" borderId="178" applyNumberFormat="0" applyAlignment="0" applyProtection="0"/>
    <xf numFmtId="0" fontId="98" fillId="70" borderId="178" applyNumberFormat="0" applyAlignment="0" applyProtection="0"/>
    <xf numFmtId="4" fontId="58" fillId="0" borderId="181">
      <alignment horizontal="right" vertical="center"/>
    </xf>
    <xf numFmtId="0" fontId="58" fillId="14" borderId="184">
      <alignment horizontal="left" vertical="center" wrapText="1" indent="2"/>
    </xf>
    <xf numFmtId="0" fontId="58" fillId="0" borderId="184">
      <alignment horizontal="left" vertical="center" wrapText="1" indent="2"/>
    </xf>
    <xf numFmtId="0" fontId="114" fillId="70" borderId="185" applyNumberFormat="0" applyAlignment="0" applyProtection="0"/>
    <xf numFmtId="0" fontId="110" fillId="57" borderId="178" applyNumberFormat="0" applyAlignment="0" applyProtection="0"/>
    <xf numFmtId="0" fontId="97" fillId="70" borderId="178" applyNumberFormat="0" applyAlignment="0" applyProtection="0"/>
    <xf numFmtId="0" fontId="95" fillId="70" borderId="185" applyNumberFormat="0" applyAlignment="0" applyProtection="0"/>
    <xf numFmtId="0" fontId="87" fillId="14" borderId="183">
      <alignment horizontal="right" vertical="center"/>
    </xf>
    <xf numFmtId="0" fontId="89" fillId="47" borderId="181">
      <alignment horizontal="right" vertical="center"/>
    </xf>
    <xf numFmtId="4" fontId="87" fillId="47" borderId="181">
      <alignment horizontal="right" vertical="center"/>
    </xf>
    <xf numFmtId="4" fontId="87" fillId="14" borderId="181">
      <alignment horizontal="right" vertical="center"/>
    </xf>
    <xf numFmtId="49" fontId="58" fillId="0" borderId="182" applyNumberFormat="0" applyFont="0" applyFill="0" applyBorder="0" applyProtection="0">
      <alignment horizontal="left" vertical="center" indent="5"/>
    </xf>
    <xf numFmtId="4" fontId="58" fillId="0" borderId="181" applyFill="0" applyBorder="0" applyProtection="0">
      <alignment horizontal="right" vertical="center"/>
    </xf>
    <xf numFmtId="4" fontId="87" fillId="47" borderId="181">
      <alignment horizontal="right" vertical="center"/>
    </xf>
    <xf numFmtId="0" fontId="110" fillId="57" borderId="178" applyNumberFormat="0" applyAlignment="0" applyProtection="0"/>
    <xf numFmtId="0" fontId="101" fillId="57" borderId="178" applyNumberFormat="0" applyAlignment="0" applyProtection="0"/>
    <xf numFmtId="0" fontId="97" fillId="70" borderId="178" applyNumberFormat="0" applyAlignment="0" applyProtection="0"/>
    <xf numFmtId="0" fontId="58" fillId="14" borderId="184">
      <alignment horizontal="left" vertical="center" wrapText="1" indent="2"/>
    </xf>
    <xf numFmtId="0" fontId="58" fillId="0" borderId="184">
      <alignment horizontal="left" vertical="center" wrapText="1" indent="2"/>
    </xf>
    <xf numFmtId="0" fontId="58" fillId="14" borderId="184">
      <alignment horizontal="left" vertical="center" wrapText="1" indent="2"/>
    </xf>
    <xf numFmtId="0" fontId="58" fillId="0" borderId="184">
      <alignment horizontal="left" vertical="center" wrapText="1" indent="2"/>
    </xf>
    <xf numFmtId="0" fontId="95" fillId="70" borderId="185" applyNumberFormat="0" applyAlignment="0" applyProtection="0"/>
    <xf numFmtId="0" fontId="97" fillId="70" borderId="178" applyNumberFormat="0" applyAlignment="0" applyProtection="0"/>
    <xf numFmtId="0" fontId="98" fillId="70" borderId="178" applyNumberFormat="0" applyAlignment="0" applyProtection="0"/>
    <xf numFmtId="0" fontId="101" fillId="57" borderId="178" applyNumberFormat="0" applyAlignment="0" applyProtection="0"/>
    <xf numFmtId="0" fontId="102" fillId="0" borderId="179" applyNumberFormat="0" applyFill="0" applyAlignment="0" applyProtection="0"/>
    <xf numFmtId="0" fontId="110" fillId="57" borderId="178" applyNumberFormat="0" applyAlignment="0" applyProtection="0"/>
    <xf numFmtId="0" fontId="92" fillId="73" borderId="180" applyNumberFormat="0" applyFont="0" applyAlignment="0" applyProtection="0"/>
    <xf numFmtId="0" fontId="39" fillId="73" borderId="180" applyNumberFormat="0" applyFont="0" applyAlignment="0" applyProtection="0"/>
    <xf numFmtId="0" fontId="114" fillId="70" borderId="185" applyNumberFormat="0" applyAlignment="0" applyProtection="0"/>
    <xf numFmtId="0" fontId="117" fillId="0" borderId="179" applyNumberFormat="0" applyFill="0" applyAlignment="0" applyProtection="0"/>
    <xf numFmtId="0" fontId="98" fillId="70" borderId="178" applyNumberFormat="0" applyAlignment="0" applyProtection="0"/>
    <xf numFmtId="0" fontId="110" fillId="57" borderId="178" applyNumberFormat="0" applyAlignment="0" applyProtection="0"/>
    <xf numFmtId="0" fontId="92" fillId="73" borderId="180" applyNumberFormat="0" applyFont="0" applyAlignment="0" applyProtection="0"/>
    <xf numFmtId="0" fontId="114" fillId="70" borderId="185" applyNumberFormat="0" applyAlignment="0" applyProtection="0"/>
    <xf numFmtId="0" fontId="117" fillId="0" borderId="179" applyNumberFormat="0" applyFill="0" applyAlignment="0" applyProtection="0"/>
    <xf numFmtId="0" fontId="98" fillId="70" borderId="178" applyNumberFormat="0" applyAlignment="0" applyProtection="0"/>
    <xf numFmtId="0" fontId="110" fillId="57" borderId="178" applyNumberFormat="0" applyAlignment="0" applyProtection="0"/>
    <xf numFmtId="0" fontId="114" fillId="70" borderId="185" applyNumberFormat="0" applyAlignment="0" applyProtection="0"/>
    <xf numFmtId="0" fontId="117" fillId="0" borderId="179" applyNumberFormat="0" applyFill="0" applyAlignment="0" applyProtection="0"/>
    <xf numFmtId="0" fontId="95" fillId="70" borderId="185" applyNumberFormat="0" applyAlignment="0" applyProtection="0"/>
    <xf numFmtId="0" fontId="97" fillId="70" borderId="178" applyNumberFormat="0" applyAlignment="0" applyProtection="0"/>
    <xf numFmtId="0" fontId="102" fillId="0" borderId="179" applyNumberFormat="0" applyFill="0" applyAlignment="0" applyProtection="0"/>
    <xf numFmtId="49" fontId="58" fillId="0" borderId="181" applyNumberFormat="0" applyFont="0" applyFill="0" applyBorder="0" applyProtection="0">
      <alignment horizontal="left" vertical="center" indent="2"/>
    </xf>
    <xf numFmtId="0" fontId="87" fillId="47" borderId="181">
      <alignment horizontal="right" vertical="center"/>
    </xf>
    <xf numFmtId="4" fontId="87" fillId="47" borderId="181">
      <alignment horizontal="right" vertical="center"/>
    </xf>
    <xf numFmtId="0" fontId="89" fillId="47" borderId="181">
      <alignment horizontal="right" vertical="center"/>
    </xf>
    <xf numFmtId="4" fontId="89" fillId="47" borderId="181">
      <alignment horizontal="right" vertical="center"/>
    </xf>
    <xf numFmtId="0" fontId="87" fillId="14" borderId="181">
      <alignment horizontal="right" vertical="center"/>
    </xf>
    <xf numFmtId="4" fontId="87" fillId="14" borderId="181">
      <alignment horizontal="right" vertical="center"/>
    </xf>
    <xf numFmtId="0" fontId="87" fillId="14" borderId="181">
      <alignment horizontal="right" vertical="center"/>
    </xf>
    <xf numFmtId="4" fontId="87" fillId="14" borderId="181">
      <alignment horizontal="right" vertical="center"/>
    </xf>
    <xf numFmtId="0" fontId="101" fillId="57" borderId="178" applyNumberFormat="0" applyAlignment="0" applyProtection="0"/>
    <xf numFmtId="0" fontId="58" fillId="0" borderId="181">
      <alignment horizontal="right" vertical="center"/>
    </xf>
    <xf numFmtId="4" fontId="58" fillId="0" borderId="181">
      <alignment horizontal="right" vertical="center"/>
    </xf>
    <xf numFmtId="4" fontId="58" fillId="0" borderId="181" applyFill="0" applyBorder="0" applyProtection="0">
      <alignment horizontal="right" vertical="center"/>
    </xf>
    <xf numFmtId="49" fontId="59" fillId="0" borderId="181" applyNumberFormat="0" applyFill="0" applyBorder="0" applyProtection="0">
      <alignment horizontal="left" vertical="center"/>
    </xf>
    <xf numFmtId="0" fontId="58" fillId="0" borderId="181" applyNumberFormat="0" applyFill="0" applyAlignment="0" applyProtection="0"/>
    <xf numFmtId="179" fontId="58" fillId="74" borderId="181" applyNumberFormat="0" applyFont="0" applyBorder="0" applyAlignment="0" applyProtection="0">
      <alignment horizontal="right" vertical="center"/>
    </xf>
    <xf numFmtId="0" fontId="58" fillId="48" borderId="181"/>
    <xf numFmtId="4" fontId="58" fillId="48" borderId="181"/>
    <xf numFmtId="4" fontId="87" fillId="14" borderId="181">
      <alignment horizontal="right" vertical="center"/>
    </xf>
    <xf numFmtId="0" fontId="58" fillId="48" borderId="181"/>
    <xf numFmtId="0" fontId="97" fillId="70" borderId="178" applyNumberFormat="0" applyAlignment="0" applyProtection="0"/>
    <xf numFmtId="0" fontId="87" fillId="47" borderId="181">
      <alignment horizontal="right" vertical="center"/>
    </xf>
    <xf numFmtId="0" fontId="58" fillId="0" borderId="181">
      <alignment horizontal="right" vertical="center"/>
    </xf>
    <xf numFmtId="0" fontId="117" fillId="0" borderId="179" applyNumberFormat="0" applyFill="0" applyAlignment="0" applyProtection="0"/>
    <xf numFmtId="0" fontId="58" fillId="47" borderId="182">
      <alignment horizontal="left" vertical="center"/>
    </xf>
    <xf numFmtId="0" fontId="110" fillId="57" borderId="178" applyNumberFormat="0" applyAlignment="0" applyProtection="0"/>
    <xf numFmtId="179" fontId="58" fillId="74" borderId="181" applyNumberFormat="0" applyFont="0" applyBorder="0" applyAlignment="0" applyProtection="0">
      <alignment horizontal="right" vertical="center"/>
    </xf>
    <xf numFmtId="0" fontId="92" fillId="73" borderId="180" applyNumberFormat="0" applyFont="0" applyAlignment="0" applyProtection="0"/>
    <xf numFmtId="0" fontId="58" fillId="0" borderId="184">
      <alignment horizontal="left" vertical="center" wrapText="1" indent="2"/>
    </xf>
    <xf numFmtId="4" fontId="58" fillId="48" borderId="181"/>
    <xf numFmtId="49" fontId="59" fillId="0" borderId="181" applyNumberFormat="0" applyFill="0" applyBorder="0" applyProtection="0">
      <alignment horizontal="left" vertical="center"/>
    </xf>
    <xf numFmtId="0" fontId="58" fillId="0" borderId="181">
      <alignment horizontal="right" vertical="center"/>
    </xf>
    <xf numFmtId="4" fontId="87" fillId="14" borderId="183">
      <alignment horizontal="right" vertical="center"/>
    </xf>
    <xf numFmtId="4" fontId="87" fillId="14" borderId="181">
      <alignment horizontal="right" vertical="center"/>
    </xf>
    <xf numFmtId="4" fontId="87" fillId="14" borderId="181">
      <alignment horizontal="right" vertical="center"/>
    </xf>
    <xf numFmtId="0" fontId="89" fillId="47" borderId="181">
      <alignment horizontal="right" vertical="center"/>
    </xf>
    <xf numFmtId="0" fontId="87" fillId="47" borderId="181">
      <alignment horizontal="right" vertical="center"/>
    </xf>
    <xf numFmtId="49" fontId="58" fillId="0" borderId="181" applyNumberFormat="0" applyFont="0" applyFill="0" applyBorder="0" applyProtection="0">
      <alignment horizontal="left" vertical="center" indent="2"/>
    </xf>
    <xf numFmtId="0" fontId="110" fillId="57" borderId="178" applyNumberFormat="0" applyAlignment="0" applyProtection="0"/>
    <xf numFmtId="0" fontId="95" fillId="70" borderId="185" applyNumberFormat="0" applyAlignment="0" applyProtection="0"/>
    <xf numFmtId="49" fontId="58" fillId="0" borderId="181" applyNumberFormat="0" applyFont="0" applyFill="0" applyBorder="0" applyProtection="0">
      <alignment horizontal="left" vertical="center" indent="2"/>
    </xf>
    <xf numFmtId="0" fontId="101" fillId="57" borderId="178" applyNumberFormat="0" applyAlignment="0" applyProtection="0"/>
    <xf numFmtId="4" fontId="58" fillId="0" borderId="181" applyFill="0" applyBorder="0" applyProtection="0">
      <alignment horizontal="right" vertical="center"/>
    </xf>
    <xf numFmtId="0" fontId="98" fillId="70" borderId="178" applyNumberFormat="0" applyAlignment="0" applyProtection="0"/>
    <xf numFmtId="0" fontId="117" fillId="0" borderId="179" applyNumberFormat="0" applyFill="0" applyAlignment="0" applyProtection="0"/>
    <xf numFmtId="0" fontId="114" fillId="70" borderId="185" applyNumberFormat="0" applyAlignment="0" applyProtection="0"/>
    <xf numFmtId="0" fontId="58" fillId="0" borderId="181" applyNumberFormat="0" applyFill="0" applyAlignment="0" applyProtection="0"/>
    <xf numFmtId="4" fontId="58" fillId="0" borderId="181">
      <alignment horizontal="right" vertical="center"/>
    </xf>
    <xf numFmtId="0" fontId="58" fillId="0" borderId="181">
      <alignment horizontal="right" vertical="center"/>
    </xf>
    <xf numFmtId="0" fontId="110" fillId="57" borderId="178" applyNumberFormat="0" applyAlignment="0" applyProtection="0"/>
    <xf numFmtId="0" fontId="95" fillId="70" borderId="185" applyNumberFormat="0" applyAlignment="0" applyProtection="0"/>
    <xf numFmtId="0" fontId="97" fillId="70" borderId="178" applyNumberFormat="0" applyAlignment="0" applyProtection="0"/>
    <xf numFmtId="0" fontId="58" fillId="14" borderId="184">
      <alignment horizontal="left" vertical="center" wrapText="1" indent="2"/>
    </xf>
    <xf numFmtId="0" fontId="98" fillId="70" borderId="178" applyNumberFormat="0" applyAlignment="0" applyProtection="0"/>
    <xf numFmtId="0" fontId="98" fillId="70" borderId="178" applyNumberFormat="0" applyAlignment="0" applyProtection="0"/>
    <xf numFmtId="4" fontId="87" fillId="14" borderId="182">
      <alignment horizontal="right" vertical="center"/>
    </xf>
    <xf numFmtId="0" fontId="87" fillId="14" borderId="182">
      <alignment horizontal="right" vertical="center"/>
    </xf>
    <xf numFmtId="0" fontId="87" fillId="14" borderId="181">
      <alignment horizontal="right" vertical="center"/>
    </xf>
    <xf numFmtId="4" fontId="89" fillId="47" borderId="181">
      <alignment horizontal="right" vertical="center"/>
    </xf>
    <xf numFmtId="0" fontId="101" fillId="57" borderId="178" applyNumberFormat="0" applyAlignment="0" applyProtection="0"/>
    <xf numFmtId="0" fontId="102" fillId="0" borderId="179" applyNumberFormat="0" applyFill="0" applyAlignment="0" applyProtection="0"/>
    <xf numFmtId="0" fontId="117" fillId="0" borderId="179" applyNumberFormat="0" applyFill="0" applyAlignment="0" applyProtection="0"/>
    <xf numFmtId="0" fontId="92" fillId="73" borderId="180" applyNumberFormat="0" applyFont="0" applyAlignment="0" applyProtection="0"/>
    <xf numFmtId="0" fontId="110" fillId="57" borderId="178" applyNumberFormat="0" applyAlignment="0" applyProtection="0"/>
    <xf numFmtId="49" fontId="59" fillId="0" borderId="181" applyNumberFormat="0" applyFill="0" applyBorder="0" applyProtection="0">
      <alignment horizontal="left" vertical="center"/>
    </xf>
    <xf numFmtId="0" fontId="58" fillId="14" borderId="184">
      <alignment horizontal="left" vertical="center" wrapText="1" indent="2"/>
    </xf>
    <xf numFmtId="0" fontId="98" fillId="70" borderId="178" applyNumberFormat="0" applyAlignment="0" applyProtection="0"/>
    <xf numFmtId="0" fontId="58" fillId="0" borderId="184">
      <alignment horizontal="left" vertical="center" wrapText="1" indent="2"/>
    </xf>
    <xf numFmtId="0" fontId="92" fillId="73" borderId="180" applyNumberFormat="0" applyFont="0" applyAlignment="0" applyProtection="0"/>
    <xf numFmtId="0" fontId="39" fillId="73" borderId="180" applyNumberFormat="0" applyFont="0" applyAlignment="0" applyProtection="0"/>
    <xf numFmtId="0" fontId="114" fillId="70" borderId="185" applyNumberFormat="0" applyAlignment="0" applyProtection="0"/>
    <xf numFmtId="0" fontId="117" fillId="0" borderId="179" applyNumberFormat="0" applyFill="0" applyAlignment="0" applyProtection="0"/>
    <xf numFmtId="4" fontId="58" fillId="48" borderId="181"/>
    <xf numFmtId="0" fontId="87" fillId="14" borderId="181">
      <alignment horizontal="right" vertical="center"/>
    </xf>
    <xf numFmtId="0" fontId="117" fillId="0" borderId="179" applyNumberFormat="0" applyFill="0" applyAlignment="0" applyProtection="0"/>
    <xf numFmtId="4" fontId="87" fillId="14" borderId="183">
      <alignment horizontal="right" vertical="center"/>
    </xf>
    <xf numFmtId="0" fontId="97" fillId="70" borderId="178" applyNumberFormat="0" applyAlignment="0" applyProtection="0"/>
    <xf numFmtId="0" fontId="87" fillId="14" borderId="182">
      <alignment horizontal="right" vertical="center"/>
    </xf>
    <xf numFmtId="0" fontId="98" fillId="70" borderId="178" applyNumberFormat="0" applyAlignment="0" applyProtection="0"/>
    <xf numFmtId="0" fontId="102" fillId="0" borderId="179" applyNumberFormat="0" applyFill="0" applyAlignment="0" applyProtection="0"/>
    <xf numFmtId="0" fontId="92" fillId="73" borderId="180" applyNumberFormat="0" applyFont="0" applyAlignment="0" applyProtection="0"/>
    <xf numFmtId="4" fontId="87" fillId="14" borderId="182">
      <alignment horizontal="right" vertical="center"/>
    </xf>
    <xf numFmtId="0" fontId="58" fillId="14" borderId="184">
      <alignment horizontal="left" vertical="center" wrapText="1" indent="2"/>
    </xf>
    <xf numFmtId="0" fontId="58" fillId="48" borderId="181"/>
    <xf numFmtId="179" fontId="58" fillId="74" borderId="181" applyNumberFormat="0" applyFont="0" applyBorder="0" applyAlignment="0" applyProtection="0">
      <alignment horizontal="right" vertical="center"/>
    </xf>
    <xf numFmtId="0" fontId="58" fillId="0" borderId="181" applyNumberFormat="0" applyFill="0" applyAlignment="0" applyProtection="0"/>
    <xf numFmtId="4" fontId="58" fillId="0" borderId="181" applyFill="0" applyBorder="0" applyProtection="0">
      <alignment horizontal="right" vertical="center"/>
    </xf>
    <xf numFmtId="4" fontId="87" fillId="47" borderId="181">
      <alignment horizontal="right" vertical="center"/>
    </xf>
    <xf numFmtId="0" fontId="102" fillId="0" borderId="179" applyNumberFormat="0" applyFill="0" applyAlignment="0" applyProtection="0"/>
    <xf numFmtId="49" fontId="59" fillId="0" borderId="181" applyNumberFormat="0" applyFill="0" applyBorder="0" applyProtection="0">
      <alignment horizontal="left" vertical="center"/>
    </xf>
    <xf numFmtId="49" fontId="58" fillId="0" borderId="182" applyNumberFormat="0" applyFont="0" applyFill="0" applyBorder="0" applyProtection="0">
      <alignment horizontal="left" vertical="center" indent="5"/>
    </xf>
    <xf numFmtId="0" fontId="58" fillId="47" borderId="182">
      <alignment horizontal="left" vertical="center"/>
    </xf>
    <xf numFmtId="0" fontId="98" fillId="70" borderId="178" applyNumberFormat="0" applyAlignment="0" applyProtection="0"/>
    <xf numFmtId="4" fontId="87" fillId="14" borderId="183">
      <alignment horizontal="right" vertical="center"/>
    </xf>
    <xf numFmtId="0" fontId="110" fillId="57" borderId="178" applyNumberFormat="0" applyAlignment="0" applyProtection="0"/>
    <xf numFmtId="0" fontId="110" fillId="57" borderId="178" applyNumberFormat="0" applyAlignment="0" applyProtection="0"/>
    <xf numFmtId="0" fontId="92" fillId="73" borderId="180" applyNumberFormat="0" applyFont="0" applyAlignment="0" applyProtection="0"/>
    <xf numFmtId="0" fontId="114" fillId="70" borderId="185" applyNumberFormat="0" applyAlignment="0" applyProtection="0"/>
    <xf numFmtId="0" fontId="117" fillId="0" borderId="179" applyNumberFormat="0" applyFill="0" applyAlignment="0" applyProtection="0"/>
    <xf numFmtId="0" fontId="87" fillId="14" borderId="181">
      <alignment horizontal="right" vertical="center"/>
    </xf>
    <xf numFmtId="0" fontId="39" fillId="73" borderId="180" applyNumberFormat="0" applyFont="0" applyAlignment="0" applyProtection="0"/>
    <xf numFmtId="4" fontId="58" fillId="0" borderId="181">
      <alignment horizontal="right" vertical="center"/>
    </xf>
    <xf numFmtId="0" fontId="117" fillId="0" borderId="179" applyNumberFormat="0" applyFill="0" applyAlignment="0" applyProtection="0"/>
    <xf numFmtId="0" fontId="87" fillId="14" borderId="181">
      <alignment horizontal="right" vertical="center"/>
    </xf>
    <xf numFmtId="0" fontId="87" fillId="14" borderId="181">
      <alignment horizontal="right" vertical="center"/>
    </xf>
    <xf numFmtId="4" fontId="89" fillId="47" borderId="181">
      <alignment horizontal="right" vertical="center"/>
    </xf>
    <xf numFmtId="0" fontId="87" fillId="47" borderId="181">
      <alignment horizontal="right" vertical="center"/>
    </xf>
    <xf numFmtId="4" fontId="87" fillId="47" borderId="181">
      <alignment horizontal="right" vertical="center"/>
    </xf>
    <xf numFmtId="0" fontId="89" fillId="47" borderId="181">
      <alignment horizontal="right" vertical="center"/>
    </xf>
    <xf numFmtId="4" fontId="89" fillId="47" borderId="181">
      <alignment horizontal="right" vertical="center"/>
    </xf>
    <xf numFmtId="0" fontId="87" fillId="14" borderId="181">
      <alignment horizontal="right" vertical="center"/>
    </xf>
    <xf numFmtId="4" fontId="87" fillId="14" borderId="181">
      <alignment horizontal="right" vertical="center"/>
    </xf>
    <xf numFmtId="0" fontId="87" fillId="14" borderId="181">
      <alignment horizontal="right" vertical="center"/>
    </xf>
    <xf numFmtId="4" fontId="87" fillId="14" borderId="181">
      <alignment horizontal="right" vertical="center"/>
    </xf>
    <xf numFmtId="0" fontId="87" fillId="14" borderId="182">
      <alignment horizontal="right" vertical="center"/>
    </xf>
    <xf numFmtId="4" fontId="87" fillId="14" borderId="182">
      <alignment horizontal="right" vertical="center"/>
    </xf>
    <xf numFmtId="0" fontId="87" fillId="14" borderId="183">
      <alignment horizontal="right" vertical="center"/>
    </xf>
    <xf numFmtId="4" fontId="87" fillId="14" borderId="183">
      <alignment horizontal="right" vertical="center"/>
    </xf>
    <xf numFmtId="0" fontId="98" fillId="70" borderId="178" applyNumberFormat="0" applyAlignment="0" applyProtection="0"/>
    <xf numFmtId="0" fontId="58" fillId="14" borderId="184">
      <alignment horizontal="left" vertical="center" wrapText="1" indent="2"/>
    </xf>
    <xf numFmtId="0" fontId="58" fillId="0" borderId="184">
      <alignment horizontal="left" vertical="center" wrapText="1" indent="2"/>
    </xf>
    <xf numFmtId="0" fontId="58" fillId="47" borderId="182">
      <alignment horizontal="left" vertical="center"/>
    </xf>
    <xf numFmtId="0" fontId="110" fillId="57" borderId="178" applyNumberFormat="0" applyAlignment="0" applyProtection="0"/>
    <xf numFmtId="0" fontId="58" fillId="0" borderId="181">
      <alignment horizontal="right" vertical="center"/>
    </xf>
    <xf numFmtId="4" fontId="58" fillId="0" borderId="181">
      <alignment horizontal="right" vertical="center"/>
    </xf>
    <xf numFmtId="0" fontId="58" fillId="0" borderId="181" applyNumberFormat="0" applyFill="0" applyAlignment="0" applyProtection="0"/>
    <xf numFmtId="0" fontId="114" fillId="70" borderId="185" applyNumberFormat="0" applyAlignment="0" applyProtection="0"/>
    <xf numFmtId="179" fontId="58" fillId="74" borderId="181" applyNumberFormat="0" applyFont="0" applyBorder="0" applyAlignment="0" applyProtection="0">
      <alignment horizontal="right" vertical="center"/>
    </xf>
    <xf numFmtId="0" fontId="58" fillId="48" borderId="181"/>
    <xf numFmtId="4" fontId="58" fillId="48" borderId="181"/>
    <xf numFmtId="0" fontId="117" fillId="0" borderId="179" applyNumberFormat="0" applyFill="0" applyAlignment="0" applyProtection="0"/>
    <xf numFmtId="0" fontId="39" fillId="73" borderId="180" applyNumberFormat="0" applyFont="0" applyAlignment="0" applyProtection="0"/>
    <xf numFmtId="0" fontId="92" fillId="73" borderId="180" applyNumberFormat="0" applyFont="0" applyAlignment="0" applyProtection="0"/>
    <xf numFmtId="0" fontId="58" fillId="0" borderId="181" applyNumberFormat="0" applyFill="0" applyAlignment="0" applyProtection="0"/>
    <xf numFmtId="0" fontId="102" fillId="0" borderId="179" applyNumberFormat="0" applyFill="0" applyAlignment="0" applyProtection="0"/>
    <xf numFmtId="0" fontId="117" fillId="0" borderId="179" applyNumberFormat="0" applyFill="0" applyAlignment="0" applyProtection="0"/>
    <xf numFmtId="0" fontId="101" fillId="57" borderId="178" applyNumberFormat="0" applyAlignment="0" applyProtection="0"/>
    <xf numFmtId="0" fontId="98" fillId="70" borderId="178" applyNumberFormat="0" applyAlignment="0" applyProtection="0"/>
    <xf numFmtId="4" fontId="89" fillId="47" borderId="181">
      <alignment horizontal="right" vertical="center"/>
    </xf>
    <xf numFmtId="0" fontId="87" fillId="47" borderId="181">
      <alignment horizontal="right" vertical="center"/>
    </xf>
    <xf numFmtId="179" fontId="58" fillId="74" borderId="181" applyNumberFormat="0" applyFont="0" applyBorder="0" applyAlignment="0" applyProtection="0">
      <alignment horizontal="right" vertical="center"/>
    </xf>
    <xf numFmtId="0" fontId="102" fillId="0" borderId="179" applyNumberFormat="0" applyFill="0" applyAlignment="0" applyProtection="0"/>
    <xf numFmtId="49" fontId="58" fillId="0" borderId="181" applyNumberFormat="0" applyFont="0" applyFill="0" applyBorder="0" applyProtection="0">
      <alignment horizontal="left" vertical="center" indent="2"/>
    </xf>
    <xf numFmtId="49" fontId="58" fillId="0" borderId="182" applyNumberFormat="0" applyFont="0" applyFill="0" applyBorder="0" applyProtection="0">
      <alignment horizontal="left" vertical="center" indent="5"/>
    </xf>
    <xf numFmtId="49" fontId="58" fillId="0" borderId="181" applyNumberFormat="0" applyFont="0" applyFill="0" applyBorder="0" applyProtection="0">
      <alignment horizontal="left" vertical="center" indent="2"/>
    </xf>
    <xf numFmtId="4" fontId="58" fillId="0" borderId="181" applyFill="0" applyBorder="0" applyProtection="0">
      <alignment horizontal="right" vertical="center"/>
    </xf>
    <xf numFmtId="49" fontId="59" fillId="0" borderId="181" applyNumberFormat="0" applyFill="0" applyBorder="0" applyProtection="0">
      <alignment horizontal="left" vertical="center"/>
    </xf>
    <xf numFmtId="0" fontId="58" fillId="0" borderId="184">
      <alignment horizontal="left" vertical="center" wrapText="1" indent="2"/>
    </xf>
    <xf numFmtId="0" fontId="114" fillId="70" borderId="185" applyNumberFormat="0" applyAlignment="0" applyProtection="0"/>
    <xf numFmtId="0" fontId="87" fillId="14" borderId="183">
      <alignment horizontal="right" vertical="center"/>
    </xf>
    <xf numFmtId="0" fontId="101" fillId="57" borderId="178" applyNumberFormat="0" applyAlignment="0" applyProtection="0"/>
    <xf numFmtId="0" fontId="87" fillId="14" borderId="183">
      <alignment horizontal="right" vertical="center"/>
    </xf>
    <xf numFmtId="4" fontId="87" fillId="14" borderId="181">
      <alignment horizontal="right" vertical="center"/>
    </xf>
    <xf numFmtId="0" fontId="87" fillId="14" borderId="181">
      <alignment horizontal="right" vertical="center"/>
    </xf>
    <xf numFmtId="0" fontId="95" fillId="70" borderId="185" applyNumberFormat="0" applyAlignment="0" applyProtection="0"/>
    <xf numFmtId="0" fontId="97" fillId="70" borderId="178" applyNumberFormat="0" applyAlignment="0" applyProtection="0"/>
    <xf numFmtId="0" fontId="102" fillId="0" borderId="179" applyNumberFormat="0" applyFill="0" applyAlignment="0" applyProtection="0"/>
    <xf numFmtId="0" fontId="58" fillId="48" borderId="181"/>
    <xf numFmtId="4" fontId="58" fillId="48" borderId="181"/>
    <xf numFmtId="4" fontId="87" fillId="14" borderId="181">
      <alignment horizontal="right" vertical="center"/>
    </xf>
    <xf numFmtId="0" fontId="89" fillId="47" borderId="181">
      <alignment horizontal="right" vertical="center"/>
    </xf>
    <xf numFmtId="0" fontId="101" fillId="57" borderId="178" applyNumberFormat="0" applyAlignment="0" applyProtection="0"/>
    <xf numFmtId="0" fontId="98" fillId="70" borderId="178" applyNumberFormat="0" applyAlignment="0" applyProtection="0"/>
    <xf numFmtId="4" fontId="58" fillId="0" borderId="181">
      <alignment horizontal="right" vertical="center"/>
    </xf>
    <xf numFmtId="0" fontId="58" fillId="14" borderId="184">
      <alignment horizontal="left" vertical="center" wrapText="1" indent="2"/>
    </xf>
    <xf numFmtId="0" fontId="58" fillId="0" borderId="184">
      <alignment horizontal="left" vertical="center" wrapText="1" indent="2"/>
    </xf>
    <xf numFmtId="0" fontId="114" fillId="70" borderId="185" applyNumberFormat="0" applyAlignment="0" applyProtection="0"/>
    <xf numFmtId="0" fontId="110" fillId="57" borderId="178" applyNumberFormat="0" applyAlignment="0" applyProtection="0"/>
    <xf numFmtId="0" fontId="97" fillId="70" borderId="178" applyNumberFormat="0" applyAlignment="0" applyProtection="0"/>
    <xf numFmtId="0" fontId="95" fillId="70" borderId="185" applyNumberFormat="0" applyAlignment="0" applyProtection="0"/>
    <xf numFmtId="0" fontId="87" fillId="14" borderId="183">
      <alignment horizontal="right" vertical="center"/>
    </xf>
    <xf numFmtId="0" fontId="89" fillId="47" borderId="181">
      <alignment horizontal="right" vertical="center"/>
    </xf>
    <xf numFmtId="4" fontId="87" fillId="47" borderId="181">
      <alignment horizontal="right" vertical="center"/>
    </xf>
    <xf numFmtId="4" fontId="87" fillId="14" borderId="181">
      <alignment horizontal="right" vertical="center"/>
    </xf>
    <xf numFmtId="49" fontId="58" fillId="0" borderId="182" applyNumberFormat="0" applyFont="0" applyFill="0" applyBorder="0" applyProtection="0">
      <alignment horizontal="left" vertical="center" indent="5"/>
    </xf>
    <xf numFmtId="4" fontId="58" fillId="0" borderId="181" applyFill="0" applyBorder="0" applyProtection="0">
      <alignment horizontal="right" vertical="center"/>
    </xf>
    <xf numFmtId="4" fontId="87" fillId="47" borderId="181">
      <alignment horizontal="right" vertical="center"/>
    </xf>
    <xf numFmtId="0" fontId="110" fillId="57" borderId="178" applyNumberFormat="0" applyAlignment="0" applyProtection="0"/>
    <xf numFmtId="0" fontId="101" fillId="57" borderId="178" applyNumberFormat="0" applyAlignment="0" applyProtection="0"/>
    <xf numFmtId="0" fontId="97" fillId="70" borderId="178" applyNumberFormat="0" applyAlignment="0" applyProtection="0"/>
    <xf numFmtId="0" fontId="58" fillId="14" borderId="184">
      <alignment horizontal="left" vertical="center" wrapText="1" indent="2"/>
    </xf>
    <xf numFmtId="0" fontId="58" fillId="0" borderId="184">
      <alignment horizontal="left" vertical="center" wrapText="1" indent="2"/>
    </xf>
    <xf numFmtId="0" fontId="58" fillId="14" borderId="184">
      <alignment horizontal="left" vertical="center" wrapText="1" indent="2"/>
    </xf>
    <xf numFmtId="0" fontId="8" fillId="0" borderId="0"/>
    <xf numFmtId="9" fontId="8" fillId="0" borderId="0" applyFont="0" applyFill="0" applyBorder="0" applyAlignment="0" applyProtection="0"/>
    <xf numFmtId="0" fontId="39" fillId="0" borderId="0"/>
    <xf numFmtId="0" fontId="7" fillId="0" borderId="0"/>
    <xf numFmtId="0" fontId="137" fillId="0" borderId="0" applyBorder="0"/>
    <xf numFmtId="41" fontId="7" fillId="0" borderId="0" applyFont="0" applyFill="0" applyBorder="0" applyAlignment="0" applyProtection="0"/>
    <xf numFmtId="41" fontId="7" fillId="0" borderId="0" applyFont="0" applyFill="0" applyBorder="0" applyAlignment="0" applyProtection="0"/>
    <xf numFmtId="0" fontId="137" fillId="0" borderId="0" applyNumberFormat="0" applyBorder="0" applyAlignment="0"/>
    <xf numFmtId="41" fontId="39" fillId="0" borderId="0" applyFont="0" applyFill="0" applyBorder="0" applyAlignment="0" applyProtection="0"/>
    <xf numFmtId="0" fontId="7" fillId="0" borderId="0"/>
    <xf numFmtId="41"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xf numFmtId="0" fontId="39" fillId="0" borderId="0" applyFill="0" applyBorder="0" applyAlignment="0"/>
    <xf numFmtId="0" fontId="39" fillId="0" borderId="0" applyFill="0" applyBorder="0" applyAlignment="0"/>
    <xf numFmtId="0" fontId="39" fillId="0" borderId="0" applyFill="0" applyBorder="0" applyAlignment="0"/>
    <xf numFmtId="182"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ont="0" applyFill="0" applyBorder="0" applyAlignment="0" applyProtection="0"/>
    <xf numFmtId="0" fontId="39" fillId="0" borderId="0" applyFont="0" applyFill="0" applyBorder="0" applyAlignment="0" applyProtection="0"/>
    <xf numFmtId="14" fontId="138"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139" fillId="0" borderId="93" applyNumberFormat="0" applyAlignment="0" applyProtection="0">
      <alignment horizontal="left" vertical="center"/>
    </xf>
    <xf numFmtId="0" fontId="139" fillId="0" borderId="204">
      <alignment horizontal="left" vertical="center"/>
    </xf>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7" fillId="0" borderId="0"/>
    <xf numFmtId="0" fontId="140" fillId="0" borderId="0"/>
    <xf numFmtId="0" fontId="39" fillId="0" borderId="0" applyFont="0" applyFill="0" applyBorder="0" applyAlignment="0" applyProtection="0"/>
    <xf numFmtId="183" fontId="39" fillId="0" borderId="0" applyFont="0" applyFill="0" applyBorder="0" applyAlignment="0" applyProtection="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0" fontId="39" fillId="0" borderId="0" applyFill="0" applyBorder="0" applyAlignment="0"/>
    <xf numFmtId="49" fontId="138" fillId="0" borderId="0" applyFill="0" applyBorder="0" applyAlignment="0"/>
    <xf numFmtId="0" fontId="138" fillId="0" borderId="0" applyFill="0" applyBorder="0" applyAlignment="0"/>
    <xf numFmtId="184" fontId="39" fillId="0" borderId="0" applyFill="0" applyBorder="0" applyAlignment="0"/>
    <xf numFmtId="0" fontId="7" fillId="0" borderId="0"/>
    <xf numFmtId="0" fontId="39" fillId="0" borderId="0"/>
    <xf numFmtId="41" fontId="39" fillId="0" borderId="0" applyFont="0" applyFill="0" applyBorder="0" applyAlignment="0" applyProtection="0"/>
    <xf numFmtId="9" fontId="39" fillId="0" borderId="0" applyFont="0" applyFill="0" applyBorder="0" applyAlignment="0" applyProtection="0"/>
    <xf numFmtId="0" fontId="39" fillId="0" borderId="0"/>
    <xf numFmtId="0" fontId="7" fillId="0" borderId="0"/>
    <xf numFmtId="0" fontId="39" fillId="0" borderId="0"/>
    <xf numFmtId="0" fontId="7" fillId="0" borderId="0"/>
    <xf numFmtId="165" fontId="7" fillId="0" borderId="0" applyFont="0" applyFill="0" applyBorder="0" applyAlignment="0" applyProtection="0"/>
    <xf numFmtId="0" fontId="26" fillId="0" borderId="0" applyNumberFormat="0" applyFill="0" applyBorder="0" applyAlignment="0" applyProtection="0"/>
    <xf numFmtId="9" fontId="7" fillId="0" borderId="0" applyFont="0" applyFill="0" applyBorder="0" applyAlignment="0" applyProtection="0"/>
    <xf numFmtId="41" fontId="39" fillId="0" borderId="0" applyFont="0" applyFill="0" applyBorder="0" applyAlignment="0" applyProtection="0"/>
    <xf numFmtId="0" fontId="7" fillId="0" borderId="0"/>
    <xf numFmtId="0" fontId="141" fillId="0" borderId="0" applyNumberFormat="0" applyFill="0" applyBorder="0" applyAlignment="0" applyProtection="0"/>
    <xf numFmtId="3" fontId="29" fillId="77" borderId="4"/>
    <xf numFmtId="43" fontId="39" fillId="0" borderId="0" applyFont="0" applyFill="0" applyBorder="0" applyAlignment="0" applyProtection="0"/>
    <xf numFmtId="9" fontId="29" fillId="78" borderId="4"/>
    <xf numFmtId="3" fontId="29" fillId="79" borderId="0"/>
    <xf numFmtId="0" fontId="7" fillId="0" borderId="0"/>
    <xf numFmtId="0" fontId="7" fillId="0" borderId="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0" fontId="7" fillId="0" borderId="0"/>
    <xf numFmtId="0" fontId="140" fillId="0" borderId="0"/>
    <xf numFmtId="43" fontId="39" fillId="0" borderId="0" applyFont="0" applyFill="0" applyBorder="0" applyAlignment="0" applyProtection="0"/>
    <xf numFmtId="9" fontId="39" fillId="0" borderId="0" applyFont="0" applyFill="0" applyBorder="0" applyAlignment="0" applyProtection="0"/>
    <xf numFmtId="0" fontId="39" fillId="0" borderId="0"/>
    <xf numFmtId="0" fontId="7" fillId="0" borderId="0"/>
    <xf numFmtId="0" fontId="7" fillId="0" borderId="0"/>
    <xf numFmtId="41" fontId="7" fillId="0" borderId="0" applyFont="0" applyFill="0" applyBorder="0" applyAlignment="0" applyProtection="0"/>
    <xf numFmtId="9" fontId="39" fillId="0" borderId="0" applyFont="0" applyFill="0" applyBorder="0" applyAlignment="0" applyProtection="0"/>
    <xf numFmtId="41" fontId="7" fillId="0" borderId="0" applyFont="0" applyFill="0" applyBorder="0" applyAlignment="0" applyProtection="0"/>
    <xf numFmtId="0" fontId="7" fillId="0" borderId="0"/>
    <xf numFmtId="0" fontId="7" fillId="0" borderId="0"/>
    <xf numFmtId="0" fontId="39" fillId="0" borderId="0"/>
    <xf numFmtId="0" fontId="39" fillId="0" borderId="0"/>
    <xf numFmtId="0" fontId="39" fillId="0" borderId="0"/>
    <xf numFmtId="0" fontId="7" fillId="0" borderId="0"/>
    <xf numFmtId="9" fontId="7" fillId="0" borderId="0" applyFont="0" applyFill="0" applyBorder="0" applyAlignment="0" applyProtection="0"/>
    <xf numFmtId="0" fontId="7" fillId="0" borderId="0"/>
    <xf numFmtId="0" fontId="141" fillId="0" borderId="0" applyNumberFormat="0" applyFill="0" applyBorder="0" applyAlignment="0" applyProtection="0"/>
    <xf numFmtId="0" fontId="7" fillId="0" borderId="0"/>
    <xf numFmtId="0" fontId="7" fillId="0" borderId="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0" fontId="7" fillId="0" borderId="0"/>
    <xf numFmtId="0" fontId="140" fillId="0" borderId="0"/>
    <xf numFmtId="9" fontId="39" fillId="0" borderId="0" applyFont="0" applyFill="0" applyBorder="0" applyAlignment="0" applyProtection="0"/>
    <xf numFmtId="0" fontId="7" fillId="0" borderId="0"/>
    <xf numFmtId="9"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9" fontId="39" fillId="0" borderId="0" applyFont="0" applyFill="0" applyBorder="0" applyAlignment="0" applyProtection="0"/>
    <xf numFmtId="43" fontId="39" fillId="0" borderId="0" applyFont="0" applyFill="0" applyBorder="0" applyAlignment="0" applyProtection="0"/>
    <xf numFmtId="0" fontId="39" fillId="0" borderId="0"/>
    <xf numFmtId="9" fontId="39" fillId="0" borderId="0" applyFont="0" applyFill="0" applyBorder="0" applyAlignment="0" applyProtection="0"/>
    <xf numFmtId="43" fontId="39" fillId="0" borderId="0" applyFont="0" applyFill="0" applyBorder="0" applyAlignment="0" applyProtection="0"/>
    <xf numFmtId="41" fontId="7" fillId="0" borderId="0" applyFont="0" applyFill="0" applyBorder="0" applyAlignment="0" applyProtection="0"/>
    <xf numFmtId="9" fontId="7" fillId="0" borderId="0" applyFont="0" applyFill="0" applyBorder="0" applyAlignment="0" applyProtection="0"/>
    <xf numFmtId="0" fontId="137" fillId="0" borderId="0" applyBorder="0"/>
    <xf numFmtId="9" fontId="7" fillId="0" borderId="0" applyFont="0" applyFill="0" applyBorder="0" applyAlignment="0" applyProtection="0"/>
    <xf numFmtId="0" fontId="6" fillId="0" borderId="0"/>
    <xf numFmtId="0" fontId="6" fillId="82" borderId="210" applyNumberFormat="0" applyFont="0" applyAlignment="0" applyProtection="0"/>
    <xf numFmtId="0" fontId="5"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0" fontId="166" fillId="0" borderId="0"/>
    <xf numFmtId="0" fontId="167" fillId="0" borderId="0"/>
    <xf numFmtId="0" fontId="168" fillId="0" borderId="0"/>
    <xf numFmtId="0" fontId="168" fillId="0" borderId="0"/>
    <xf numFmtId="0" fontId="170" fillId="93" borderId="112"/>
    <xf numFmtId="4" fontId="169" fillId="93" borderId="234"/>
    <xf numFmtId="0" fontId="169" fillId="93" borderId="144"/>
    <xf numFmtId="4" fontId="169" fillId="93" borderId="4"/>
    <xf numFmtId="4" fontId="169" fillId="0" borderId="4"/>
    <xf numFmtId="4" fontId="169" fillId="94" borderId="4"/>
    <xf numFmtId="0" fontId="169" fillId="93" borderId="144"/>
    <xf numFmtId="4" fontId="169" fillId="94" borderId="226"/>
    <xf numFmtId="4" fontId="169" fillId="96" borderId="4"/>
    <xf numFmtId="4" fontId="169" fillId="96" borderId="4"/>
    <xf numFmtId="0" fontId="169" fillId="0" borderId="148"/>
    <xf numFmtId="4" fontId="169" fillId="96" borderId="109"/>
    <xf numFmtId="0" fontId="169" fillId="95" borderId="236"/>
    <xf numFmtId="4" fontId="169" fillId="0" borderId="4"/>
    <xf numFmtId="4" fontId="169" fillId="93" borderId="144"/>
    <xf numFmtId="4" fontId="169" fillId="94" borderId="4"/>
    <xf numFmtId="4" fontId="169" fillId="93" borderId="4"/>
    <xf numFmtId="4" fontId="169" fillId="96" borderId="235"/>
    <xf numFmtId="0" fontId="170" fillId="96" borderId="61"/>
    <xf numFmtId="4" fontId="169" fillId="95" borderId="233"/>
    <xf numFmtId="0" fontId="171" fillId="0" borderId="0"/>
    <xf numFmtId="4" fontId="169" fillId="97" borderId="144"/>
    <xf numFmtId="0" fontId="172" fillId="0" borderId="0"/>
    <xf numFmtId="0" fontId="168" fillId="0" borderId="0"/>
    <xf numFmtId="4" fontId="169" fillId="93" borderId="181"/>
    <xf numFmtId="4" fontId="169" fillId="0" borderId="181"/>
    <xf numFmtId="4" fontId="169" fillId="94" borderId="181"/>
    <xf numFmtId="4" fontId="169" fillId="94" borderId="238"/>
    <xf numFmtId="4" fontId="169" fillId="96" borderId="181"/>
    <xf numFmtId="4" fontId="169" fillId="96" borderId="181"/>
    <xf numFmtId="4" fontId="169" fillId="0" borderId="181"/>
    <xf numFmtId="4" fontId="169" fillId="94" borderId="181"/>
    <xf numFmtId="4" fontId="169" fillId="93" borderId="181"/>
    <xf numFmtId="0" fontId="1" fillId="0" borderId="0"/>
    <xf numFmtId="4" fontId="169" fillId="93" borderId="243"/>
    <xf numFmtId="0" fontId="169" fillId="93" borderId="182"/>
    <xf numFmtId="0" fontId="169" fillId="93" borderId="182"/>
    <xf numFmtId="4" fontId="169" fillId="94" borderId="244"/>
    <xf numFmtId="0" fontId="169" fillId="0" borderId="184"/>
    <xf numFmtId="0" fontId="169" fillId="95" borderId="245"/>
    <xf numFmtId="4" fontId="169" fillId="93" borderId="182"/>
    <xf numFmtId="4" fontId="169" fillId="97" borderId="182"/>
  </cellStyleXfs>
  <cellXfs count="1102">
    <xf numFmtId="0" fontId="0" fillId="0" borderId="0" xfId="0"/>
    <xf numFmtId="0" fontId="12" fillId="0" borderId="0" xfId="0" applyFont="1" applyAlignment="1">
      <alignment vertical="center" wrapText="1"/>
    </xf>
    <xf numFmtId="0" fontId="12" fillId="0" borderId="0" xfId="0" applyFont="1" applyAlignment="1">
      <alignment vertical="center"/>
    </xf>
    <xf numFmtId="0" fontId="12" fillId="0" borderId="0" xfId="0" applyFont="1" applyAlignment="1">
      <alignment horizontal="right" vertical="center"/>
    </xf>
    <xf numFmtId="0" fontId="13" fillId="2" borderId="0" xfId="0" applyFont="1" applyFill="1" applyAlignment="1">
      <alignment vertical="center"/>
    </xf>
    <xf numFmtId="0" fontId="13" fillId="2" borderId="0" xfId="0" applyFont="1" applyFill="1" applyAlignment="1">
      <alignment horizontal="right" vertical="center"/>
    </xf>
    <xf numFmtId="0" fontId="13" fillId="2" borderId="0" xfId="0" applyFont="1" applyFill="1" applyAlignment="1">
      <alignment vertical="center" wrapText="1"/>
    </xf>
    <xf numFmtId="0" fontId="16" fillId="0" borderId="0" xfId="0" applyFont="1" applyAlignment="1">
      <alignment vertical="center"/>
    </xf>
    <xf numFmtId="0" fontId="16" fillId="0" borderId="0" xfId="0" applyFont="1" applyAlignment="1">
      <alignment horizontal="right" vertical="center"/>
    </xf>
    <xf numFmtId="0" fontId="17" fillId="0" borderId="0" xfId="0" applyFont="1" applyAlignment="1">
      <alignment vertical="center" wrapText="1"/>
    </xf>
    <xf numFmtId="0" fontId="14" fillId="3" borderId="1" xfId="0" applyFont="1" applyFill="1" applyBorder="1" applyAlignment="1">
      <alignment vertical="center" wrapText="1"/>
    </xf>
    <xf numFmtId="0" fontId="19" fillId="0" borderId="0" xfId="0" applyFont="1" applyAlignment="1">
      <alignment vertical="center"/>
    </xf>
    <xf numFmtId="0" fontId="12" fillId="3" borderId="1" xfId="0" applyFont="1" applyFill="1" applyBorder="1" applyAlignment="1">
      <alignment vertical="center" wrapText="1"/>
    </xf>
    <xf numFmtId="0" fontId="18" fillId="3" borderId="1" xfId="0" applyFont="1" applyFill="1" applyBorder="1" applyAlignment="1">
      <alignment vertical="center" wrapText="1"/>
    </xf>
    <xf numFmtId="167" fontId="12" fillId="0" borderId="1" xfId="0" applyNumberFormat="1" applyFont="1" applyBorder="1" applyAlignment="1">
      <alignment horizontal="right" vertical="center"/>
    </xf>
    <xf numFmtId="0" fontId="12" fillId="0" borderId="1" xfId="0" applyFont="1" applyBorder="1" applyAlignment="1">
      <alignment vertical="center" wrapText="1"/>
    </xf>
    <xf numFmtId="0" fontId="22" fillId="0" borderId="0" xfId="0" applyFont="1"/>
    <xf numFmtId="167" fontId="0" fillId="7" borderId="0" xfId="0" applyNumberFormat="1" applyFill="1" applyAlignment="1">
      <alignment vertical="center"/>
    </xf>
    <xf numFmtId="169" fontId="12" fillId="6" borderId="0" xfId="0" applyNumberFormat="1" applyFont="1" applyFill="1" applyAlignment="1">
      <alignment horizontal="right" vertical="center"/>
    </xf>
    <xf numFmtId="169" fontId="14" fillId="7" borderId="0" xfId="0" applyNumberFormat="1" applyFont="1" applyFill="1" applyAlignment="1">
      <alignment horizontal="right" vertical="center"/>
    </xf>
    <xf numFmtId="167" fontId="12" fillId="0" borderId="0" xfId="0" applyNumberFormat="1" applyFont="1" applyAlignment="1">
      <alignment horizontal="right" vertical="center"/>
    </xf>
    <xf numFmtId="0" fontId="15" fillId="4" borderId="0" xfId="0" applyFont="1" applyFill="1" applyAlignment="1">
      <alignment vertical="center" wrapText="1"/>
    </xf>
    <xf numFmtId="1" fontId="0" fillId="0" borderId="0" xfId="0" applyNumberFormat="1"/>
    <xf numFmtId="3" fontId="0" fillId="0" borderId="0" xfId="0" applyNumberFormat="1"/>
    <xf numFmtId="1" fontId="11" fillId="0" borderId="0" xfId="3" applyNumberFormat="1"/>
    <xf numFmtId="3" fontId="0" fillId="5" borderId="0" xfId="0" applyNumberFormat="1" applyFill="1"/>
    <xf numFmtId="3" fontId="22" fillId="0" borderId="0" xfId="0" applyNumberFormat="1" applyFont="1"/>
    <xf numFmtId="3" fontId="0" fillId="8" borderId="0" xfId="0" applyNumberFormat="1" applyFill="1"/>
    <xf numFmtId="0" fontId="14" fillId="3" borderId="0" xfId="0" applyFont="1" applyFill="1" applyAlignment="1">
      <alignment vertical="center" wrapText="1"/>
    </xf>
    <xf numFmtId="169" fontId="0" fillId="0" borderId="0" xfId="0" applyNumberFormat="1"/>
    <xf numFmtId="0" fontId="0" fillId="0" borderId="0" xfId="0" applyAlignment="1">
      <alignment wrapText="1"/>
    </xf>
    <xf numFmtId="10" fontId="0" fillId="0" borderId="0" xfId="2" applyNumberFormat="1" applyFont="1" applyAlignment="1"/>
    <xf numFmtId="168" fontId="0" fillId="7" borderId="0" xfId="2" applyNumberFormat="1" applyFont="1" applyFill="1" applyAlignment="1">
      <alignment vertical="center"/>
    </xf>
    <xf numFmtId="0" fontId="31" fillId="0" borderId="0" xfId="0" applyFont="1"/>
    <xf numFmtId="0" fontId="0" fillId="5" borderId="0" xfId="0" applyFill="1"/>
    <xf numFmtId="0" fontId="32" fillId="0" borderId="0" xfId="0" applyFont="1"/>
    <xf numFmtId="0" fontId="30" fillId="0" borderId="0" xfId="0" applyFont="1" applyAlignment="1">
      <alignment horizontal="center"/>
    </xf>
    <xf numFmtId="0" fontId="0" fillId="0" borderId="7" xfId="0" applyBorder="1"/>
    <xf numFmtId="0" fontId="30" fillId="0" borderId="7" xfId="0" applyFont="1" applyBorder="1"/>
    <xf numFmtId="0" fontId="30" fillId="0" borderId="0" xfId="0" applyFont="1"/>
    <xf numFmtId="0" fontId="33" fillId="0" borderId="0" xfId="0" applyFont="1"/>
    <xf numFmtId="170" fontId="0" fillId="0" borderId="0" xfId="0" applyNumberFormat="1"/>
    <xf numFmtId="3" fontId="33" fillId="0" borderId="0" xfId="0" applyNumberFormat="1" applyFont="1"/>
    <xf numFmtId="0" fontId="34" fillId="0" borderId="0" xfId="0" applyFont="1"/>
    <xf numFmtId="169" fontId="29" fillId="0" borderId="0" xfId="0" applyNumberFormat="1" applyFont="1"/>
    <xf numFmtId="169" fontId="22" fillId="0" borderId="0" xfId="0" applyNumberFormat="1" applyFont="1"/>
    <xf numFmtId="3" fontId="36" fillId="0" borderId="0" xfId="0" applyNumberFormat="1" applyFont="1"/>
    <xf numFmtId="0" fontId="36" fillId="0" borderId="0" xfId="0" applyFont="1"/>
    <xf numFmtId="0" fontId="30" fillId="0" borderId="8" xfId="0" applyFont="1" applyBorder="1"/>
    <xf numFmtId="0" fontId="30" fillId="0" borderId="9" xfId="0" applyFont="1" applyBorder="1" applyAlignment="1">
      <alignment horizontal="center"/>
    </xf>
    <xf numFmtId="0" fontId="30" fillId="0" borderId="10" xfId="0" applyFont="1" applyBorder="1" applyAlignment="1">
      <alignment horizontal="center"/>
    </xf>
    <xf numFmtId="0" fontId="30" fillId="0" borderId="11" xfId="0" applyFont="1" applyBorder="1" applyAlignment="1">
      <alignment horizontal="center"/>
    </xf>
    <xf numFmtId="0" fontId="0" fillId="0" borderId="12" xfId="0" applyBorder="1"/>
    <xf numFmtId="0" fontId="30" fillId="0" borderId="13" xfId="0" applyFont="1" applyBorder="1" applyAlignment="1">
      <alignment horizontal="center"/>
    </xf>
    <xf numFmtId="0" fontId="30" fillId="0" borderId="14" xfId="0" applyFont="1" applyBorder="1" applyAlignment="1">
      <alignment horizontal="center"/>
    </xf>
    <xf numFmtId="0" fontId="30" fillId="0" borderId="15" xfId="0" applyFont="1" applyBorder="1" applyAlignment="1">
      <alignment horizontal="center"/>
    </xf>
    <xf numFmtId="0" fontId="0" fillId="0" borderId="16" xfId="0" applyBorder="1"/>
    <xf numFmtId="3" fontId="0" fillId="0" borderId="17" xfId="0" applyNumberFormat="1" applyBorder="1"/>
    <xf numFmtId="3" fontId="0" fillId="0" borderId="18" xfId="0" applyNumberFormat="1" applyBorder="1"/>
    <xf numFmtId="3" fontId="0" fillId="0" borderId="19" xfId="0" applyNumberFormat="1" applyBorder="1"/>
    <xf numFmtId="0" fontId="0" fillId="0" borderId="20" xfId="0" applyBorder="1"/>
    <xf numFmtId="3" fontId="0" fillId="0" borderId="21" xfId="0" applyNumberFormat="1" applyBorder="1"/>
    <xf numFmtId="3" fontId="0" fillId="0" borderId="22" xfId="0" applyNumberFormat="1" applyBorder="1"/>
    <xf numFmtId="3" fontId="0" fillId="0" borderId="23" xfId="0" applyNumberFormat="1" applyBorder="1"/>
    <xf numFmtId="0" fontId="0" fillId="0" borderId="24" xfId="0" applyBorder="1"/>
    <xf numFmtId="3" fontId="0" fillId="0" borderId="25" xfId="0" applyNumberFormat="1" applyBorder="1"/>
    <xf numFmtId="3" fontId="0" fillId="0" borderId="26" xfId="0" applyNumberFormat="1" applyBorder="1"/>
    <xf numFmtId="3" fontId="0" fillId="0" borderId="27" xfId="0" applyNumberFormat="1" applyBorder="1"/>
    <xf numFmtId="0" fontId="30" fillId="0" borderId="28" xfId="0" applyFont="1" applyBorder="1"/>
    <xf numFmtId="173" fontId="30" fillId="0" borderId="29" xfId="0" applyNumberFormat="1" applyFont="1" applyBorder="1"/>
    <xf numFmtId="173" fontId="30" fillId="0" borderId="30" xfId="0" applyNumberFormat="1" applyFont="1" applyBorder="1"/>
    <xf numFmtId="173" fontId="30" fillId="0" borderId="31" xfId="0" applyNumberFormat="1" applyFont="1" applyBorder="1"/>
    <xf numFmtId="0" fontId="0" fillId="0" borderId="32" xfId="0" applyBorder="1"/>
    <xf numFmtId="173" fontId="30" fillId="0" borderId="0" xfId="0" applyNumberFormat="1" applyFont="1"/>
    <xf numFmtId="171" fontId="0" fillId="0" borderId="0" xfId="0" applyNumberFormat="1"/>
    <xf numFmtId="0" fontId="0" fillId="0" borderId="33" xfId="0" applyBorder="1"/>
    <xf numFmtId="174" fontId="0" fillId="0" borderId="34" xfId="0" applyNumberFormat="1" applyBorder="1"/>
    <xf numFmtId="174" fontId="0" fillId="0" borderId="35" xfId="0" applyNumberFormat="1" applyBorder="1"/>
    <xf numFmtId="174" fontId="0" fillId="0" borderId="36" xfId="0" applyNumberFormat="1" applyBorder="1"/>
    <xf numFmtId="173" fontId="0" fillId="0" borderId="0" xfId="0" applyNumberFormat="1"/>
    <xf numFmtId="3" fontId="0" fillId="0" borderId="34" xfId="0" applyNumberFormat="1" applyBorder="1"/>
    <xf numFmtId="3" fontId="0" fillId="0" borderId="35" xfId="0" applyNumberFormat="1" applyBorder="1"/>
    <xf numFmtId="3" fontId="0" fillId="0" borderId="36" xfId="0" applyNumberFormat="1" applyBorder="1"/>
    <xf numFmtId="2" fontId="0" fillId="0" borderId="0" xfId="0" applyNumberFormat="1"/>
    <xf numFmtId="0" fontId="22" fillId="0" borderId="7" xfId="0" applyFont="1" applyBorder="1"/>
    <xf numFmtId="175" fontId="0" fillId="0" borderId="0" xfId="0" applyNumberFormat="1"/>
    <xf numFmtId="0" fontId="37" fillId="0" borderId="0" xfId="0" applyFont="1"/>
    <xf numFmtId="0" fontId="41" fillId="10" borderId="52" xfId="0" applyFont="1" applyFill="1" applyBorder="1" applyAlignment="1">
      <alignment horizontal="left" vertical="center" wrapText="1" indent="1"/>
    </xf>
    <xf numFmtId="0" fontId="41" fillId="10" borderId="53" xfId="0" applyFont="1" applyFill="1" applyBorder="1" applyAlignment="1">
      <alignment horizontal="left" vertical="center" wrapText="1" indent="1"/>
    </xf>
    <xf numFmtId="0" fontId="41" fillId="10" borderId="54" xfId="0" applyFont="1" applyFill="1" applyBorder="1" applyAlignment="1">
      <alignment horizontal="left" vertical="center" wrapText="1" indent="1"/>
    </xf>
    <xf numFmtId="0" fontId="44" fillId="12" borderId="64" xfId="0" applyFont="1" applyFill="1" applyBorder="1" applyAlignment="1">
      <alignment horizontal="left" vertical="top" wrapText="1" indent="1"/>
    </xf>
    <xf numFmtId="3" fontId="44" fillId="12" borderId="65" xfId="0" applyNumberFormat="1" applyFont="1" applyFill="1" applyBorder="1" applyAlignment="1">
      <alignment horizontal="left" vertical="top" wrapText="1" indent="1"/>
    </xf>
    <xf numFmtId="9" fontId="44" fillId="12" borderId="65" xfId="0" applyNumberFormat="1" applyFont="1" applyFill="1" applyBorder="1" applyAlignment="1">
      <alignment horizontal="left" vertical="top" wrapText="1" indent="1"/>
    </xf>
    <xf numFmtId="0" fontId="44" fillId="12" borderId="65" xfId="0" applyFont="1" applyFill="1" applyBorder="1" applyAlignment="1">
      <alignment horizontal="left" vertical="top" wrapText="1" indent="1"/>
    </xf>
    <xf numFmtId="3" fontId="44" fillId="12" borderId="66" xfId="0" applyNumberFormat="1" applyFont="1" applyFill="1" applyBorder="1" applyAlignment="1">
      <alignment horizontal="left" vertical="top" wrapText="1" indent="1"/>
    </xf>
    <xf numFmtId="10" fontId="0" fillId="0" borderId="0" xfId="2" applyNumberFormat="1" applyFont="1"/>
    <xf numFmtId="168" fontId="0" fillId="0" borderId="0" xfId="2" applyNumberFormat="1" applyFont="1"/>
    <xf numFmtId="0" fontId="44" fillId="11" borderId="64" xfId="0" applyFont="1" applyFill="1" applyBorder="1" applyAlignment="1">
      <alignment horizontal="left" vertical="top" wrapText="1" indent="1"/>
    </xf>
    <xf numFmtId="0" fontId="44" fillId="11" borderId="65" xfId="0" applyFont="1" applyFill="1" applyBorder="1" applyAlignment="1">
      <alignment horizontal="left" vertical="top" wrapText="1" indent="1"/>
    </xf>
    <xf numFmtId="9" fontId="44" fillId="11" borderId="65" xfId="0" applyNumberFormat="1" applyFont="1" applyFill="1" applyBorder="1" applyAlignment="1">
      <alignment horizontal="left" vertical="top" wrapText="1" indent="1"/>
    </xf>
    <xf numFmtId="3" fontId="44" fillId="11" borderId="66" xfId="0" applyNumberFormat="1" applyFont="1" applyFill="1" applyBorder="1" applyAlignment="1">
      <alignment horizontal="left" vertical="top" wrapText="1" indent="1"/>
    </xf>
    <xf numFmtId="10" fontId="0" fillId="0" borderId="0" xfId="0" applyNumberFormat="1"/>
    <xf numFmtId="3" fontId="39" fillId="9" borderId="80" xfId="0" applyNumberFormat="1" applyFont="1" applyFill="1" applyBorder="1"/>
    <xf numFmtId="3" fontId="39" fillId="9" borderId="81" xfId="0" applyNumberFormat="1" applyFont="1" applyFill="1" applyBorder="1"/>
    <xf numFmtId="3" fontId="44" fillId="11" borderId="65" xfId="0" applyNumberFormat="1" applyFont="1" applyFill="1" applyBorder="1" applyAlignment="1">
      <alignment horizontal="left" vertical="top" wrapText="1" indent="1"/>
    </xf>
    <xf numFmtId="0" fontId="44" fillId="12" borderId="66" xfId="0" applyFont="1" applyFill="1" applyBorder="1" applyAlignment="1">
      <alignment horizontal="left" vertical="top" wrapText="1" indent="1"/>
    </xf>
    <xf numFmtId="0" fontId="44" fillId="11" borderId="66" xfId="0" applyFont="1" applyFill="1" applyBorder="1" applyAlignment="1">
      <alignment horizontal="left" vertical="top" wrapText="1" indent="1"/>
    </xf>
    <xf numFmtId="168" fontId="0" fillId="0" borderId="0" xfId="0" applyNumberFormat="1"/>
    <xf numFmtId="3" fontId="39" fillId="13" borderId="30" xfId="0" applyNumberFormat="1" applyFont="1" applyFill="1" applyBorder="1" applyAlignment="1">
      <alignment vertical="center"/>
    </xf>
    <xf numFmtId="0" fontId="44" fillId="11" borderId="100" xfId="0" applyFont="1" applyFill="1" applyBorder="1" applyAlignment="1">
      <alignment horizontal="left" vertical="top" wrapText="1" indent="1"/>
    </xf>
    <xf numFmtId="3" fontId="44" fillId="11" borderId="101" xfId="0" applyNumberFormat="1" applyFont="1" applyFill="1" applyBorder="1" applyAlignment="1">
      <alignment horizontal="left" vertical="top" wrapText="1" indent="1"/>
    </xf>
    <xf numFmtId="9" fontId="44" fillId="11" borderId="101" xfId="0" applyNumberFormat="1" applyFont="1" applyFill="1" applyBorder="1" applyAlignment="1">
      <alignment horizontal="left" vertical="top" wrapText="1" indent="1"/>
    </xf>
    <xf numFmtId="0" fontId="44" fillId="11" borderId="101" xfId="0" applyFont="1" applyFill="1" applyBorder="1" applyAlignment="1">
      <alignment horizontal="left" vertical="top" wrapText="1" indent="1"/>
    </xf>
    <xf numFmtId="3" fontId="44" fillId="11" borderId="102" xfId="0" applyNumberFormat="1" applyFont="1" applyFill="1" applyBorder="1" applyAlignment="1">
      <alignment horizontal="left" vertical="top" wrapText="1" indent="1"/>
    </xf>
    <xf numFmtId="0" fontId="26" fillId="0" borderId="0" xfId="6"/>
    <xf numFmtId="0" fontId="11" fillId="0" borderId="0" xfId="3"/>
    <xf numFmtId="9" fontId="0" fillId="0" borderId="0" xfId="0" applyNumberFormat="1"/>
    <xf numFmtId="3" fontId="39" fillId="9" borderId="120" xfId="0" applyNumberFormat="1" applyFont="1" applyFill="1" applyBorder="1"/>
    <xf numFmtId="3" fontId="39" fillId="9" borderId="121" xfId="0" applyNumberFormat="1" applyFont="1" applyFill="1" applyBorder="1"/>
    <xf numFmtId="3" fontId="39" fillId="9" borderId="105" xfId="0" applyNumberFormat="1" applyFont="1" applyFill="1" applyBorder="1"/>
    <xf numFmtId="3" fontId="39" fillId="9" borderId="120" xfId="0" applyNumberFormat="1" applyFont="1" applyFill="1" applyBorder="1" applyAlignment="1">
      <alignment vertical="center"/>
    </xf>
    <xf numFmtId="3" fontId="39" fillId="9" borderId="121" xfId="0" applyNumberFormat="1" applyFont="1" applyFill="1" applyBorder="1" applyAlignment="1">
      <alignment vertical="center"/>
    </xf>
    <xf numFmtId="3" fontId="39" fillId="9" borderId="105" xfId="0" applyNumberFormat="1" applyFont="1" applyFill="1" applyBorder="1" applyAlignment="1">
      <alignment vertical="center"/>
    </xf>
    <xf numFmtId="3" fontId="39" fillId="9" borderId="76" xfId="0" applyNumberFormat="1" applyFont="1" applyFill="1" applyBorder="1" applyAlignment="1">
      <alignment vertical="center"/>
    </xf>
    <xf numFmtId="3" fontId="39" fillId="9" borderId="81" xfId="0" applyNumberFormat="1" applyFont="1" applyFill="1" applyBorder="1" applyAlignment="1">
      <alignment vertical="center"/>
    </xf>
    <xf numFmtId="3" fontId="39" fillId="9" borderId="82" xfId="0" applyNumberFormat="1" applyFont="1" applyFill="1" applyBorder="1" applyAlignment="1">
      <alignment vertical="center"/>
    </xf>
    <xf numFmtId="0" fontId="38" fillId="0" borderId="0" xfId="10" applyFont="1" applyAlignment="1">
      <alignment horizontal="center"/>
    </xf>
    <xf numFmtId="0" fontId="40" fillId="14" borderId="0" xfId="10" applyFont="1" applyFill="1" applyAlignment="1">
      <alignment horizontal="center"/>
    </xf>
    <xf numFmtId="9" fontId="39" fillId="15" borderId="45" xfId="4" applyFont="1" applyFill="1" applyBorder="1" applyAlignment="1">
      <alignment horizontal="center" textRotation="90" wrapText="1"/>
    </xf>
    <xf numFmtId="0" fontId="10" fillId="15" borderId="48" xfId="10" applyFill="1" applyBorder="1" applyAlignment="1">
      <alignment horizontal="center" textRotation="90" wrapText="1"/>
    </xf>
    <xf numFmtId="0" fontId="10" fillId="15" borderId="49" xfId="10" applyFill="1" applyBorder="1" applyAlignment="1">
      <alignment horizontal="center" textRotation="90" wrapText="1"/>
    </xf>
    <xf numFmtId="0" fontId="39" fillId="15" borderId="50" xfId="10" applyFont="1" applyFill="1" applyBorder="1" applyAlignment="1">
      <alignment horizontal="center" textRotation="90" wrapText="1"/>
    </xf>
    <xf numFmtId="0" fontId="39" fillId="15" borderId="6" xfId="10" applyFont="1" applyFill="1" applyBorder="1" applyAlignment="1">
      <alignment horizontal="center" textRotation="90" wrapText="1"/>
    </xf>
    <xf numFmtId="9" fontId="39" fillId="15" borderId="45" xfId="4" applyFont="1" applyFill="1" applyBorder="1" applyAlignment="1">
      <alignment horizontal="center" vertical="center" wrapText="1"/>
    </xf>
    <xf numFmtId="0" fontId="40" fillId="14" borderId="0" xfId="10" applyFont="1" applyFill="1" applyAlignment="1">
      <alignment horizontal="center" textRotation="90" wrapText="1"/>
    </xf>
    <xf numFmtId="0" fontId="40" fillId="15" borderId="51" xfId="10" applyFont="1" applyFill="1" applyBorder="1" applyAlignment="1">
      <alignment horizontal="center"/>
    </xf>
    <xf numFmtId="0" fontId="40" fillId="15" borderId="6" xfId="10" applyFont="1" applyFill="1" applyBorder="1" applyAlignment="1">
      <alignment horizontal="center"/>
    </xf>
    <xf numFmtId="0" fontId="40" fillId="15" borderId="0" xfId="10" applyFont="1" applyFill="1" applyAlignment="1">
      <alignment horizontal="center"/>
    </xf>
    <xf numFmtId="2" fontId="42" fillId="14" borderId="55" xfId="10" applyNumberFormat="1" applyFont="1" applyFill="1" applyBorder="1" applyAlignment="1">
      <alignment horizontal="right"/>
    </xf>
    <xf numFmtId="2" fontId="42" fillId="14" borderId="0" xfId="10" applyNumberFormat="1" applyFont="1" applyFill="1" applyAlignment="1">
      <alignment horizontal="right"/>
    </xf>
    <xf numFmtId="2" fontId="42" fillId="14" borderId="56" xfId="10" applyNumberFormat="1" applyFont="1" applyFill="1" applyBorder="1" applyAlignment="1">
      <alignment horizontal="right"/>
    </xf>
    <xf numFmtId="2" fontId="42" fillId="15" borderId="57" xfId="4" applyNumberFormat="1" applyFont="1" applyFill="1" applyBorder="1" applyAlignment="1">
      <alignment horizontal="center" vertical="center" wrapText="1"/>
    </xf>
    <xf numFmtId="0" fontId="10" fillId="15" borderId="24" xfId="10" applyFill="1" applyBorder="1"/>
    <xf numFmtId="0" fontId="39" fillId="15" borderId="0" xfId="10" applyFont="1" applyFill="1" applyAlignment="1">
      <alignment horizontal="center"/>
    </xf>
    <xf numFmtId="9" fontId="39" fillId="15" borderId="46" xfId="4" applyFont="1" applyFill="1" applyBorder="1" applyAlignment="1">
      <alignment horizontal="center" wrapText="1"/>
    </xf>
    <xf numFmtId="0" fontId="10" fillId="15" borderId="61" xfId="10" applyFill="1" applyBorder="1"/>
    <xf numFmtId="0" fontId="42" fillId="16" borderId="67" xfId="10" applyFont="1" applyFill="1" applyBorder="1" applyAlignment="1">
      <alignment horizontal="center"/>
    </xf>
    <xf numFmtId="0" fontId="42" fillId="16" borderId="5" xfId="10" applyFont="1" applyFill="1" applyBorder="1" applyAlignment="1">
      <alignment horizontal="center"/>
    </xf>
    <xf numFmtId="0" fontId="39" fillId="15" borderId="68" xfId="10" applyFont="1" applyFill="1" applyBorder="1" applyAlignment="1">
      <alignment horizontal="center"/>
    </xf>
    <xf numFmtId="0" fontId="39" fillId="15" borderId="37" xfId="10" applyFont="1" applyFill="1" applyBorder="1" applyAlignment="1">
      <alignment horizontal="center"/>
    </xf>
    <xf numFmtId="0" fontId="10" fillId="15" borderId="12" xfId="10" applyFill="1" applyBorder="1"/>
    <xf numFmtId="0" fontId="10" fillId="0" borderId="73" xfId="10" applyBorder="1"/>
    <xf numFmtId="3" fontId="10" fillId="14" borderId="74" xfId="10" applyNumberFormat="1" applyFill="1" applyBorder="1"/>
    <xf numFmtId="3" fontId="10" fillId="14" borderId="75" xfId="10" applyNumberFormat="1" applyFill="1" applyBorder="1"/>
    <xf numFmtId="3" fontId="10" fillId="14" borderId="73" xfId="10" applyNumberFormat="1" applyFill="1" applyBorder="1"/>
    <xf numFmtId="3" fontId="10" fillId="14" borderId="76" xfId="10" applyNumberFormat="1" applyFill="1" applyBorder="1"/>
    <xf numFmtId="0" fontId="39" fillId="15" borderId="24" xfId="10" applyFont="1" applyFill="1" applyBorder="1" applyAlignment="1">
      <alignment horizontal="left"/>
    </xf>
    <xf numFmtId="0" fontId="10" fillId="15" borderId="0" xfId="10" applyFill="1" applyAlignment="1">
      <alignment horizontal="center"/>
    </xf>
    <xf numFmtId="176" fontId="10" fillId="15" borderId="0" xfId="10" applyNumberFormat="1" applyFill="1"/>
    <xf numFmtId="0" fontId="10" fillId="0" borderId="78" xfId="10" applyBorder="1"/>
    <xf numFmtId="3" fontId="10" fillId="14" borderId="79" xfId="10" applyNumberFormat="1" applyFill="1" applyBorder="1"/>
    <xf numFmtId="3" fontId="10" fillId="14" borderId="80" xfId="10" applyNumberFormat="1" applyFill="1" applyBorder="1"/>
    <xf numFmtId="3" fontId="10" fillId="14" borderId="78" xfId="10" applyNumberFormat="1" applyFill="1" applyBorder="1"/>
    <xf numFmtId="3" fontId="10" fillId="14" borderId="81" xfId="10" applyNumberFormat="1" applyFill="1" applyBorder="1"/>
    <xf numFmtId="168" fontId="42" fillId="15" borderId="0" xfId="4" applyNumberFormat="1" applyFont="1" applyFill="1" applyBorder="1" applyAlignment="1">
      <alignment horizontal="right"/>
    </xf>
    <xf numFmtId="0" fontId="10" fillId="15" borderId="24" xfId="10" applyFill="1" applyBorder="1" applyAlignment="1">
      <alignment horizontal="center"/>
    </xf>
    <xf numFmtId="0" fontId="10" fillId="15" borderId="0" xfId="10" applyFill="1"/>
    <xf numFmtId="0" fontId="10" fillId="0" borderId="86" xfId="10" applyBorder="1"/>
    <xf numFmtId="3" fontId="10" fillId="14" borderId="87" xfId="10" applyNumberFormat="1" applyFill="1" applyBorder="1"/>
    <xf numFmtId="3" fontId="10" fillId="14" borderId="88" xfId="10" applyNumberFormat="1" applyFill="1" applyBorder="1"/>
    <xf numFmtId="3" fontId="10" fillId="14" borderId="89" xfId="10" applyNumberFormat="1" applyFill="1" applyBorder="1"/>
    <xf numFmtId="3" fontId="10" fillId="14" borderId="121" xfId="10" applyNumberFormat="1" applyFill="1" applyBorder="1"/>
    <xf numFmtId="0" fontId="39" fillId="5" borderId="91" xfId="10" applyFont="1" applyFill="1" applyBorder="1"/>
    <xf numFmtId="0" fontId="39" fillId="5" borderId="92" xfId="10" applyFont="1" applyFill="1" applyBorder="1"/>
    <xf numFmtId="3" fontId="39" fillId="5" borderId="30" xfId="10" applyNumberFormat="1" applyFont="1" applyFill="1" applyBorder="1" applyAlignment="1">
      <alignment vertical="center"/>
    </xf>
    <xf numFmtId="3" fontId="10" fillId="5" borderId="93" xfId="10" applyNumberFormat="1" applyFill="1" applyBorder="1" applyAlignment="1">
      <alignment vertical="center"/>
    </xf>
    <xf numFmtId="3" fontId="10" fillId="15" borderId="12" xfId="10" applyNumberFormat="1" applyFill="1" applyBorder="1"/>
    <xf numFmtId="0" fontId="10" fillId="15" borderId="37" xfId="10" applyFill="1" applyBorder="1"/>
    <xf numFmtId="168" fontId="39" fillId="14" borderId="95" xfId="4" applyNumberFormat="1" applyFont="1" applyFill="1" applyBorder="1"/>
    <xf numFmtId="168" fontId="39" fillId="14" borderId="96" xfId="4" applyNumberFormat="1" applyFont="1" applyFill="1" applyBorder="1"/>
    <xf numFmtId="168" fontId="39" fillId="14" borderId="98" xfId="4" applyNumberFormat="1" applyFont="1" applyFill="1" applyBorder="1"/>
    <xf numFmtId="168" fontId="39" fillId="14" borderId="78" xfId="4" applyNumberFormat="1" applyFont="1" applyFill="1" applyBorder="1"/>
    <xf numFmtId="168" fontId="39" fillId="14" borderId="82" xfId="4" applyNumberFormat="1" applyFont="1" applyFill="1" applyBorder="1"/>
    <xf numFmtId="168" fontId="39" fillId="14" borderId="81" xfId="4" applyNumberFormat="1" applyFont="1" applyFill="1" applyBorder="1"/>
    <xf numFmtId="168" fontId="39" fillId="14" borderId="104" xfId="4" applyNumberFormat="1" applyFont="1" applyFill="1" applyBorder="1"/>
    <xf numFmtId="168" fontId="39" fillId="14" borderId="105" xfId="4" applyNumberFormat="1" applyFont="1" applyFill="1" applyBorder="1"/>
    <xf numFmtId="168" fontId="39" fillId="14" borderId="106" xfId="4" applyNumberFormat="1" applyFont="1" applyFill="1" applyBorder="1"/>
    <xf numFmtId="168" fontId="39" fillId="14" borderId="107" xfId="4" applyNumberFormat="1" applyFont="1" applyFill="1" applyBorder="1"/>
    <xf numFmtId="0" fontId="39" fillId="5" borderId="92" xfId="10" applyFont="1" applyFill="1" applyBorder="1" applyAlignment="1">
      <alignment vertical="center"/>
    </xf>
    <xf numFmtId="168" fontId="39" fillId="5" borderId="92" xfId="4" applyNumberFormat="1" applyFont="1" applyFill="1" applyBorder="1" applyAlignment="1">
      <alignment vertical="center"/>
    </xf>
    <xf numFmtId="168" fontId="39" fillId="5" borderId="93" xfId="4" applyNumberFormat="1" applyFont="1" applyFill="1" applyBorder="1" applyAlignment="1">
      <alignment vertical="center"/>
    </xf>
    <xf numFmtId="168" fontId="39" fillId="5" borderId="111" xfId="4" applyNumberFormat="1" applyFont="1" applyFill="1" applyBorder="1" applyAlignment="1">
      <alignment vertical="center"/>
    </xf>
    <xf numFmtId="9" fontId="22" fillId="0" borderId="0" xfId="0" applyNumberFormat="1" applyFont="1"/>
    <xf numFmtId="0" fontId="10" fillId="0" borderId="0" xfId="10"/>
    <xf numFmtId="4" fontId="0" fillId="0" borderId="0" xfId="0" applyNumberFormat="1"/>
    <xf numFmtId="0" fontId="55" fillId="0" borderId="0" xfId="5" applyFont="1"/>
    <xf numFmtId="170" fontId="20" fillId="0" borderId="0" xfId="5" applyNumberFormat="1"/>
    <xf numFmtId="9" fontId="39" fillId="15" borderId="45" xfId="4" applyFont="1" applyFill="1" applyBorder="1" applyAlignment="1">
      <alignment horizontal="center" wrapText="1"/>
    </xf>
    <xf numFmtId="9" fontId="39" fillId="15" borderId="0" xfId="4" applyFont="1" applyFill="1" applyBorder="1" applyAlignment="1">
      <alignment horizontal="center" wrapText="1"/>
    </xf>
    <xf numFmtId="3" fontId="10" fillId="14" borderId="77" xfId="10" applyNumberFormat="1" applyFill="1" applyBorder="1"/>
    <xf numFmtId="3" fontId="10" fillId="14" borderId="82" xfId="10" applyNumberFormat="1" applyFill="1" applyBorder="1"/>
    <xf numFmtId="3" fontId="10" fillId="15" borderId="81" xfId="10" applyNumberFormat="1" applyFill="1" applyBorder="1"/>
    <xf numFmtId="171" fontId="10" fillId="14" borderId="80" xfId="10" applyNumberFormat="1" applyFill="1" applyBorder="1"/>
    <xf numFmtId="171" fontId="10" fillId="14" borderId="78" xfId="10" applyNumberFormat="1" applyFill="1" applyBorder="1"/>
    <xf numFmtId="3" fontId="10" fillId="14" borderId="90" xfId="10" applyNumberFormat="1" applyFill="1" applyBorder="1"/>
    <xf numFmtId="171" fontId="39" fillId="5" borderId="30" xfId="10" applyNumberFormat="1" applyFont="1" applyFill="1" applyBorder="1" applyAlignment="1">
      <alignment vertical="center"/>
    </xf>
    <xf numFmtId="168" fontId="39" fillId="14" borderId="0" xfId="4" applyNumberFormat="1" applyFont="1" applyFill="1" applyBorder="1"/>
    <xf numFmtId="0" fontId="42" fillId="14" borderId="37" xfId="10" applyFont="1" applyFill="1" applyBorder="1" applyAlignment="1">
      <alignment horizontal="right"/>
    </xf>
    <xf numFmtId="168" fontId="39" fillId="14" borderId="127" xfId="4" applyNumberFormat="1" applyFont="1" applyFill="1" applyBorder="1"/>
    <xf numFmtId="168" fontId="39" fillId="14" borderId="80" xfId="4" applyNumberFormat="1" applyFont="1" applyFill="1" applyBorder="1"/>
    <xf numFmtId="168" fontId="39" fillId="14" borderId="121" xfId="4" applyNumberFormat="1" applyFont="1" applyFill="1" applyBorder="1"/>
    <xf numFmtId="0" fontId="39" fillId="15" borderId="128" xfId="10" applyFont="1" applyFill="1" applyBorder="1" applyAlignment="1">
      <alignment horizontal="center"/>
    </xf>
    <xf numFmtId="0" fontId="39" fillId="15" borderId="62" xfId="10" applyFont="1" applyFill="1" applyBorder="1" applyAlignment="1">
      <alignment horizontal="center"/>
    </xf>
    <xf numFmtId="0" fontId="39" fillId="14" borderId="62" xfId="10" applyFont="1" applyFill="1" applyBorder="1" applyAlignment="1">
      <alignment horizontal="center"/>
    </xf>
    <xf numFmtId="0" fontId="0" fillId="0" borderId="129" xfId="0" applyBorder="1"/>
    <xf numFmtId="0" fontId="0" fillId="0" borderId="43" xfId="0" applyBorder="1"/>
    <xf numFmtId="169" fontId="10" fillId="14" borderId="75" xfId="10" applyNumberFormat="1" applyFill="1" applyBorder="1"/>
    <xf numFmtId="169" fontId="10" fillId="14" borderId="80" xfId="10" applyNumberFormat="1" applyFill="1" applyBorder="1"/>
    <xf numFmtId="169" fontId="10" fillId="14" borderId="88" xfId="10" applyNumberFormat="1" applyFill="1" applyBorder="1"/>
    <xf numFmtId="169" fontId="10" fillId="14" borderId="73" xfId="10" applyNumberFormat="1" applyFill="1" applyBorder="1"/>
    <xf numFmtId="169" fontId="10" fillId="14" borderId="78" xfId="10" applyNumberFormat="1" applyFill="1" applyBorder="1"/>
    <xf numFmtId="169" fontId="10" fillId="14" borderId="89" xfId="10" applyNumberFormat="1" applyFill="1" applyBorder="1"/>
    <xf numFmtId="0" fontId="56" fillId="0" borderId="0" xfId="0" applyFont="1"/>
    <xf numFmtId="0" fontId="39" fillId="14" borderId="37" xfId="10" applyFont="1" applyFill="1" applyBorder="1" applyAlignment="1">
      <alignment horizontal="center"/>
    </xf>
    <xf numFmtId="0" fontId="0" fillId="17" borderId="0" xfId="0" applyFill="1"/>
    <xf numFmtId="0" fontId="32" fillId="17" borderId="0" xfId="0" quotePrefix="1" applyFont="1" applyFill="1"/>
    <xf numFmtId="0" fontId="35" fillId="17" borderId="7" xfId="0" applyFont="1" applyFill="1" applyBorder="1"/>
    <xf numFmtId="0" fontId="30" fillId="17" borderId="7" xfId="0" applyFont="1" applyFill="1" applyBorder="1"/>
    <xf numFmtId="1" fontId="30" fillId="17" borderId="7" xfId="0" applyNumberFormat="1" applyFont="1" applyFill="1" applyBorder="1"/>
    <xf numFmtId="1" fontId="0" fillId="17" borderId="0" xfId="0" applyNumberFormat="1" applyFill="1"/>
    <xf numFmtId="0" fontId="22" fillId="17" borderId="0" xfId="0" applyFont="1" applyFill="1"/>
    <xf numFmtId="170" fontId="0" fillId="17" borderId="0" xfId="0" applyNumberFormat="1" applyFill="1"/>
    <xf numFmtId="0" fontId="30" fillId="17" borderId="0" xfId="0" applyFont="1" applyFill="1"/>
    <xf numFmtId="0" fontId="57" fillId="17" borderId="0" xfId="0" quotePrefix="1" applyFont="1" applyFill="1"/>
    <xf numFmtId="0" fontId="39" fillId="14" borderId="68" xfId="10" applyFont="1" applyFill="1" applyBorder="1"/>
    <xf numFmtId="0" fontId="39" fillId="14" borderId="37" xfId="10" applyFont="1" applyFill="1" applyBorder="1"/>
    <xf numFmtId="0" fontId="10" fillId="15" borderId="130" xfId="10" applyFill="1" applyBorder="1" applyAlignment="1">
      <alignment horizontal="center" textRotation="90" wrapText="1"/>
    </xf>
    <xf numFmtId="0" fontId="19" fillId="0" borderId="0" xfId="0" applyFont="1"/>
    <xf numFmtId="0" fontId="39" fillId="14" borderId="68" xfId="10" applyFont="1" applyFill="1" applyBorder="1" applyAlignment="1">
      <alignment horizontal="center"/>
    </xf>
    <xf numFmtId="3" fontId="10" fillId="14" borderId="131" xfId="10" applyNumberFormat="1" applyFill="1" applyBorder="1"/>
    <xf numFmtId="0" fontId="59" fillId="14" borderId="132" xfId="14" applyFont="1" applyFill="1" applyBorder="1" applyAlignment="1">
      <alignment horizontal="center" vertical="center"/>
    </xf>
    <xf numFmtId="0" fontId="59" fillId="14" borderId="133" xfId="14" applyFont="1" applyFill="1" applyBorder="1" applyAlignment="1">
      <alignment horizontal="center" vertical="center"/>
    </xf>
    <xf numFmtId="0" fontId="39" fillId="14" borderId="37" xfId="10" applyFont="1" applyFill="1" applyBorder="1" applyAlignment="1">
      <alignment horizontal="center" vertical="center"/>
    </xf>
    <xf numFmtId="168" fontId="39" fillId="5" borderId="92" xfId="17" applyNumberFormat="1" applyFont="1" applyFill="1" applyBorder="1" applyAlignment="1">
      <alignment vertical="center"/>
    </xf>
    <xf numFmtId="168" fontId="39" fillId="5" borderId="93" xfId="17" applyNumberFormat="1" applyFont="1" applyFill="1" applyBorder="1" applyAlignment="1">
      <alignment vertical="center"/>
    </xf>
    <xf numFmtId="168" fontId="39" fillId="14" borderId="79" xfId="17" applyNumberFormat="1" applyFont="1" applyFill="1" applyBorder="1" applyAlignment="1">
      <alignment vertical="center"/>
    </xf>
    <xf numFmtId="168" fontId="39" fillId="14" borderId="98" xfId="17" applyNumberFormat="1" applyFont="1" applyFill="1" applyBorder="1" applyAlignment="1">
      <alignment vertical="center"/>
    </xf>
    <xf numFmtId="168" fontId="39" fillId="14" borderId="123" xfId="17" applyNumberFormat="1" applyFont="1" applyFill="1" applyBorder="1" applyAlignment="1">
      <alignment vertical="center"/>
    </xf>
    <xf numFmtId="168" fontId="39" fillId="14" borderId="81" xfId="17" applyNumberFormat="1" applyFont="1" applyFill="1" applyBorder="1" applyAlignment="1">
      <alignment vertical="center"/>
    </xf>
    <xf numFmtId="168" fontId="39" fillId="14" borderId="99" xfId="17" applyNumberFormat="1" applyFont="1" applyFill="1" applyBorder="1" applyAlignment="1">
      <alignment vertical="center"/>
    </xf>
    <xf numFmtId="168" fontId="39" fillId="14" borderId="113" xfId="17" applyNumberFormat="1" applyFont="1" applyFill="1" applyBorder="1" applyAlignment="1">
      <alignment vertical="center"/>
    </xf>
    <xf numFmtId="168" fontId="39" fillId="14" borderId="124" xfId="17" applyNumberFormat="1" applyFont="1" applyFill="1" applyBorder="1" applyAlignment="1">
      <alignment vertical="center"/>
    </xf>
    <xf numFmtId="168" fontId="39" fillId="14" borderId="90" xfId="17" applyNumberFormat="1" applyFont="1" applyFill="1" applyBorder="1" applyAlignment="1">
      <alignment vertical="center"/>
    </xf>
    <xf numFmtId="168" fontId="39" fillId="14" borderId="114" xfId="17" applyNumberFormat="1" applyFont="1" applyFill="1" applyBorder="1" applyAlignment="1">
      <alignment vertical="center"/>
    </xf>
    <xf numFmtId="168" fontId="39" fillId="14" borderId="87" xfId="17" applyNumberFormat="1" applyFont="1" applyFill="1" applyBorder="1" applyAlignment="1">
      <alignment vertical="center"/>
    </xf>
    <xf numFmtId="168" fontId="20" fillId="14" borderId="79" xfId="17" applyNumberFormat="1" applyFont="1" applyFill="1" applyBorder="1" applyAlignment="1">
      <alignment vertical="center"/>
    </xf>
    <xf numFmtId="168" fontId="20" fillId="14" borderId="98" xfId="17" applyNumberFormat="1" applyFont="1" applyFill="1" applyBorder="1" applyAlignment="1">
      <alignment vertical="center"/>
    </xf>
    <xf numFmtId="168" fontId="20" fillId="14" borderId="123" xfId="17" applyNumberFormat="1" applyFont="1" applyFill="1" applyBorder="1" applyAlignment="1">
      <alignment vertical="center"/>
    </xf>
    <xf numFmtId="168" fontId="20" fillId="14" borderId="81" xfId="17" applyNumberFormat="1" applyFont="1" applyFill="1" applyBorder="1" applyAlignment="1">
      <alignment vertical="center"/>
    </xf>
    <xf numFmtId="168" fontId="20" fillId="14" borderId="99" xfId="17" applyNumberFormat="1" applyFont="1" applyFill="1" applyBorder="1" applyAlignment="1">
      <alignment vertical="center"/>
    </xf>
    <xf numFmtId="168" fontId="39" fillId="14" borderId="74" xfId="17" applyNumberFormat="1" applyFill="1" applyBorder="1" applyAlignment="1">
      <alignment vertical="center"/>
    </xf>
    <xf numFmtId="168" fontId="39" fillId="14" borderId="116" xfId="17" applyNumberFormat="1" applyFill="1" applyBorder="1" applyAlignment="1">
      <alignment vertical="center"/>
    </xf>
    <xf numFmtId="168" fontId="39" fillId="14" borderId="122" xfId="17" applyNumberFormat="1" applyFill="1" applyBorder="1" applyAlignment="1">
      <alignment vertical="center"/>
    </xf>
    <xf numFmtId="168" fontId="39" fillId="14" borderId="76" xfId="17" applyNumberFormat="1" applyFill="1" applyBorder="1" applyAlignment="1">
      <alignment vertical="center"/>
    </xf>
    <xf numFmtId="168" fontId="39" fillId="14" borderId="118" xfId="17" applyNumberFormat="1" applyFill="1" applyBorder="1" applyAlignment="1">
      <alignment vertical="center"/>
    </xf>
    <xf numFmtId="9" fontId="39" fillId="5" borderId="111" xfId="17" applyFont="1" applyFill="1" applyBorder="1" applyAlignment="1">
      <alignment vertical="center"/>
    </xf>
    <xf numFmtId="168" fontId="21" fillId="14" borderId="74" xfId="17" applyNumberFormat="1" applyFont="1" applyFill="1" applyBorder="1" applyAlignment="1">
      <alignment vertical="center"/>
    </xf>
    <xf numFmtId="168" fontId="21" fillId="14" borderId="116" xfId="17" applyNumberFormat="1" applyFont="1" applyFill="1" applyBorder="1" applyAlignment="1">
      <alignment vertical="center"/>
    </xf>
    <xf numFmtId="168" fontId="21" fillId="14" borderId="122" xfId="17" applyNumberFormat="1" applyFont="1" applyFill="1" applyBorder="1" applyAlignment="1">
      <alignment vertical="center"/>
    </xf>
    <xf numFmtId="168" fontId="21" fillId="14" borderId="76" xfId="17" applyNumberFormat="1" applyFont="1" applyFill="1" applyBorder="1" applyAlignment="1">
      <alignment vertical="center"/>
    </xf>
    <xf numFmtId="168" fontId="21" fillId="14" borderId="118" xfId="17" applyNumberFormat="1" applyFont="1" applyFill="1" applyBorder="1" applyAlignment="1">
      <alignment vertical="center"/>
    </xf>
    <xf numFmtId="168" fontId="64" fillId="5" borderId="92" xfId="17" applyNumberFormat="1" applyFont="1" applyFill="1" applyBorder="1" applyAlignment="1">
      <alignment vertical="center"/>
    </xf>
    <xf numFmtId="168" fontId="64" fillId="5" borderId="93" xfId="17" applyNumberFormat="1" applyFont="1" applyFill="1" applyBorder="1" applyAlignment="1">
      <alignment vertical="center"/>
    </xf>
    <xf numFmtId="9" fontId="64" fillId="5" borderId="111" xfId="17" applyFont="1" applyFill="1" applyBorder="1" applyAlignment="1">
      <alignment vertical="center"/>
    </xf>
    <xf numFmtId="168" fontId="21" fillId="14" borderId="79" xfId="17" applyNumberFormat="1" applyFont="1" applyFill="1" applyBorder="1" applyAlignment="1">
      <alignment vertical="center"/>
    </xf>
    <xf numFmtId="168" fontId="21" fillId="14" borderId="123" xfId="17" applyNumberFormat="1" applyFont="1" applyFill="1" applyBorder="1" applyAlignment="1">
      <alignment vertical="center"/>
    </xf>
    <xf numFmtId="168" fontId="21" fillId="14" borderId="81" xfId="17" applyNumberFormat="1" applyFont="1" applyFill="1" applyBorder="1" applyAlignment="1">
      <alignment vertical="center"/>
    </xf>
    <xf numFmtId="168" fontId="21" fillId="14" borderId="99" xfId="17" applyNumberFormat="1" applyFont="1" applyFill="1" applyBorder="1" applyAlignment="1">
      <alignment vertical="center"/>
    </xf>
    <xf numFmtId="0" fontId="40" fillId="15" borderId="47" xfId="10" applyFont="1" applyFill="1" applyBorder="1" applyAlignment="1">
      <alignment horizontal="center"/>
    </xf>
    <xf numFmtId="0" fontId="42" fillId="14" borderId="69" xfId="10" applyFont="1" applyFill="1" applyBorder="1" applyAlignment="1">
      <alignment horizontal="right"/>
    </xf>
    <xf numFmtId="0" fontId="42" fillId="14" borderId="14" xfId="10" applyFont="1" applyFill="1" applyBorder="1" applyAlignment="1">
      <alignment horizontal="right"/>
    </xf>
    <xf numFmtId="0" fontId="42" fillId="14" borderId="70" xfId="10" applyFont="1" applyFill="1" applyBorder="1" applyAlignment="1">
      <alignment horizontal="right"/>
    </xf>
    <xf numFmtId="0" fontId="39" fillId="14" borderId="71" xfId="10" applyFont="1" applyFill="1" applyBorder="1" applyAlignment="1">
      <alignment horizontal="center"/>
    </xf>
    <xf numFmtId="9" fontId="39" fillId="15" borderId="3" xfId="4" applyFont="1" applyFill="1" applyBorder="1" applyAlignment="1">
      <alignment horizontal="center" wrapText="1"/>
    </xf>
    <xf numFmtId="3" fontId="39" fillId="15" borderId="44" xfId="10" applyNumberFormat="1" applyFont="1" applyFill="1" applyBorder="1"/>
    <xf numFmtId="0" fontId="10" fillId="15" borderId="44" xfId="10" applyFill="1" applyBorder="1" applyAlignment="1">
      <alignment horizontal="center"/>
    </xf>
    <xf numFmtId="0" fontId="10" fillId="15" borderId="44" xfId="10" applyFill="1" applyBorder="1"/>
    <xf numFmtId="0" fontId="10" fillId="15" borderId="63" xfId="10" applyFill="1" applyBorder="1"/>
    <xf numFmtId="0" fontId="10" fillId="0" borderId="94" xfId="10" applyBorder="1"/>
    <xf numFmtId="168" fontId="39" fillId="14" borderId="94" xfId="4" applyNumberFormat="1" applyFont="1" applyFill="1" applyBorder="1"/>
    <xf numFmtId="168" fontId="39" fillId="14" borderId="77" xfId="4" applyNumberFormat="1" applyFont="1" applyFill="1" applyBorder="1"/>
    <xf numFmtId="168" fontId="39" fillId="14" borderId="97" xfId="4" applyNumberFormat="1" applyFont="1" applyFill="1" applyBorder="1"/>
    <xf numFmtId="168" fontId="39" fillId="14" borderId="99" xfId="4" applyNumberFormat="1" applyFont="1" applyFill="1" applyBorder="1"/>
    <xf numFmtId="0" fontId="10" fillId="16" borderId="78" xfId="10" applyFill="1" applyBorder="1"/>
    <xf numFmtId="0" fontId="10" fillId="0" borderId="103" xfId="10" applyBorder="1"/>
    <xf numFmtId="168" fontId="39" fillId="14" borderId="108" xfId="4" applyNumberFormat="1" applyFont="1" applyFill="1" applyBorder="1"/>
    <xf numFmtId="0" fontId="39" fillId="5" borderId="91" xfId="10" applyFont="1" applyFill="1" applyBorder="1" applyAlignment="1">
      <alignment vertical="center"/>
    </xf>
    <xf numFmtId="0" fontId="10" fillId="0" borderId="106" xfId="10" applyBorder="1"/>
    <xf numFmtId="168" fontId="39" fillId="14" borderId="113" xfId="4" applyNumberFormat="1" applyFont="1" applyFill="1" applyBorder="1"/>
    <xf numFmtId="168" fontId="39" fillId="14" borderId="89" xfId="4" applyNumberFormat="1" applyFont="1" applyFill="1" applyBorder="1"/>
    <xf numFmtId="168" fontId="39" fillId="14" borderId="103" xfId="4" applyNumberFormat="1" applyFont="1" applyFill="1" applyBorder="1"/>
    <xf numFmtId="168" fontId="39" fillId="14" borderId="114" xfId="4" applyNumberFormat="1" applyFont="1" applyFill="1" applyBorder="1"/>
    <xf numFmtId="0" fontId="10" fillId="0" borderId="89" xfId="10" applyBorder="1"/>
    <xf numFmtId="0" fontId="10" fillId="0" borderId="115" xfId="10" applyBorder="1"/>
    <xf numFmtId="168" fontId="39" fillId="14" borderId="116" xfId="4" applyNumberFormat="1" applyFont="1" applyFill="1" applyBorder="1"/>
    <xf numFmtId="168" fontId="39" fillId="14" borderId="73" xfId="4" applyNumberFormat="1" applyFont="1" applyFill="1" applyBorder="1"/>
    <xf numFmtId="168" fontId="39" fillId="14" borderId="117" xfId="4" applyNumberFormat="1" applyFont="1" applyFill="1" applyBorder="1"/>
    <xf numFmtId="168" fontId="39" fillId="14" borderId="118" xfId="4" applyNumberFormat="1" applyFont="1" applyFill="1" applyBorder="1"/>
    <xf numFmtId="0" fontId="10" fillId="0" borderId="119" xfId="10" applyBorder="1"/>
    <xf numFmtId="168" fontId="39" fillId="14" borderId="74" xfId="4" applyNumberFormat="1" applyFont="1" applyFill="1" applyBorder="1"/>
    <xf numFmtId="168" fontId="39" fillId="14" borderId="79" xfId="4" applyNumberFormat="1" applyFont="1" applyFill="1" applyBorder="1"/>
    <xf numFmtId="3" fontId="10" fillId="14" borderId="120" xfId="10" applyNumberFormat="1" applyFill="1" applyBorder="1"/>
    <xf numFmtId="3" fontId="10" fillId="14" borderId="105" xfId="10" applyNumberFormat="1" applyFill="1" applyBorder="1"/>
    <xf numFmtId="168" fontId="39" fillId="5" borderId="91" xfId="4" applyNumberFormat="1" applyFont="1" applyFill="1" applyBorder="1" applyAlignment="1">
      <alignment vertical="center"/>
    </xf>
    <xf numFmtId="0" fontId="10" fillId="0" borderId="94" xfId="10" applyBorder="1" applyAlignment="1">
      <alignment vertical="top"/>
    </xf>
    <xf numFmtId="3" fontId="10" fillId="14" borderId="120" xfId="10" applyNumberFormat="1" applyFill="1" applyBorder="1" applyAlignment="1">
      <alignment vertical="top"/>
    </xf>
    <xf numFmtId="3" fontId="10" fillId="14" borderId="121" xfId="10" applyNumberFormat="1" applyFill="1" applyBorder="1" applyAlignment="1">
      <alignment vertical="top"/>
    </xf>
    <xf numFmtId="3" fontId="10" fillId="14" borderId="105" xfId="10" applyNumberFormat="1" applyFill="1" applyBorder="1" applyAlignment="1">
      <alignment vertical="top"/>
    </xf>
    <xf numFmtId="168" fontId="39" fillId="14" borderId="74" xfId="4" applyNumberFormat="1" applyFont="1" applyFill="1" applyBorder="1" applyAlignment="1">
      <alignment vertical="top"/>
    </xf>
    <xf numFmtId="168" fontId="39" fillId="14" borderId="116" xfId="4" applyNumberFormat="1" applyFont="1" applyFill="1" applyBorder="1" applyAlignment="1">
      <alignment vertical="top"/>
    </xf>
    <xf numFmtId="168" fontId="39" fillId="14" borderId="122" xfId="4" applyNumberFormat="1" applyFont="1" applyFill="1" applyBorder="1" applyAlignment="1">
      <alignment vertical="top"/>
    </xf>
    <xf numFmtId="168" fontId="39" fillId="14" borderId="76" xfId="4" applyNumberFormat="1" applyFont="1" applyFill="1" applyBorder="1" applyAlignment="1">
      <alignment vertical="top"/>
    </xf>
    <xf numFmtId="168" fontId="39" fillId="14" borderId="118" xfId="4" applyNumberFormat="1" applyFont="1" applyFill="1" applyBorder="1" applyAlignment="1">
      <alignment vertical="top"/>
    </xf>
    <xf numFmtId="0" fontId="39" fillId="0" borderId="78" xfId="10" applyFont="1" applyBorder="1" applyAlignment="1">
      <alignment vertical="top"/>
    </xf>
    <xf numFmtId="3" fontId="39" fillId="14" borderId="120" xfId="10" applyNumberFormat="1" applyFont="1" applyFill="1" applyBorder="1" applyAlignment="1">
      <alignment vertical="top"/>
    </xf>
    <xf numFmtId="3" fontId="39" fillId="14" borderId="121" xfId="10" applyNumberFormat="1" applyFont="1" applyFill="1" applyBorder="1" applyAlignment="1">
      <alignment vertical="top"/>
    </xf>
    <xf numFmtId="3" fontId="39" fillId="14" borderId="105" xfId="10" applyNumberFormat="1" applyFont="1" applyFill="1" applyBorder="1" applyAlignment="1">
      <alignment vertical="top"/>
    </xf>
    <xf numFmtId="168" fontId="39" fillId="14" borderId="79" xfId="4" applyNumberFormat="1" applyFont="1" applyFill="1" applyBorder="1" applyAlignment="1">
      <alignment vertical="top"/>
    </xf>
    <xf numFmtId="168" fontId="39" fillId="14" borderId="98" xfId="4" applyNumberFormat="1" applyFont="1" applyFill="1" applyBorder="1" applyAlignment="1">
      <alignment vertical="top"/>
    </xf>
    <xf numFmtId="168" fontId="39" fillId="14" borderId="123" xfId="4" applyNumberFormat="1" applyFont="1" applyFill="1" applyBorder="1" applyAlignment="1">
      <alignment vertical="top"/>
    </xf>
    <xf numFmtId="168" fontId="39" fillId="14" borderId="81" xfId="4" applyNumberFormat="1" applyFont="1" applyFill="1" applyBorder="1" applyAlignment="1">
      <alignment vertical="top"/>
    </xf>
    <xf numFmtId="168" fontId="39" fillId="14" borderId="99" xfId="4" applyNumberFormat="1" applyFont="1" applyFill="1" applyBorder="1" applyAlignment="1">
      <alignment vertical="top"/>
    </xf>
    <xf numFmtId="3" fontId="20" fillId="14" borderId="120" xfId="10" applyNumberFormat="1" applyFont="1" applyFill="1" applyBorder="1" applyAlignment="1">
      <alignment vertical="top"/>
    </xf>
    <xf numFmtId="3" fontId="20" fillId="14" borderId="121" xfId="10" applyNumberFormat="1" applyFont="1" applyFill="1" applyBorder="1" applyAlignment="1">
      <alignment vertical="top"/>
    </xf>
    <xf numFmtId="3" fontId="20" fillId="14" borderId="105" xfId="10" applyNumberFormat="1" applyFont="1" applyFill="1" applyBorder="1" applyAlignment="1">
      <alignment vertical="top"/>
    </xf>
    <xf numFmtId="168" fontId="20" fillId="14" borderId="79" xfId="4" applyNumberFormat="1" applyFont="1" applyFill="1" applyBorder="1" applyAlignment="1">
      <alignment vertical="top"/>
    </xf>
    <xf numFmtId="168" fontId="20" fillId="14" borderId="98" xfId="4" applyNumberFormat="1" applyFont="1" applyFill="1" applyBorder="1" applyAlignment="1">
      <alignment vertical="top"/>
    </xf>
    <xf numFmtId="168" fontId="20" fillId="14" borderId="123" xfId="4" applyNumberFormat="1" applyFont="1" applyFill="1" applyBorder="1" applyAlignment="1">
      <alignment vertical="top"/>
    </xf>
    <xf numFmtId="168" fontId="20" fillId="14" borderId="81" xfId="4" applyNumberFormat="1" applyFont="1" applyFill="1" applyBorder="1" applyAlignment="1">
      <alignment vertical="top"/>
    </xf>
    <xf numFmtId="168" fontId="20" fillId="14" borderId="99" xfId="4" applyNumberFormat="1" applyFont="1" applyFill="1" applyBorder="1" applyAlignment="1">
      <alignment vertical="top"/>
    </xf>
    <xf numFmtId="3" fontId="49" fillId="14" borderId="120" xfId="10" applyNumberFormat="1" applyFont="1" applyFill="1" applyBorder="1" applyAlignment="1">
      <alignment vertical="top"/>
    </xf>
    <xf numFmtId="3" fontId="49" fillId="14" borderId="121" xfId="10" applyNumberFormat="1" applyFont="1" applyFill="1" applyBorder="1" applyAlignment="1">
      <alignment vertical="top"/>
    </xf>
    <xf numFmtId="3" fontId="49" fillId="14" borderId="105" xfId="10" applyNumberFormat="1" applyFont="1" applyFill="1" applyBorder="1" applyAlignment="1">
      <alignment vertical="top"/>
    </xf>
    <xf numFmtId="168" fontId="39" fillId="14" borderId="87" xfId="4" applyNumberFormat="1" applyFont="1" applyFill="1" applyBorder="1" applyAlignment="1">
      <alignment vertical="top"/>
    </xf>
    <xf numFmtId="168" fontId="39" fillId="14" borderId="113" xfId="4" applyNumberFormat="1" applyFont="1" applyFill="1" applyBorder="1" applyAlignment="1">
      <alignment vertical="top"/>
    </xf>
    <xf numFmtId="168" fontId="39" fillId="14" borderId="124" xfId="4" applyNumberFormat="1" applyFont="1" applyFill="1" applyBorder="1" applyAlignment="1">
      <alignment vertical="top"/>
    </xf>
    <xf numFmtId="168" fontId="39" fillId="14" borderId="90" xfId="4" applyNumberFormat="1" applyFont="1" applyFill="1" applyBorder="1" applyAlignment="1">
      <alignment vertical="top"/>
    </xf>
    <xf numFmtId="168" fontId="39" fillId="14" borderId="114" xfId="4" applyNumberFormat="1" applyFont="1" applyFill="1" applyBorder="1" applyAlignment="1">
      <alignment vertical="top"/>
    </xf>
    <xf numFmtId="3" fontId="62" fillId="14" borderId="120" xfId="10" applyNumberFormat="1" applyFont="1" applyFill="1" applyBorder="1" applyAlignment="1">
      <alignment vertical="top"/>
    </xf>
    <xf numFmtId="168" fontId="62" fillId="14" borderId="79" xfId="4" applyNumberFormat="1" applyFont="1" applyFill="1" applyBorder="1" applyAlignment="1">
      <alignment vertical="top"/>
    </xf>
    <xf numFmtId="168" fontId="49" fillId="14" borderId="123" xfId="4" applyNumberFormat="1" applyFont="1" applyFill="1" applyBorder="1" applyAlignment="1">
      <alignment vertical="top"/>
    </xf>
    <xf numFmtId="168" fontId="49" fillId="14" borderId="81" xfId="4" applyNumberFormat="1" applyFont="1" applyFill="1" applyBorder="1" applyAlignment="1">
      <alignment vertical="top"/>
    </xf>
    <xf numFmtId="168" fontId="49" fillId="14" borderId="99" xfId="4" applyNumberFormat="1" applyFont="1" applyFill="1" applyBorder="1" applyAlignment="1">
      <alignment vertical="top"/>
    </xf>
    <xf numFmtId="168" fontId="49" fillId="5" borderId="92" xfId="4" applyNumberFormat="1" applyFont="1" applyFill="1" applyBorder="1" applyAlignment="1">
      <alignment vertical="center"/>
    </xf>
    <xf numFmtId="3" fontId="10" fillId="14" borderId="120" xfId="10" applyNumberFormat="1" applyFill="1" applyBorder="1" applyAlignment="1">
      <alignment vertical="center"/>
    </xf>
    <xf numFmtId="3" fontId="10" fillId="14" borderId="121" xfId="10" applyNumberFormat="1" applyFill="1" applyBorder="1" applyAlignment="1">
      <alignment vertical="center"/>
    </xf>
    <xf numFmtId="3" fontId="10" fillId="14" borderId="105" xfId="10" applyNumberFormat="1" applyFill="1" applyBorder="1" applyAlignment="1">
      <alignment vertical="center"/>
    </xf>
    <xf numFmtId="3" fontId="10" fillId="14" borderId="76" xfId="10" applyNumberFormat="1" applyFill="1" applyBorder="1" applyAlignment="1">
      <alignment vertical="center"/>
    </xf>
    <xf numFmtId="3" fontId="10" fillId="14" borderId="77" xfId="10" applyNumberFormat="1" applyFill="1" applyBorder="1" applyAlignment="1">
      <alignment vertical="center"/>
    </xf>
    <xf numFmtId="168" fontId="39" fillId="14" borderId="74" xfId="4" applyNumberFormat="1" applyFont="1" applyFill="1" applyBorder="1" applyAlignment="1">
      <alignment vertical="center"/>
    </xf>
    <xf numFmtId="168" fontId="39" fillId="14" borderId="116" xfId="4" applyNumberFormat="1" applyFont="1" applyFill="1" applyBorder="1" applyAlignment="1">
      <alignment vertical="center"/>
    </xf>
    <xf numFmtId="168" fontId="39" fillId="14" borderId="122" xfId="4" applyNumberFormat="1" applyFont="1" applyFill="1" applyBorder="1" applyAlignment="1">
      <alignment vertical="center"/>
    </xf>
    <xf numFmtId="168" fontId="39" fillId="14" borderId="76" xfId="4" applyNumberFormat="1" applyFont="1" applyFill="1" applyBorder="1" applyAlignment="1">
      <alignment vertical="center"/>
    </xf>
    <xf numFmtId="168" fontId="39" fillId="14" borderId="118" xfId="4" applyNumberFormat="1" applyFont="1" applyFill="1" applyBorder="1" applyAlignment="1">
      <alignment vertical="center"/>
    </xf>
    <xf numFmtId="3" fontId="39" fillId="14" borderId="120" xfId="10" applyNumberFormat="1" applyFont="1" applyFill="1" applyBorder="1" applyAlignment="1">
      <alignment vertical="center"/>
    </xf>
    <xf numFmtId="3" fontId="39" fillId="14" borderId="121" xfId="10" applyNumberFormat="1" applyFont="1" applyFill="1" applyBorder="1" applyAlignment="1">
      <alignment vertical="center"/>
    </xf>
    <xf numFmtId="3" fontId="39" fillId="14" borderId="105" xfId="10" applyNumberFormat="1" applyFont="1" applyFill="1" applyBorder="1" applyAlignment="1">
      <alignment vertical="center"/>
    </xf>
    <xf numFmtId="3" fontId="39" fillId="14" borderId="81" xfId="10" applyNumberFormat="1" applyFont="1" applyFill="1" applyBorder="1" applyAlignment="1">
      <alignment vertical="center"/>
    </xf>
    <xf numFmtId="3" fontId="39" fillId="14" borderId="82" xfId="10" applyNumberFormat="1" applyFont="1" applyFill="1" applyBorder="1" applyAlignment="1">
      <alignment vertical="center"/>
    </xf>
    <xf numFmtId="168" fontId="39" fillId="14" borderId="79" xfId="4" applyNumberFormat="1" applyFont="1" applyFill="1" applyBorder="1" applyAlignment="1">
      <alignment vertical="center"/>
    </xf>
    <xf numFmtId="168" fontId="39" fillId="14" borderId="98" xfId="4" applyNumberFormat="1" applyFont="1" applyFill="1" applyBorder="1" applyAlignment="1">
      <alignment vertical="center"/>
    </xf>
    <xf numFmtId="168" fontId="39" fillId="14" borderId="123" xfId="4" applyNumberFormat="1" applyFont="1" applyFill="1" applyBorder="1" applyAlignment="1">
      <alignment vertical="center"/>
    </xf>
    <xf numFmtId="168" fontId="39" fillId="14" borderId="81" xfId="4" applyNumberFormat="1" applyFont="1" applyFill="1" applyBorder="1" applyAlignment="1">
      <alignment vertical="center"/>
    </xf>
    <xf numFmtId="168" fontId="39" fillId="14" borderId="99" xfId="4" applyNumberFormat="1" applyFont="1" applyFill="1" applyBorder="1" applyAlignment="1">
      <alignment vertical="center"/>
    </xf>
    <xf numFmtId="168" fontId="49" fillId="14" borderId="79" xfId="4" applyNumberFormat="1" applyFont="1" applyFill="1" applyBorder="1" applyAlignment="1">
      <alignment vertical="center"/>
    </xf>
    <xf numFmtId="168" fontId="49" fillId="14" borderId="87" xfId="4" applyNumberFormat="1" applyFont="1" applyFill="1" applyBorder="1" applyAlignment="1">
      <alignment vertical="center"/>
    </xf>
    <xf numFmtId="168" fontId="39" fillId="14" borderId="113" xfId="4" applyNumberFormat="1" applyFont="1" applyFill="1" applyBorder="1" applyAlignment="1">
      <alignment vertical="center"/>
    </xf>
    <xf numFmtId="168" fontId="39" fillId="14" borderId="124" xfId="4" applyNumberFormat="1" applyFont="1" applyFill="1" applyBorder="1" applyAlignment="1">
      <alignment vertical="center"/>
    </xf>
    <xf numFmtId="168" fontId="39" fillId="14" borderId="90" xfId="4" applyNumberFormat="1" applyFont="1" applyFill="1" applyBorder="1" applyAlignment="1">
      <alignment vertical="center"/>
    </xf>
    <xf numFmtId="168" fontId="39" fillId="14" borderId="114" xfId="4" applyNumberFormat="1" applyFont="1" applyFill="1" applyBorder="1" applyAlignment="1">
      <alignment vertical="center"/>
    </xf>
    <xf numFmtId="3" fontId="42" fillId="5" borderId="30" xfId="10" applyNumberFormat="1" applyFont="1" applyFill="1" applyBorder="1" applyAlignment="1">
      <alignment vertical="center"/>
    </xf>
    <xf numFmtId="3" fontId="42" fillId="5" borderId="93" xfId="10" applyNumberFormat="1" applyFont="1" applyFill="1" applyBorder="1" applyAlignment="1">
      <alignment vertical="center"/>
    </xf>
    <xf numFmtId="168" fontId="52" fillId="5" borderId="92" xfId="4" applyNumberFormat="1" applyFont="1" applyFill="1" applyBorder="1" applyAlignment="1">
      <alignment vertical="center"/>
    </xf>
    <xf numFmtId="168" fontId="52" fillId="5" borderId="93" xfId="4" applyNumberFormat="1" applyFont="1" applyFill="1" applyBorder="1" applyAlignment="1">
      <alignment vertical="center"/>
    </xf>
    <xf numFmtId="168" fontId="42" fillId="5" borderId="111" xfId="4" applyNumberFormat="1" applyFont="1" applyFill="1" applyBorder="1" applyAlignment="1">
      <alignment vertical="center"/>
    </xf>
    <xf numFmtId="168" fontId="42" fillId="5" borderId="93" xfId="4" applyNumberFormat="1" applyFont="1" applyFill="1" applyBorder="1" applyAlignment="1">
      <alignment vertical="center"/>
    </xf>
    <xf numFmtId="3" fontId="39" fillId="14" borderId="76" xfId="10" applyNumberFormat="1" applyFont="1" applyFill="1" applyBorder="1" applyAlignment="1">
      <alignment vertical="center"/>
    </xf>
    <xf numFmtId="3" fontId="39" fillId="14" borderId="77" xfId="10" applyNumberFormat="1" applyFont="1" applyFill="1" applyBorder="1" applyAlignment="1">
      <alignment vertical="center"/>
    </xf>
    <xf numFmtId="168" fontId="39" fillId="14" borderId="87" xfId="4" applyNumberFormat="1" applyFont="1" applyFill="1" applyBorder="1" applyAlignment="1">
      <alignment vertical="center"/>
    </xf>
    <xf numFmtId="3" fontId="52" fillId="5" borderId="93" xfId="10" applyNumberFormat="1" applyFont="1" applyFill="1" applyBorder="1" applyAlignment="1">
      <alignment vertical="center"/>
    </xf>
    <xf numFmtId="3" fontId="20" fillId="14" borderId="120" xfId="10" applyNumberFormat="1" applyFont="1" applyFill="1" applyBorder="1" applyAlignment="1">
      <alignment vertical="center"/>
    </xf>
    <xf numFmtId="3" fontId="20" fillId="14" borderId="121" xfId="10" applyNumberFormat="1" applyFont="1" applyFill="1" applyBorder="1" applyAlignment="1">
      <alignment vertical="center"/>
    </xf>
    <xf numFmtId="3" fontId="20" fillId="14" borderId="105" xfId="10" applyNumberFormat="1" applyFont="1" applyFill="1" applyBorder="1" applyAlignment="1">
      <alignment vertical="center"/>
    </xf>
    <xf numFmtId="3" fontId="20" fillId="14" borderId="81" xfId="10" applyNumberFormat="1" applyFont="1" applyFill="1" applyBorder="1" applyAlignment="1">
      <alignment vertical="center"/>
    </xf>
    <xf numFmtId="3" fontId="20" fillId="14" borderId="82" xfId="10" applyNumberFormat="1" applyFont="1" applyFill="1" applyBorder="1" applyAlignment="1">
      <alignment vertical="center"/>
    </xf>
    <xf numFmtId="168" fontId="20" fillId="14" borderId="79" xfId="4" applyNumberFormat="1" applyFont="1" applyFill="1" applyBorder="1" applyAlignment="1">
      <alignment vertical="center"/>
    </xf>
    <xf numFmtId="168" fontId="20" fillId="14" borderId="98" xfId="4" applyNumberFormat="1" applyFont="1" applyFill="1" applyBorder="1" applyAlignment="1">
      <alignment vertical="center"/>
    </xf>
    <xf numFmtId="168" fontId="20" fillId="14" borderId="123" xfId="4" applyNumberFormat="1" applyFont="1" applyFill="1" applyBorder="1" applyAlignment="1">
      <alignment vertical="center"/>
    </xf>
    <xf numFmtId="168" fontId="20" fillId="14" borderId="81" xfId="4" applyNumberFormat="1" applyFont="1" applyFill="1" applyBorder="1" applyAlignment="1">
      <alignment vertical="center"/>
    </xf>
    <xf numFmtId="168" fontId="20" fillId="14" borderId="99" xfId="4" applyNumberFormat="1" applyFont="1" applyFill="1" applyBorder="1" applyAlignment="1">
      <alignment vertical="center"/>
    </xf>
    <xf numFmtId="3" fontId="63" fillId="5" borderId="93" xfId="10" applyNumberFormat="1" applyFont="1" applyFill="1" applyBorder="1" applyAlignment="1">
      <alignment vertical="center"/>
    </xf>
    <xf numFmtId="168" fontId="11" fillId="14" borderId="74" xfId="4" applyNumberFormat="1" applyFill="1" applyBorder="1" applyAlignment="1">
      <alignment vertical="center"/>
    </xf>
    <xf numFmtId="168" fontId="11" fillId="14" borderId="116" xfId="4" applyNumberFormat="1" applyFill="1" applyBorder="1" applyAlignment="1">
      <alignment vertical="center"/>
    </xf>
    <xf numFmtId="168" fontId="11" fillId="14" borderId="122" xfId="4" applyNumberFormat="1" applyFill="1" applyBorder="1" applyAlignment="1">
      <alignment vertical="center"/>
    </xf>
    <xf numFmtId="168" fontId="11" fillId="14" borderId="76" xfId="4" applyNumberFormat="1" applyFill="1" applyBorder="1" applyAlignment="1">
      <alignment vertical="center"/>
    </xf>
    <xf numFmtId="168" fontId="11" fillId="14" borderId="118" xfId="4" applyNumberFormat="1" applyFill="1" applyBorder="1" applyAlignment="1">
      <alignment vertical="center"/>
    </xf>
    <xf numFmtId="3" fontId="49" fillId="5" borderId="30" xfId="10" applyNumberFormat="1" applyFont="1" applyFill="1" applyBorder="1" applyAlignment="1">
      <alignment vertical="center"/>
    </xf>
    <xf numFmtId="9" fontId="39" fillId="5" borderId="111" xfId="4" applyFont="1" applyFill="1" applyBorder="1" applyAlignment="1">
      <alignment vertical="center"/>
    </xf>
    <xf numFmtId="3" fontId="66" fillId="12" borderId="65" xfId="0" applyNumberFormat="1" applyFont="1" applyFill="1" applyBorder="1" applyAlignment="1">
      <alignment horizontal="left" vertical="top" wrapText="1"/>
    </xf>
    <xf numFmtId="9" fontId="66" fillId="12" borderId="65" xfId="0" applyNumberFormat="1" applyFont="1" applyFill="1" applyBorder="1" applyAlignment="1">
      <alignment horizontal="left" vertical="top" wrapText="1"/>
    </xf>
    <xf numFmtId="0" fontId="66" fillId="12" borderId="65" xfId="0" applyFont="1" applyFill="1" applyBorder="1" applyAlignment="1">
      <alignment horizontal="left" vertical="top" wrapText="1"/>
    </xf>
    <xf numFmtId="0" fontId="66" fillId="11" borderId="65" xfId="0" applyFont="1" applyFill="1" applyBorder="1" applyAlignment="1">
      <alignment horizontal="left" vertical="top" wrapText="1"/>
    </xf>
    <xf numFmtId="9" fontId="66" fillId="11" borderId="65" xfId="0" applyNumberFormat="1" applyFont="1" applyFill="1" applyBorder="1" applyAlignment="1">
      <alignment horizontal="left" vertical="top" wrapText="1"/>
    </xf>
    <xf numFmtId="3" fontId="66" fillId="11" borderId="65" xfId="0" applyNumberFormat="1" applyFont="1" applyFill="1" applyBorder="1" applyAlignment="1">
      <alignment horizontal="left" vertical="top" wrapText="1"/>
    </xf>
    <xf numFmtId="0" fontId="65" fillId="21" borderId="52" xfId="0" applyFont="1" applyFill="1" applyBorder="1" applyAlignment="1">
      <alignment horizontal="left" vertical="center" wrapText="1"/>
    </xf>
    <xf numFmtId="0" fontId="65" fillId="21" borderId="53" xfId="0" applyFont="1" applyFill="1" applyBorder="1" applyAlignment="1">
      <alignment horizontal="left" vertical="center" wrapText="1"/>
    </xf>
    <xf numFmtId="0" fontId="65" fillId="21" borderId="54" xfId="0" applyFont="1" applyFill="1" applyBorder="1" applyAlignment="1">
      <alignment horizontal="left" vertical="center" wrapText="1"/>
    </xf>
    <xf numFmtId="0" fontId="66" fillId="12" borderId="64" xfId="0" applyFont="1" applyFill="1" applyBorder="1" applyAlignment="1">
      <alignment horizontal="left" vertical="top" wrapText="1"/>
    </xf>
    <xf numFmtId="3" fontId="66" fillId="12" borderId="66" xfId="0" applyNumberFormat="1" applyFont="1" applyFill="1" applyBorder="1" applyAlignment="1">
      <alignment horizontal="left" vertical="top" wrapText="1"/>
    </xf>
    <xf numFmtId="0" fontId="66" fillId="11" borderId="64" xfId="0" applyFont="1" applyFill="1" applyBorder="1" applyAlignment="1">
      <alignment horizontal="left" vertical="top" wrapText="1"/>
    </xf>
    <xf numFmtId="3" fontId="66" fillId="11" borderId="66" xfId="0" applyNumberFormat="1" applyFont="1" applyFill="1" applyBorder="1" applyAlignment="1">
      <alignment horizontal="left" vertical="top" wrapText="1"/>
    </xf>
    <xf numFmtId="0" fontId="66" fillId="11" borderId="66" xfId="0" applyFont="1" applyFill="1" applyBorder="1" applyAlignment="1">
      <alignment horizontal="left" vertical="top" wrapText="1"/>
    </xf>
    <xf numFmtId="0" fontId="66" fillId="12" borderId="100" xfId="0" applyFont="1" applyFill="1" applyBorder="1" applyAlignment="1">
      <alignment horizontal="left" vertical="top" wrapText="1"/>
    </xf>
    <xf numFmtId="3" fontId="66" fillId="12" borderId="101" xfId="0" applyNumberFormat="1" applyFont="1" applyFill="1" applyBorder="1" applyAlignment="1">
      <alignment horizontal="left" vertical="top" wrapText="1"/>
    </xf>
    <xf numFmtId="9" fontId="66" fillId="12" borderId="101" xfId="0" applyNumberFormat="1" applyFont="1" applyFill="1" applyBorder="1" applyAlignment="1">
      <alignment horizontal="left" vertical="top" wrapText="1"/>
    </xf>
    <xf numFmtId="0" fontId="66" fillId="12" borderId="101" xfId="0" applyFont="1" applyFill="1" applyBorder="1" applyAlignment="1">
      <alignment horizontal="left" vertical="top" wrapText="1"/>
    </xf>
    <xf numFmtId="3" fontId="66" fillId="12" borderId="102" xfId="0" applyNumberFormat="1" applyFont="1" applyFill="1" applyBorder="1" applyAlignment="1">
      <alignment horizontal="left" vertical="top" wrapText="1"/>
    </xf>
    <xf numFmtId="0" fontId="67" fillId="11" borderId="58" xfId="0" applyFont="1" applyFill="1" applyBorder="1" applyAlignment="1">
      <alignment horizontal="left" vertical="center" wrapText="1"/>
    </xf>
    <xf numFmtId="0" fontId="67" fillId="11" borderId="59" xfId="0" applyFont="1" applyFill="1" applyBorder="1" applyAlignment="1">
      <alignment horizontal="left" vertical="center" wrapText="1"/>
    </xf>
    <xf numFmtId="0" fontId="67" fillId="11" borderId="60" xfId="0" applyFont="1" applyFill="1" applyBorder="1" applyAlignment="1">
      <alignment horizontal="left" vertical="center" wrapText="1"/>
    </xf>
    <xf numFmtId="0" fontId="67" fillId="12" borderId="83" xfId="0" applyFont="1" applyFill="1" applyBorder="1" applyAlignment="1">
      <alignment horizontal="left" vertical="center" wrapText="1"/>
    </xf>
    <xf numFmtId="0" fontId="67" fillId="12" borderId="84" xfId="0" applyFont="1" applyFill="1" applyBorder="1" applyAlignment="1">
      <alignment horizontal="left" vertical="center" wrapText="1"/>
    </xf>
    <xf numFmtId="0" fontId="67" fillId="12" borderId="85" xfId="0" applyFont="1" applyFill="1" applyBorder="1" applyAlignment="1">
      <alignment horizontal="left" vertical="center" wrapText="1"/>
    </xf>
    <xf numFmtId="0" fontId="67" fillId="11" borderId="83" xfId="0" applyFont="1" applyFill="1" applyBorder="1" applyAlignment="1">
      <alignment horizontal="left" vertical="center" wrapText="1"/>
    </xf>
    <xf numFmtId="0" fontId="67" fillId="11" borderId="84" xfId="0" applyFont="1" applyFill="1" applyBorder="1" applyAlignment="1">
      <alignment horizontal="left" vertical="center" wrapText="1"/>
    </xf>
    <xf numFmtId="0" fontId="67" fillId="11" borderId="85" xfId="0" applyFont="1" applyFill="1" applyBorder="1" applyAlignment="1">
      <alignment horizontal="left" vertical="center" wrapText="1"/>
    </xf>
    <xf numFmtId="0" fontId="68" fillId="22" borderId="0" xfId="0" applyFont="1" applyFill="1"/>
    <xf numFmtId="1" fontId="19" fillId="0" borderId="0" xfId="0" applyNumberFormat="1" applyFont="1"/>
    <xf numFmtId="2" fontId="19" fillId="0" borderId="0" xfId="0" applyNumberFormat="1" applyFont="1"/>
    <xf numFmtId="0" fontId="66" fillId="11" borderId="100" xfId="0" applyFont="1" applyFill="1" applyBorder="1" applyAlignment="1">
      <alignment horizontal="left" vertical="top" wrapText="1"/>
    </xf>
    <xf numFmtId="3" fontId="66" fillId="11" borderId="101" xfId="0" applyNumberFormat="1" applyFont="1" applyFill="1" applyBorder="1" applyAlignment="1">
      <alignment horizontal="left" vertical="top" wrapText="1"/>
    </xf>
    <xf numFmtId="9" fontId="66" fillId="11" borderId="101" xfId="0" applyNumberFormat="1" applyFont="1" applyFill="1" applyBorder="1" applyAlignment="1">
      <alignment horizontal="left" vertical="top" wrapText="1"/>
    </xf>
    <xf numFmtId="0" fontId="66" fillId="11" borderId="101" xfId="0" applyFont="1" applyFill="1" applyBorder="1" applyAlignment="1">
      <alignment horizontal="left" vertical="top" wrapText="1"/>
    </xf>
    <xf numFmtId="3" fontId="66" fillId="11" borderId="102" xfId="0" applyNumberFormat="1" applyFont="1" applyFill="1" applyBorder="1" applyAlignment="1">
      <alignment horizontal="left" vertical="top" wrapText="1"/>
    </xf>
    <xf numFmtId="0" fontId="69" fillId="0" borderId="0" xfId="0" applyFont="1"/>
    <xf numFmtId="0" fontId="42" fillId="15" borderId="0" xfId="10" applyFont="1" applyFill="1" applyAlignment="1">
      <alignment horizontal="center"/>
    </xf>
    <xf numFmtId="0" fontId="39" fillId="14" borderId="0" xfId="10" applyFont="1" applyFill="1" applyAlignment="1">
      <alignment horizontal="center"/>
    </xf>
    <xf numFmtId="0" fontId="10" fillId="15" borderId="6" xfId="10" applyFill="1" applyBorder="1" applyAlignment="1">
      <alignment horizontal="center" textRotation="90" wrapText="1"/>
    </xf>
    <xf numFmtId="0" fontId="42" fillId="14" borderId="43" xfId="10" applyFont="1" applyFill="1" applyBorder="1" applyAlignment="1">
      <alignment horizontal="center"/>
    </xf>
    <xf numFmtId="3" fontId="39" fillId="5" borderId="93" xfId="10" applyNumberFormat="1" applyFont="1" applyFill="1" applyBorder="1" applyAlignment="1">
      <alignment vertical="center"/>
    </xf>
    <xf numFmtId="9" fontId="39" fillId="15" borderId="6" xfId="4" applyFont="1" applyFill="1" applyBorder="1" applyAlignment="1">
      <alignment horizontal="center" vertical="center" wrapText="1"/>
    </xf>
    <xf numFmtId="2" fontId="42" fillId="15" borderId="0" xfId="4" applyNumberFormat="1" applyFont="1" applyFill="1" applyBorder="1" applyAlignment="1">
      <alignment horizontal="center" vertical="center" wrapText="1"/>
    </xf>
    <xf numFmtId="3" fontId="10" fillId="14" borderId="0" xfId="10" applyNumberFormat="1" applyFill="1"/>
    <xf numFmtId="3" fontId="10" fillId="5" borderId="37" xfId="10" applyNumberFormat="1" applyFill="1" applyBorder="1" applyAlignment="1">
      <alignment vertical="center"/>
    </xf>
    <xf numFmtId="3" fontId="10" fillId="14" borderId="39" xfId="10" applyNumberFormat="1" applyFill="1" applyBorder="1"/>
    <xf numFmtId="3" fontId="10" fillId="14" borderId="44" xfId="10" applyNumberFormat="1" applyFill="1" applyBorder="1"/>
    <xf numFmtId="0" fontId="70" fillId="0" borderId="0" xfId="0" applyFont="1"/>
    <xf numFmtId="0" fontId="71" fillId="23" borderId="28" xfId="0" applyFont="1" applyFill="1" applyBorder="1" applyAlignment="1">
      <alignment vertical="center"/>
    </xf>
    <xf numFmtId="0" fontId="71" fillId="23" borderId="32" xfId="0" applyFont="1" applyFill="1" applyBorder="1" applyAlignment="1">
      <alignment horizontal="right" vertical="center"/>
    </xf>
    <xf numFmtId="0" fontId="71" fillId="23" borderId="134" xfId="0" applyFont="1" applyFill="1" applyBorder="1" applyAlignment="1">
      <alignment horizontal="right" vertical="center" wrapText="1"/>
    </xf>
    <xf numFmtId="0" fontId="71" fillId="23" borderId="135" xfId="0" applyFont="1" applyFill="1" applyBorder="1" applyAlignment="1">
      <alignment horizontal="right" vertical="center" wrapText="1"/>
    </xf>
    <xf numFmtId="0" fontId="72" fillId="0" borderId="12" xfId="0" applyFont="1" applyBorder="1" applyAlignment="1">
      <alignment vertical="center"/>
    </xf>
    <xf numFmtId="3" fontId="72" fillId="0" borderId="136" xfId="0" applyNumberFormat="1" applyFont="1" applyBorder="1" applyAlignment="1">
      <alignment horizontal="right" vertical="center" wrapText="1"/>
    </xf>
    <xf numFmtId="3" fontId="72" fillId="0" borderId="137" xfId="0" applyNumberFormat="1" applyFont="1" applyBorder="1" applyAlignment="1">
      <alignment horizontal="right" vertical="center" wrapText="1"/>
    </xf>
    <xf numFmtId="0" fontId="72" fillId="0" borderId="24" xfId="0" applyFont="1" applyBorder="1" applyAlignment="1">
      <alignment vertical="center"/>
    </xf>
    <xf numFmtId="3" fontId="71" fillId="5" borderId="136" xfId="0" applyNumberFormat="1" applyFont="1" applyFill="1" applyBorder="1" applyAlignment="1">
      <alignment horizontal="right" vertical="center" wrapText="1"/>
    </xf>
    <xf numFmtId="3" fontId="72" fillId="0" borderId="2" xfId="0" applyNumberFormat="1" applyFont="1" applyBorder="1" applyAlignment="1">
      <alignment horizontal="right" vertical="center"/>
    </xf>
    <xf numFmtId="3" fontId="72" fillId="0" borderId="37" xfId="0" applyNumberFormat="1" applyFont="1" applyBorder="1" applyAlignment="1">
      <alignment horizontal="right" vertical="center"/>
    </xf>
    <xf numFmtId="3" fontId="72" fillId="0" borderId="12" xfId="0" applyNumberFormat="1" applyFont="1" applyBorder="1" applyAlignment="1">
      <alignment horizontal="right" vertical="center"/>
    </xf>
    <xf numFmtId="3" fontId="72" fillId="0" borderId="137" xfId="0" applyNumberFormat="1" applyFont="1" applyBorder="1" applyAlignment="1">
      <alignment horizontal="right" vertical="center"/>
    </xf>
    <xf numFmtId="3" fontId="72" fillId="0" borderId="0" xfId="0" applyNumberFormat="1" applyFont="1" applyAlignment="1">
      <alignment horizontal="right" vertical="center"/>
    </xf>
    <xf numFmtId="3" fontId="72" fillId="0" borderId="24" xfId="0" applyNumberFormat="1" applyFont="1" applyBorder="1" applyAlignment="1">
      <alignment horizontal="right" vertical="center"/>
    </xf>
    <xf numFmtId="3" fontId="71" fillId="5" borderId="137" xfId="0" applyNumberFormat="1" applyFont="1" applyFill="1" applyBorder="1" applyAlignment="1">
      <alignment horizontal="right" vertical="center"/>
    </xf>
    <xf numFmtId="3" fontId="71" fillId="5" borderId="93" xfId="0" applyNumberFormat="1" applyFont="1" applyFill="1" applyBorder="1" applyAlignment="1">
      <alignment horizontal="right" vertical="center"/>
    </xf>
    <xf numFmtId="3" fontId="71" fillId="5" borderId="28" xfId="0" applyNumberFormat="1" applyFont="1" applyFill="1" applyBorder="1" applyAlignment="1">
      <alignment horizontal="right" vertical="center"/>
    </xf>
    <xf numFmtId="0" fontId="18" fillId="0" borderId="0" xfId="0" applyFont="1" applyAlignment="1">
      <alignment vertical="center" wrapText="1"/>
    </xf>
    <xf numFmtId="1" fontId="29" fillId="17" borderId="0" xfId="0" applyNumberFormat="1" applyFont="1" applyFill="1"/>
    <xf numFmtId="0" fontId="73" fillId="17" borderId="0" xfId="0" applyFont="1" applyFill="1"/>
    <xf numFmtId="0" fontId="29" fillId="17" borderId="0" xfId="0" applyFont="1" applyFill="1"/>
    <xf numFmtId="3" fontId="73" fillId="17" borderId="0" xfId="0" applyNumberFormat="1" applyFont="1" applyFill="1"/>
    <xf numFmtId="4" fontId="73" fillId="17" borderId="0" xfId="0" applyNumberFormat="1" applyFont="1" applyFill="1"/>
    <xf numFmtId="0" fontId="74" fillId="17" borderId="0" xfId="0" applyFont="1" applyFill="1" applyAlignment="1">
      <alignment horizontal="right"/>
    </xf>
    <xf numFmtId="0" fontId="31" fillId="17" borderId="0" xfId="0" quotePrefix="1" applyFont="1" applyFill="1" applyAlignment="1" applyProtection="1">
      <alignment horizontal="center"/>
      <protection locked="0"/>
    </xf>
    <xf numFmtId="0" fontId="56" fillId="17" borderId="0" xfId="0" applyFont="1" applyFill="1" applyProtection="1">
      <protection locked="0"/>
    </xf>
    <xf numFmtId="0" fontId="75" fillId="24" borderId="0" xfId="0" applyFont="1" applyFill="1"/>
    <xf numFmtId="1" fontId="33" fillId="0" borderId="0" xfId="0" applyNumberFormat="1" applyFont="1"/>
    <xf numFmtId="178" fontId="39" fillId="5" borderId="30" xfId="19" applyNumberFormat="1" applyFont="1" applyFill="1" applyBorder="1" applyAlignment="1">
      <alignment vertical="center"/>
    </xf>
    <xf numFmtId="179" fontId="39" fillId="5" borderId="30" xfId="10" applyNumberFormat="1" applyFont="1" applyFill="1" applyBorder="1" applyAlignment="1">
      <alignment vertical="center"/>
    </xf>
    <xf numFmtId="167" fontId="0" fillId="0" borderId="0" xfId="0" applyNumberFormat="1"/>
    <xf numFmtId="177" fontId="0" fillId="0" borderId="0" xfId="0" applyNumberFormat="1"/>
    <xf numFmtId="180" fontId="0" fillId="0" borderId="0" xfId="0" applyNumberFormat="1"/>
    <xf numFmtId="171" fontId="10" fillId="14" borderId="76" xfId="10" applyNumberFormat="1" applyFill="1" applyBorder="1"/>
    <xf numFmtId="171" fontId="10" fillId="14" borderId="81" xfId="10" applyNumberFormat="1" applyFill="1" applyBorder="1"/>
    <xf numFmtId="171" fontId="10" fillId="15" borderId="81" xfId="10" applyNumberFormat="1" applyFill="1" applyBorder="1"/>
    <xf numFmtId="171" fontId="10" fillId="14" borderId="90" xfId="10" applyNumberFormat="1" applyFill="1" applyBorder="1"/>
    <xf numFmtId="171" fontId="10" fillId="5" borderId="93" xfId="10" applyNumberFormat="1" applyFill="1" applyBorder="1" applyAlignment="1">
      <alignment vertical="center"/>
    </xf>
    <xf numFmtId="0" fontId="26" fillId="0" borderId="0" xfId="6" applyBorder="1" applyAlignment="1"/>
    <xf numFmtId="0" fontId="26" fillId="0" borderId="0" xfId="6" applyAlignment="1"/>
    <xf numFmtId="1" fontId="19" fillId="17" borderId="0" xfId="0" applyNumberFormat="1" applyFont="1" applyFill="1"/>
    <xf numFmtId="2" fontId="19" fillId="17" borderId="0" xfId="0" applyNumberFormat="1" applyFont="1" applyFill="1"/>
    <xf numFmtId="4" fontId="19" fillId="17" borderId="0" xfId="0" applyNumberFormat="1" applyFont="1" applyFill="1"/>
    <xf numFmtId="0" fontId="19" fillId="17" borderId="0" xfId="0" applyFont="1" applyFill="1"/>
    <xf numFmtId="0" fontId="84" fillId="44" borderId="0" xfId="0" applyFont="1" applyFill="1" applyAlignment="1">
      <alignment horizontal="left" vertical="top" wrapText="1"/>
    </xf>
    <xf numFmtId="3" fontId="84" fillId="44" borderId="0" xfId="0" applyNumberFormat="1" applyFont="1" applyFill="1" applyAlignment="1">
      <alignment horizontal="left" vertical="top" wrapText="1"/>
    </xf>
    <xf numFmtId="9" fontId="84" fillId="44" borderId="0" xfId="0" applyNumberFormat="1" applyFont="1" applyFill="1" applyAlignment="1">
      <alignment horizontal="left" vertical="top" wrapText="1"/>
    </xf>
    <xf numFmtId="0" fontId="84" fillId="46" borderId="0" xfId="0" applyFont="1" applyFill="1" applyAlignment="1">
      <alignment horizontal="left" vertical="top" wrapText="1"/>
    </xf>
    <xf numFmtId="9" fontId="84" fillId="46" borderId="0" xfId="0" applyNumberFormat="1" applyFont="1" applyFill="1" applyAlignment="1">
      <alignment horizontal="left" vertical="top" wrapText="1"/>
    </xf>
    <xf numFmtId="3" fontId="84" fillId="46" borderId="0" xfId="0" applyNumberFormat="1" applyFont="1" applyFill="1" applyAlignment="1">
      <alignment horizontal="left" vertical="top" wrapText="1"/>
    </xf>
    <xf numFmtId="0" fontId="85" fillId="45" borderId="0" xfId="0" applyFont="1" applyFill="1" applyAlignment="1">
      <alignment horizontal="left" vertical="center" wrapText="1"/>
    </xf>
    <xf numFmtId="0" fontId="39" fillId="0" borderId="94" xfId="18" applyBorder="1" applyAlignment="1">
      <alignment vertical="top"/>
    </xf>
    <xf numFmtId="0" fontId="39" fillId="0" borderId="78" xfId="18" applyBorder="1" applyAlignment="1">
      <alignment vertical="top"/>
    </xf>
    <xf numFmtId="3" fontId="39" fillId="14" borderId="120" xfId="18" applyNumberFormat="1" applyFill="1" applyBorder="1" applyAlignment="1">
      <alignment vertical="center"/>
    </xf>
    <xf numFmtId="3" fontId="39" fillId="14" borderId="121" xfId="18" applyNumberFormat="1" applyFill="1" applyBorder="1" applyAlignment="1">
      <alignment vertical="center"/>
    </xf>
    <xf numFmtId="3" fontId="39" fillId="14" borderId="105" xfId="18" applyNumberFormat="1" applyFill="1" applyBorder="1" applyAlignment="1">
      <alignment vertical="center"/>
    </xf>
    <xf numFmtId="3" fontId="39" fillId="14" borderId="81" xfId="18" applyNumberFormat="1" applyFill="1" applyBorder="1" applyAlignment="1">
      <alignment vertical="center"/>
    </xf>
    <xf numFmtId="3" fontId="39" fillId="14" borderId="82" xfId="18" applyNumberFormat="1" applyFill="1" applyBorder="1" applyAlignment="1">
      <alignment vertical="center"/>
    </xf>
    <xf numFmtId="3" fontId="39" fillId="14" borderId="76" xfId="18" applyNumberFormat="1" applyFill="1" applyBorder="1" applyAlignment="1">
      <alignment vertical="center"/>
    </xf>
    <xf numFmtId="3" fontId="39" fillId="14" borderId="77" xfId="18" applyNumberFormat="1" applyFill="1" applyBorder="1" applyAlignment="1">
      <alignment vertical="center"/>
    </xf>
    <xf numFmtId="3" fontId="63" fillId="5" borderId="93" xfId="18" applyNumberFormat="1" applyFont="1" applyFill="1" applyBorder="1" applyAlignment="1">
      <alignment vertical="center"/>
    </xf>
    <xf numFmtId="3" fontId="20" fillId="14" borderId="120" xfId="18" applyNumberFormat="1" applyFont="1" applyFill="1" applyBorder="1" applyAlignment="1">
      <alignment vertical="center"/>
    </xf>
    <xf numFmtId="3" fontId="20" fillId="14" borderId="121" xfId="18" applyNumberFormat="1" applyFont="1" applyFill="1" applyBorder="1" applyAlignment="1">
      <alignment vertical="center"/>
    </xf>
    <xf numFmtId="3" fontId="20" fillId="14" borderId="105" xfId="18" applyNumberFormat="1" applyFont="1" applyFill="1" applyBorder="1" applyAlignment="1">
      <alignment vertical="center"/>
    </xf>
    <xf numFmtId="3" fontId="20" fillId="14" borderId="81" xfId="18" applyNumberFormat="1" applyFont="1" applyFill="1" applyBorder="1" applyAlignment="1">
      <alignment vertical="center"/>
    </xf>
    <xf numFmtId="3" fontId="20" fillId="14" borderId="82" xfId="18" applyNumberFormat="1" applyFont="1" applyFill="1" applyBorder="1" applyAlignment="1">
      <alignment vertical="center"/>
    </xf>
    <xf numFmtId="3" fontId="49" fillId="5" borderId="30" xfId="18" applyNumberFormat="1" applyFont="1" applyFill="1" applyBorder="1" applyAlignment="1">
      <alignment vertical="center"/>
    </xf>
    <xf numFmtId="3" fontId="64" fillId="5" borderId="30" xfId="18" applyNumberFormat="1" applyFont="1" applyFill="1" applyBorder="1" applyAlignment="1">
      <alignment vertical="center"/>
    </xf>
    <xf numFmtId="168" fontId="21" fillId="14" borderId="98" xfId="17" applyNumberFormat="1" applyFont="1" applyFill="1" applyBorder="1" applyAlignment="1">
      <alignment vertical="center"/>
    </xf>
    <xf numFmtId="3" fontId="39" fillId="14" borderId="90" xfId="18" applyNumberFormat="1" applyFill="1" applyBorder="1" applyAlignment="1">
      <alignment vertical="center"/>
    </xf>
    <xf numFmtId="0" fontId="71" fillId="5" borderId="12" xfId="0" applyFont="1" applyFill="1" applyBorder="1" applyAlignment="1">
      <alignment vertical="center"/>
    </xf>
    <xf numFmtId="0" fontId="71" fillId="23" borderId="2" xfId="0" applyFont="1" applyFill="1" applyBorder="1" applyAlignment="1">
      <alignment horizontal="right" vertical="center"/>
    </xf>
    <xf numFmtId="0" fontId="72" fillId="0" borderId="12" xfId="0" applyFont="1" applyBorder="1" applyAlignment="1">
      <alignment horizontal="right" vertical="center"/>
    </xf>
    <xf numFmtId="0" fontId="72" fillId="0" borderId="2" xfId="0" applyFont="1" applyBorder="1" applyAlignment="1">
      <alignment horizontal="right" vertical="center"/>
    </xf>
    <xf numFmtId="0" fontId="72" fillId="0" borderId="37" xfId="0" applyFont="1" applyBorder="1" applyAlignment="1">
      <alignment horizontal="right" vertical="center"/>
    </xf>
    <xf numFmtId="0" fontId="72" fillId="0" borderId="137" xfId="0" applyFont="1" applyBorder="1" applyAlignment="1">
      <alignment vertical="center"/>
    </xf>
    <xf numFmtId="0" fontId="72" fillId="0" borderId="136" xfId="0" applyFont="1" applyBorder="1" applyAlignment="1">
      <alignment horizontal="right" vertical="center"/>
    </xf>
    <xf numFmtId="0" fontId="72" fillId="0" borderId="136" xfId="0" applyFont="1" applyBorder="1" applyAlignment="1">
      <alignment vertical="center"/>
    </xf>
    <xf numFmtId="0" fontId="72" fillId="0" borderId="136" xfId="0" applyFont="1" applyBorder="1" applyAlignment="1">
      <alignment horizontal="right" vertical="center" wrapText="1"/>
    </xf>
    <xf numFmtId="0" fontId="71" fillId="5" borderId="12" xfId="0" applyFont="1" applyFill="1" applyBorder="1" applyAlignment="1">
      <alignment horizontal="right" vertical="center"/>
    </xf>
    <xf numFmtId="0" fontId="71" fillId="5" borderId="137" xfId="0" applyFont="1" applyFill="1" applyBorder="1" applyAlignment="1">
      <alignment horizontal="right" vertical="center"/>
    </xf>
    <xf numFmtId="0" fontId="71" fillId="5" borderId="37" xfId="0" applyFont="1" applyFill="1" applyBorder="1" applyAlignment="1">
      <alignment horizontal="right" vertical="center"/>
    </xf>
    <xf numFmtId="0" fontId="72" fillId="0" borderId="37" xfId="0" applyFont="1" applyBorder="1" applyAlignment="1">
      <alignment vertical="center"/>
    </xf>
    <xf numFmtId="3" fontId="72" fillId="0" borderId="136" xfId="0" applyNumberFormat="1" applyFont="1" applyBorder="1" applyAlignment="1">
      <alignment horizontal="right" vertical="center"/>
    </xf>
    <xf numFmtId="3" fontId="72" fillId="0" borderId="141" xfId="0" applyNumberFormat="1" applyFont="1" applyBorder="1" applyAlignment="1">
      <alignment horizontal="right" vertical="center"/>
    </xf>
    <xf numFmtId="3" fontId="72" fillId="0" borderId="142" xfId="0" applyNumberFormat="1" applyFont="1" applyBorder="1" applyAlignment="1">
      <alignment horizontal="right" vertical="center"/>
    </xf>
    <xf numFmtId="3" fontId="71" fillId="5" borderId="12" xfId="0" applyNumberFormat="1" applyFont="1" applyFill="1" applyBorder="1" applyAlignment="1">
      <alignment vertical="center"/>
    </xf>
    <xf numFmtId="0" fontId="72" fillId="0" borderId="0" xfId="0" applyFont="1" applyAlignment="1">
      <alignment vertical="center"/>
    </xf>
    <xf numFmtId="0" fontId="71" fillId="5" borderId="93" xfId="0" applyFont="1" applyFill="1" applyBorder="1" applyAlignment="1">
      <alignment vertical="center"/>
    </xf>
    <xf numFmtId="0" fontId="71" fillId="23" borderId="37" xfId="0" applyFont="1" applyFill="1" applyBorder="1" applyAlignment="1">
      <alignment vertical="center"/>
    </xf>
    <xf numFmtId="0" fontId="71" fillId="5" borderId="32" xfId="0" applyFont="1" applyFill="1" applyBorder="1" applyAlignment="1">
      <alignment vertical="center"/>
    </xf>
    <xf numFmtId="0" fontId="71" fillId="5" borderId="24" xfId="0" applyFont="1" applyFill="1" applyBorder="1" applyAlignment="1">
      <alignment vertical="center"/>
    </xf>
    <xf numFmtId="3" fontId="71" fillId="5" borderId="188" xfId="0" applyNumberFormat="1" applyFont="1" applyFill="1" applyBorder="1" applyAlignment="1">
      <alignment horizontal="right" vertical="center"/>
    </xf>
    <xf numFmtId="3" fontId="71" fillId="5" borderId="141" xfId="0" applyNumberFormat="1" applyFont="1" applyFill="1" applyBorder="1" applyAlignment="1">
      <alignment horizontal="right" vertical="center" wrapText="1"/>
    </xf>
    <xf numFmtId="0" fontId="71" fillId="23" borderId="0" xfId="0" applyFont="1" applyFill="1" applyAlignment="1">
      <alignment horizontal="left" vertical="center"/>
    </xf>
    <xf numFmtId="0" fontId="71" fillId="23" borderId="186" xfId="0" applyFont="1" applyFill="1" applyBorder="1" applyAlignment="1">
      <alignment horizontal="left" vertical="center" wrapText="1"/>
    </xf>
    <xf numFmtId="0" fontId="71" fillId="23" borderId="187" xfId="0" applyFont="1" applyFill="1" applyBorder="1" applyAlignment="1">
      <alignment horizontal="left" vertical="center" wrapText="1"/>
    </xf>
    <xf numFmtId="0" fontId="30" fillId="0" borderId="189" xfId="0" applyFont="1" applyBorder="1" applyAlignment="1">
      <alignment horizontal="center"/>
    </xf>
    <xf numFmtId="0" fontId="30" fillId="0" borderId="136" xfId="0" applyFont="1" applyBorder="1" applyAlignment="1">
      <alignment horizontal="center"/>
    </xf>
    <xf numFmtId="3" fontId="0" fillId="0" borderId="190" xfId="0" applyNumberFormat="1" applyBorder="1"/>
    <xf numFmtId="3" fontId="0" fillId="0" borderId="191" xfId="0" applyNumberFormat="1" applyBorder="1"/>
    <xf numFmtId="3" fontId="0" fillId="0" borderId="141" xfId="0" applyNumberFormat="1" applyBorder="1"/>
    <xf numFmtId="3" fontId="0" fillId="5" borderId="191" xfId="0" applyNumberFormat="1" applyFill="1" applyBorder="1"/>
    <xf numFmtId="3" fontId="0" fillId="5" borderId="142" xfId="0" applyNumberFormat="1" applyFill="1" applyBorder="1"/>
    <xf numFmtId="3" fontId="84" fillId="44" borderId="193" xfId="0" applyNumberFormat="1" applyFont="1" applyFill="1" applyBorder="1" applyAlignment="1">
      <alignment horizontal="left" vertical="top" wrapText="1"/>
    </xf>
    <xf numFmtId="9" fontId="84" fillId="44" borderId="193" xfId="0" applyNumberFormat="1" applyFont="1" applyFill="1" applyBorder="1" applyAlignment="1">
      <alignment horizontal="left" vertical="top" wrapText="1"/>
    </xf>
    <xf numFmtId="0" fontId="84" fillId="44" borderId="193" xfId="0" applyFont="1" applyFill="1" applyBorder="1" applyAlignment="1">
      <alignment horizontal="left" vertical="top" wrapText="1"/>
    </xf>
    <xf numFmtId="0" fontId="84" fillId="46" borderId="193" xfId="0" applyFont="1" applyFill="1" applyBorder="1" applyAlignment="1">
      <alignment horizontal="left" vertical="top" wrapText="1"/>
    </xf>
    <xf numFmtId="9" fontId="84" fillId="46" borderId="193" xfId="0" applyNumberFormat="1" applyFont="1" applyFill="1" applyBorder="1" applyAlignment="1">
      <alignment horizontal="left" vertical="top" wrapText="1"/>
    </xf>
    <xf numFmtId="3" fontId="84" fillId="46" borderId="193" xfId="0" applyNumberFormat="1" applyFont="1" applyFill="1" applyBorder="1" applyAlignment="1">
      <alignment horizontal="left" vertical="top" wrapText="1"/>
    </xf>
    <xf numFmtId="0" fontId="130" fillId="45" borderId="193" xfId="0" applyFont="1" applyFill="1" applyBorder="1" applyAlignment="1">
      <alignment horizontal="left" vertical="top" wrapText="1"/>
    </xf>
    <xf numFmtId="0" fontId="130" fillId="45" borderId="192" xfId="0" applyFont="1" applyFill="1" applyBorder="1" applyAlignment="1">
      <alignment horizontal="left" vertical="top" wrapText="1"/>
    </xf>
    <xf numFmtId="0" fontId="130" fillId="45" borderId="194" xfId="0" applyFont="1" applyFill="1" applyBorder="1" applyAlignment="1">
      <alignment horizontal="left" vertical="top" wrapText="1"/>
    </xf>
    <xf numFmtId="3" fontId="84" fillId="44" borderId="195" xfId="0" applyNumberFormat="1" applyFont="1" applyFill="1" applyBorder="1" applyAlignment="1">
      <alignment horizontal="left" vertical="top" wrapText="1"/>
    </xf>
    <xf numFmtId="3" fontId="84" fillId="46" borderId="195" xfId="0" applyNumberFormat="1" applyFont="1" applyFill="1" applyBorder="1" applyAlignment="1">
      <alignment horizontal="left" vertical="top" wrapText="1"/>
    </xf>
    <xf numFmtId="0" fontId="84" fillId="46" borderId="195" xfId="0" applyFont="1" applyFill="1" applyBorder="1" applyAlignment="1">
      <alignment horizontal="left" vertical="top" wrapText="1"/>
    </xf>
    <xf numFmtId="0" fontId="84" fillId="44" borderId="196" xfId="0" applyFont="1" applyFill="1" applyBorder="1" applyAlignment="1">
      <alignment horizontal="left" vertical="top" wrapText="1"/>
    </xf>
    <xf numFmtId="3" fontId="84" fillId="44" borderId="196" xfId="0" applyNumberFormat="1" applyFont="1" applyFill="1" applyBorder="1" applyAlignment="1">
      <alignment horizontal="left" vertical="top" wrapText="1"/>
    </xf>
    <xf numFmtId="9" fontId="84" fillId="44" borderId="196" xfId="0" applyNumberFormat="1" applyFont="1" applyFill="1" applyBorder="1" applyAlignment="1">
      <alignment horizontal="left" vertical="top" wrapText="1"/>
    </xf>
    <xf numFmtId="3" fontId="84" fillId="44" borderId="197" xfId="0" applyNumberFormat="1" applyFont="1" applyFill="1" applyBorder="1" applyAlignment="1">
      <alignment horizontal="left" vertical="top" wrapText="1"/>
    </xf>
    <xf numFmtId="0" fontId="131" fillId="44" borderId="0" xfId="0" applyFont="1" applyFill="1" applyAlignment="1">
      <alignment horizontal="left" vertical="top" wrapText="1"/>
    </xf>
    <xf numFmtId="3" fontId="131" fillId="44" borderId="0" xfId="0" applyNumberFormat="1" applyFont="1" applyFill="1" applyAlignment="1">
      <alignment horizontal="left" vertical="top" wrapText="1"/>
    </xf>
    <xf numFmtId="0" fontId="21" fillId="0" borderId="0" xfId="0" applyFont="1"/>
    <xf numFmtId="3" fontId="39" fillId="5" borderId="30" xfId="543" applyNumberFormat="1" applyFill="1" applyBorder="1" applyAlignment="1">
      <alignment vertical="center"/>
    </xf>
    <xf numFmtId="3" fontId="39" fillId="14" borderId="120" xfId="543" applyNumberFormat="1" applyFill="1" applyBorder="1" applyAlignment="1">
      <alignment vertical="center"/>
    </xf>
    <xf numFmtId="3" fontId="39" fillId="14" borderId="121" xfId="543" applyNumberFormat="1" applyFill="1" applyBorder="1" applyAlignment="1">
      <alignment vertical="center"/>
    </xf>
    <xf numFmtId="3" fontId="39" fillId="14" borderId="105" xfId="543" applyNumberFormat="1" applyFill="1" applyBorder="1" applyAlignment="1">
      <alignment vertical="center"/>
    </xf>
    <xf numFmtId="3" fontId="39" fillId="14" borderId="81" xfId="543" applyNumberFormat="1" applyFill="1" applyBorder="1" applyAlignment="1">
      <alignment vertical="center"/>
    </xf>
    <xf numFmtId="3" fontId="39" fillId="14" borderId="82" xfId="543" applyNumberFormat="1" applyFill="1" applyBorder="1" applyAlignment="1">
      <alignment vertical="center"/>
    </xf>
    <xf numFmtId="168" fontId="39" fillId="14" borderId="76" xfId="17" applyNumberFormat="1" applyFont="1" applyFill="1" applyBorder="1" applyAlignment="1">
      <alignment vertical="center"/>
    </xf>
    <xf numFmtId="168" fontId="39" fillId="14" borderId="118" xfId="17" applyNumberFormat="1" applyFont="1" applyFill="1" applyBorder="1" applyAlignment="1">
      <alignment vertical="center"/>
    </xf>
    <xf numFmtId="168" fontId="39" fillId="14" borderId="74" xfId="17" applyNumberFormat="1" applyFont="1" applyFill="1" applyBorder="1" applyAlignment="1">
      <alignment vertical="center"/>
    </xf>
    <xf numFmtId="168" fontId="39" fillId="14" borderId="116" xfId="17" applyNumberFormat="1" applyFont="1" applyFill="1" applyBorder="1" applyAlignment="1">
      <alignment vertical="center"/>
    </xf>
    <xf numFmtId="168" fontId="39" fillId="14" borderId="122" xfId="17" applyNumberFormat="1" applyFont="1" applyFill="1" applyBorder="1" applyAlignment="1">
      <alignment vertical="center"/>
    </xf>
    <xf numFmtId="3" fontId="39" fillId="14" borderId="76" xfId="543" applyNumberFormat="1" applyFill="1" applyBorder="1" applyAlignment="1">
      <alignment vertical="center"/>
    </xf>
    <xf numFmtId="3" fontId="39" fillId="14" borderId="77" xfId="543" applyNumberFormat="1" applyFill="1" applyBorder="1" applyAlignment="1">
      <alignment vertical="center"/>
    </xf>
    <xf numFmtId="3" fontId="63" fillId="5" borderId="93" xfId="543" applyNumberFormat="1" applyFont="1" applyFill="1" applyBorder="1" applyAlignment="1">
      <alignment vertical="center"/>
    </xf>
    <xf numFmtId="0" fontId="39" fillId="0" borderId="94" xfId="543" applyBorder="1" applyAlignment="1">
      <alignment vertical="top"/>
    </xf>
    <xf numFmtId="0" fontId="39" fillId="0" borderId="78" xfId="543" applyBorder="1" applyAlignment="1">
      <alignment vertical="top"/>
    </xf>
    <xf numFmtId="3" fontId="64" fillId="5" borderId="30" xfId="543" applyNumberFormat="1" applyFont="1" applyFill="1" applyBorder="1" applyAlignment="1">
      <alignment vertical="center"/>
    </xf>
    <xf numFmtId="3" fontId="39" fillId="14" borderId="90" xfId="543" applyNumberFormat="1" applyFill="1" applyBorder="1" applyAlignment="1">
      <alignment vertical="center"/>
    </xf>
    <xf numFmtId="168" fontId="133" fillId="14" borderId="123" xfId="17" applyNumberFormat="1" applyFont="1" applyFill="1" applyBorder="1" applyAlignment="1">
      <alignment vertical="center"/>
    </xf>
    <xf numFmtId="168" fontId="133" fillId="14" borderId="87" xfId="17" applyNumberFormat="1" applyFont="1" applyFill="1" applyBorder="1" applyAlignment="1">
      <alignment vertical="center"/>
    </xf>
    <xf numFmtId="168" fontId="133" fillId="14" borderId="113" xfId="17" applyNumberFormat="1" applyFont="1" applyFill="1" applyBorder="1" applyAlignment="1">
      <alignment vertical="center"/>
    </xf>
    <xf numFmtId="168" fontId="133" fillId="14" borderId="124" xfId="17" applyNumberFormat="1" applyFont="1" applyFill="1" applyBorder="1" applyAlignment="1">
      <alignment vertical="center"/>
    </xf>
    <xf numFmtId="168" fontId="133" fillId="14" borderId="90" xfId="17" applyNumberFormat="1" applyFont="1" applyFill="1" applyBorder="1" applyAlignment="1">
      <alignment vertical="center"/>
    </xf>
    <xf numFmtId="3" fontId="25" fillId="14" borderId="79" xfId="10" applyNumberFormat="1" applyFont="1" applyFill="1" applyBorder="1"/>
    <xf numFmtId="3" fontId="25" fillId="14" borderId="87" xfId="10" applyNumberFormat="1" applyFont="1" applyFill="1" applyBorder="1"/>
    <xf numFmtId="0" fontId="132" fillId="0" borderId="0" xfId="0" applyFont="1"/>
    <xf numFmtId="0" fontId="39" fillId="0" borderId="0" xfId="0" applyFont="1"/>
    <xf numFmtId="3" fontId="0" fillId="5" borderId="190" xfId="0" applyNumberFormat="1" applyFill="1" applyBorder="1"/>
    <xf numFmtId="3" fontId="0" fillId="5" borderId="141" xfId="0" applyNumberFormat="1" applyFill="1" applyBorder="1"/>
    <xf numFmtId="173" fontId="30" fillId="5" borderId="31" xfId="0" applyNumberFormat="1" applyFont="1" applyFill="1" applyBorder="1"/>
    <xf numFmtId="3" fontId="39" fillId="9" borderId="96" xfId="0" applyNumberFormat="1" applyFont="1" applyFill="1" applyBorder="1"/>
    <xf numFmtId="3" fontId="39" fillId="9" borderId="127" xfId="0" applyNumberFormat="1" applyFont="1" applyFill="1" applyBorder="1"/>
    <xf numFmtId="3" fontId="39" fillId="9" borderId="71" xfId="0" applyNumberFormat="1" applyFont="1" applyFill="1" applyBorder="1"/>
    <xf numFmtId="3" fontId="39" fillId="13" borderId="30" xfId="0" applyNumberFormat="1" applyFont="1" applyFill="1" applyBorder="1"/>
    <xf numFmtId="3" fontId="39" fillId="13" borderId="92" xfId="0" applyNumberFormat="1" applyFont="1" applyFill="1" applyBorder="1"/>
    <xf numFmtId="10" fontId="39" fillId="13" borderId="92" xfId="0" applyNumberFormat="1" applyFont="1" applyFill="1" applyBorder="1"/>
    <xf numFmtId="10" fontId="39" fillId="13" borderId="93" xfId="0" applyNumberFormat="1" applyFont="1" applyFill="1" applyBorder="1"/>
    <xf numFmtId="0" fontId="64" fillId="13" borderId="111" xfId="0" applyFont="1" applyFill="1" applyBorder="1"/>
    <xf numFmtId="0" fontId="39" fillId="15" borderId="203" xfId="10" applyFont="1" applyFill="1" applyBorder="1" applyAlignment="1">
      <alignment horizontal="center" textRotation="90" wrapText="1"/>
    </xf>
    <xf numFmtId="0" fontId="42" fillId="14" borderId="203" xfId="10" applyFont="1" applyFill="1" applyBorder="1" applyAlignment="1">
      <alignment horizontal="center"/>
    </xf>
    <xf numFmtId="10" fontId="22" fillId="0" borderId="0" xfId="2" applyNumberFormat="1" applyFont="1"/>
    <xf numFmtId="0" fontId="0" fillId="75" borderId="0" xfId="0" applyFill="1"/>
    <xf numFmtId="0" fontId="22" fillId="75" borderId="0" xfId="0" applyFont="1" applyFill="1"/>
    <xf numFmtId="10" fontId="0" fillId="75" borderId="0" xfId="0" applyNumberFormat="1" applyFill="1"/>
    <xf numFmtId="1" fontId="0" fillId="75" borderId="0" xfId="0" applyNumberFormat="1" applyFill="1"/>
    <xf numFmtId="0" fontId="19" fillId="75" borderId="0" xfId="0" applyFont="1" applyFill="1"/>
    <xf numFmtId="1" fontId="26" fillId="0" borderId="0" xfId="6" applyNumberFormat="1"/>
    <xf numFmtId="0" fontId="36" fillId="0" borderId="0" xfId="0" applyFont="1" applyAlignment="1">
      <alignment horizontal="center" vertical="center" wrapText="1"/>
    </xf>
    <xf numFmtId="3" fontId="29" fillId="5" borderId="205" xfId="2274" applyNumberFormat="1" applyFont="1" applyFill="1" applyBorder="1" applyAlignment="1">
      <alignment vertical="center"/>
    </xf>
    <xf numFmtId="3" fontId="0" fillId="5" borderId="137" xfId="0" applyNumberFormat="1" applyFill="1" applyBorder="1"/>
    <xf numFmtId="3" fontId="29" fillId="5" borderId="188" xfId="0" applyNumberFormat="1" applyFont="1" applyFill="1" applyBorder="1" applyAlignment="1">
      <alignment vertical="center"/>
    </xf>
    <xf numFmtId="0" fontId="22" fillId="0" borderId="16" xfId="0" applyFont="1" applyBorder="1"/>
    <xf numFmtId="0" fontId="22" fillId="0" borderId="181" xfId="0" applyFont="1" applyBorder="1"/>
    <xf numFmtId="1" fontId="137" fillId="0" borderId="0" xfId="2432" applyNumberFormat="1"/>
    <xf numFmtId="0" fontId="142" fillId="45" borderId="193" xfId="0" applyFont="1" applyFill="1" applyBorder="1" applyAlignment="1">
      <alignment vertical="center"/>
    </xf>
    <xf numFmtId="0" fontId="142" fillId="45" borderId="192" xfId="0" applyFont="1" applyFill="1" applyBorder="1" applyAlignment="1">
      <alignment vertical="center"/>
    </xf>
    <xf numFmtId="0" fontId="142" fillId="45" borderId="194" xfId="0" applyFont="1" applyFill="1" applyBorder="1" applyAlignment="1">
      <alignment vertical="center"/>
    </xf>
    <xf numFmtId="0" fontId="144" fillId="44" borderId="206" xfId="0" applyFont="1" applyFill="1" applyBorder="1" applyAlignment="1">
      <alignment vertical="center"/>
    </xf>
    <xf numFmtId="3" fontId="144" fillId="44" borderId="206" xfId="0" applyNumberFormat="1" applyFont="1" applyFill="1" applyBorder="1" applyAlignment="1">
      <alignment vertical="center"/>
    </xf>
    <xf numFmtId="3" fontId="144" fillId="44" borderId="207" xfId="0" applyNumberFormat="1" applyFont="1" applyFill="1" applyBorder="1" applyAlignment="1">
      <alignment vertical="center"/>
    </xf>
    <xf numFmtId="0" fontId="144" fillId="46" borderId="193" xfId="0" applyFont="1" applyFill="1" applyBorder="1" applyAlignment="1">
      <alignment vertical="center"/>
    </xf>
    <xf numFmtId="3" fontId="144" fillId="46" borderId="195" xfId="0" applyNumberFormat="1" applyFont="1" applyFill="1" applyBorder="1" applyAlignment="1">
      <alignment vertical="center"/>
    </xf>
    <xf numFmtId="0" fontId="144" fillId="44" borderId="193" xfId="0" applyFont="1" applyFill="1" applyBorder="1" applyAlignment="1">
      <alignment vertical="center"/>
    </xf>
    <xf numFmtId="3" fontId="144" fillId="46" borderId="193" xfId="0" applyNumberFormat="1" applyFont="1" applyFill="1" applyBorder="1" applyAlignment="1">
      <alignment vertical="center"/>
    </xf>
    <xf numFmtId="3" fontId="144" fillId="44" borderId="195" xfId="0" applyNumberFormat="1" applyFont="1" applyFill="1" applyBorder="1" applyAlignment="1">
      <alignment vertical="center"/>
    </xf>
    <xf numFmtId="0" fontId="144" fillId="46" borderId="206" xfId="0" applyFont="1" applyFill="1" applyBorder="1" applyAlignment="1">
      <alignment vertical="center"/>
    </xf>
    <xf numFmtId="3" fontId="144" fillId="46" borderId="206" xfId="0" applyNumberFormat="1" applyFont="1" applyFill="1" applyBorder="1" applyAlignment="1">
      <alignment vertical="center"/>
    </xf>
    <xf numFmtId="3" fontId="144" fillId="46" borderId="207" xfId="0" applyNumberFormat="1" applyFont="1" applyFill="1" applyBorder="1" applyAlignment="1">
      <alignment vertical="center"/>
    </xf>
    <xf numFmtId="3" fontId="144" fillId="44" borderId="193" xfId="0" applyNumberFormat="1" applyFont="1" applyFill="1" applyBorder="1" applyAlignment="1">
      <alignment vertical="center"/>
    </xf>
    <xf numFmtId="0" fontId="144" fillId="46" borderId="195" xfId="0" applyFont="1" applyFill="1" applyBorder="1" applyAlignment="1">
      <alignment vertical="center"/>
    </xf>
    <xf numFmtId="0" fontId="144" fillId="44" borderId="196" xfId="0" applyFont="1" applyFill="1" applyBorder="1" applyAlignment="1">
      <alignment vertical="center"/>
    </xf>
    <xf numFmtId="3" fontId="144" fillId="44" borderId="196" xfId="0" applyNumberFormat="1" applyFont="1" applyFill="1" applyBorder="1" applyAlignment="1">
      <alignment vertical="center"/>
    </xf>
    <xf numFmtId="3" fontId="144" fillId="44" borderId="197" xfId="0" applyNumberFormat="1" applyFont="1" applyFill="1" applyBorder="1" applyAlignment="1">
      <alignment vertical="center"/>
    </xf>
    <xf numFmtId="0" fontId="145" fillId="81" borderId="208" xfId="0" applyFont="1" applyFill="1" applyBorder="1"/>
    <xf numFmtId="0" fontId="145" fillId="81" borderId="208" xfId="0" applyFont="1" applyFill="1" applyBorder="1" applyAlignment="1">
      <alignment horizontal="right"/>
    </xf>
    <xf numFmtId="0" fontId="145" fillId="0" borderId="208" xfId="0" applyFont="1" applyBorder="1" applyAlignment="1">
      <alignment horizontal="left"/>
    </xf>
    <xf numFmtId="0" fontId="145" fillId="0" borderId="208" xfId="0" applyFont="1" applyBorder="1"/>
    <xf numFmtId="0" fontId="144" fillId="0" borderId="0" xfId="0" applyFont="1"/>
    <xf numFmtId="0" fontId="145" fillId="81" borderId="209" xfId="0" applyFont="1" applyFill="1" applyBorder="1" applyAlignment="1">
      <alignment horizontal="left"/>
    </xf>
    <xf numFmtId="0" fontId="145" fillId="81" borderId="209" xfId="0" applyFont="1" applyFill="1" applyBorder="1"/>
    <xf numFmtId="0" fontId="31" fillId="17" borderId="0" xfId="0" applyFont="1" applyFill="1" applyAlignment="1" applyProtection="1">
      <alignment horizontal="center"/>
      <protection locked="0"/>
    </xf>
    <xf numFmtId="1" fontId="0" fillId="76" borderId="0" xfId="0" applyNumberFormat="1" applyFill="1"/>
    <xf numFmtId="0" fontId="137" fillId="0" borderId="0" xfId="2432"/>
    <xf numFmtId="0" fontId="146" fillId="0" borderId="0" xfId="2432" applyFont="1"/>
    <xf numFmtId="0" fontId="55" fillId="0" borderId="0" xfId="2432" applyFont="1"/>
    <xf numFmtId="0" fontId="147" fillId="0" borderId="0" xfId="2434" applyFont="1" applyAlignment="1">
      <alignment horizontal="center" vertical="center" wrapText="1"/>
    </xf>
    <xf numFmtId="0" fontId="148" fillId="0" borderId="0" xfId="2434" applyFont="1" applyAlignment="1">
      <alignment wrapText="1"/>
    </xf>
    <xf numFmtId="3" fontId="148" fillId="0" borderId="0" xfId="2434" applyNumberFormat="1" applyFont="1" applyAlignment="1">
      <alignment wrapText="1"/>
    </xf>
    <xf numFmtId="0" fontId="149" fillId="0" borderId="214" xfId="0" applyFont="1" applyBorder="1" applyAlignment="1">
      <alignment vertical="center" wrapText="1"/>
    </xf>
    <xf numFmtId="0" fontId="150" fillId="0" borderId="211" xfId="0" applyFont="1" applyBorder="1" applyAlignment="1">
      <alignment vertical="center" wrapText="1"/>
    </xf>
    <xf numFmtId="0" fontId="150" fillId="0" borderId="212" xfId="0" applyFont="1" applyBorder="1" applyAlignment="1">
      <alignment vertical="center" wrapText="1"/>
    </xf>
    <xf numFmtId="0" fontId="151" fillId="0" borderId="213" xfId="0" applyFont="1" applyBorder="1" applyAlignment="1">
      <alignment vertical="center" wrapText="1"/>
    </xf>
    <xf numFmtId="0" fontId="151" fillId="0" borderId="214" xfId="0" applyFont="1" applyBorder="1" applyAlignment="1">
      <alignment horizontal="right" vertical="center" wrapText="1"/>
    </xf>
    <xf numFmtId="3" fontId="151" fillId="0" borderId="214" xfId="0" applyNumberFormat="1" applyFont="1" applyBorder="1" applyAlignment="1">
      <alignment horizontal="right" vertical="center" wrapText="1"/>
    </xf>
    <xf numFmtId="0" fontId="151" fillId="0" borderId="215" xfId="0" applyFont="1" applyBorder="1" applyAlignment="1">
      <alignment vertical="center" wrapText="1"/>
    </xf>
    <xf numFmtId="0" fontId="152" fillId="0" borderId="213" xfId="0" applyFont="1" applyBorder="1" applyAlignment="1">
      <alignment vertical="center" wrapText="1"/>
    </xf>
    <xf numFmtId="0" fontId="152" fillId="0" borderId="214" xfId="0" applyFont="1" applyBorder="1" applyAlignment="1">
      <alignment horizontal="right" vertical="center" wrapText="1"/>
    </xf>
    <xf numFmtId="0" fontId="151" fillId="0" borderId="216" xfId="0" applyFont="1" applyBorder="1" applyAlignment="1">
      <alignment vertical="center"/>
    </xf>
    <xf numFmtId="0" fontId="151" fillId="0" borderId="0" xfId="0" applyFont="1" applyAlignment="1">
      <alignment vertical="center"/>
    </xf>
    <xf numFmtId="0" fontId="153" fillId="44" borderId="206" xfId="0" applyFont="1" applyFill="1" applyBorder="1" applyAlignment="1">
      <alignment vertical="center"/>
    </xf>
    <xf numFmtId="0" fontId="153" fillId="46" borderId="193" xfId="0" applyFont="1" applyFill="1" applyBorder="1" applyAlignment="1">
      <alignment vertical="center"/>
    </xf>
    <xf numFmtId="0" fontId="153" fillId="44" borderId="193" xfId="0" applyFont="1" applyFill="1" applyBorder="1" applyAlignment="1">
      <alignment vertical="center"/>
    </xf>
    <xf numFmtId="0" fontId="153" fillId="46" borderId="206" xfId="0" applyFont="1" applyFill="1" applyBorder="1" applyAlignment="1">
      <alignment vertical="center"/>
    </xf>
    <xf numFmtId="0" fontId="156" fillId="45" borderId="193" xfId="0" applyFont="1" applyFill="1" applyBorder="1" applyAlignment="1">
      <alignment vertical="center"/>
    </xf>
    <xf numFmtId="0" fontId="156" fillId="45" borderId="192" xfId="0" applyFont="1" applyFill="1" applyBorder="1" applyAlignment="1">
      <alignment vertical="center"/>
    </xf>
    <xf numFmtId="0" fontId="156" fillId="45" borderId="194" xfId="0" applyFont="1" applyFill="1" applyBorder="1" applyAlignment="1">
      <alignment vertical="center"/>
    </xf>
    <xf numFmtId="0" fontId="155" fillId="44" borderId="206" xfId="0" applyFont="1" applyFill="1" applyBorder="1" applyAlignment="1">
      <alignment vertical="center"/>
    </xf>
    <xf numFmtId="3" fontId="155" fillId="44" borderId="206" xfId="0" applyNumberFormat="1" applyFont="1" applyFill="1" applyBorder="1" applyAlignment="1">
      <alignment vertical="center"/>
    </xf>
    <xf numFmtId="3" fontId="155" fillId="44" borderId="207" xfId="0" applyNumberFormat="1" applyFont="1" applyFill="1" applyBorder="1" applyAlignment="1">
      <alignment vertical="center"/>
    </xf>
    <xf numFmtId="0" fontId="155" fillId="44" borderId="193" xfId="0" applyFont="1" applyFill="1" applyBorder="1" applyAlignment="1">
      <alignment vertical="center"/>
    </xf>
    <xf numFmtId="3" fontId="155" fillId="44" borderId="195" xfId="0" applyNumberFormat="1" applyFont="1" applyFill="1" applyBorder="1" applyAlignment="1">
      <alignment vertical="center"/>
    </xf>
    <xf numFmtId="3" fontId="155" fillId="44" borderId="193" xfId="0" applyNumberFormat="1" applyFont="1" applyFill="1" applyBorder="1" applyAlignment="1">
      <alignment vertical="center"/>
    </xf>
    <xf numFmtId="0" fontId="155" fillId="44" borderId="196" xfId="0" applyFont="1" applyFill="1" applyBorder="1" applyAlignment="1">
      <alignment vertical="center"/>
    </xf>
    <xf numFmtId="3" fontId="155" fillId="44" borderId="196" xfId="0" applyNumberFormat="1" applyFont="1" applyFill="1" applyBorder="1" applyAlignment="1">
      <alignment vertical="center"/>
    </xf>
    <xf numFmtId="0" fontId="5" fillId="0" borderId="0" xfId="2436"/>
    <xf numFmtId="0" fontId="145" fillId="81" borderId="208" xfId="2436" applyFont="1" applyFill="1" applyBorder="1"/>
    <xf numFmtId="0" fontId="145" fillId="0" borderId="208" xfId="2436" applyFont="1" applyBorder="1" applyAlignment="1">
      <alignment horizontal="left"/>
    </xf>
    <xf numFmtId="0" fontId="145" fillId="0" borderId="208" xfId="2436" applyFont="1" applyBorder="1"/>
    <xf numFmtId="0" fontId="145" fillId="81" borderId="209" xfId="2436" applyFont="1" applyFill="1" applyBorder="1"/>
    <xf numFmtId="0" fontId="145" fillId="81" borderId="208" xfId="2436" applyFont="1" applyFill="1" applyBorder="1" applyAlignment="1">
      <alignment horizontal="right"/>
    </xf>
    <xf numFmtId="0" fontId="144" fillId="0" borderId="0" xfId="2436" applyFont="1"/>
    <xf numFmtId="0" fontId="145" fillId="81" borderId="209" xfId="2436" applyFont="1" applyFill="1" applyBorder="1" applyAlignment="1">
      <alignment horizontal="left"/>
    </xf>
    <xf numFmtId="10" fontId="0" fillId="0" borderId="0" xfId="2" applyNumberFormat="1" applyFont="1" applyFill="1" applyBorder="1"/>
    <xf numFmtId="0" fontId="71" fillId="23" borderId="0" xfId="0" applyFont="1" applyFill="1" applyAlignment="1">
      <alignment vertical="center"/>
    </xf>
    <xf numFmtId="0" fontId="71" fillId="5" borderId="37" xfId="0" applyFont="1" applyFill="1" applyBorder="1" applyAlignment="1">
      <alignment vertical="center"/>
    </xf>
    <xf numFmtId="0" fontId="72" fillId="0" borderId="141" xfId="0" applyFont="1" applyBorder="1" applyAlignment="1">
      <alignment vertical="center"/>
    </xf>
    <xf numFmtId="0" fontId="71" fillId="5" borderId="0" xfId="0" applyFont="1" applyFill="1" applyAlignment="1">
      <alignment vertical="center"/>
    </xf>
    <xf numFmtId="0" fontId="13" fillId="84" borderId="0" xfId="0" applyFont="1" applyFill="1" applyAlignment="1">
      <alignment vertical="center" wrapText="1"/>
    </xf>
    <xf numFmtId="0" fontId="13" fillId="85" borderId="0" xfId="0" applyFont="1" applyFill="1" applyAlignment="1">
      <alignment vertical="center" wrapText="1"/>
    </xf>
    <xf numFmtId="0" fontId="13" fillId="86" borderId="0" xfId="0" applyFont="1" applyFill="1" applyAlignment="1">
      <alignment vertical="center" wrapText="1"/>
    </xf>
    <xf numFmtId="0" fontId="13" fillId="87" borderId="0" xfId="0" applyFont="1" applyFill="1" applyAlignment="1">
      <alignment vertical="center" wrapText="1"/>
    </xf>
    <xf numFmtId="17" fontId="0" fillId="0" borderId="0" xfId="0" applyNumberFormat="1"/>
    <xf numFmtId="185" fontId="0" fillId="0" borderId="0" xfId="0" applyNumberFormat="1"/>
    <xf numFmtId="170" fontId="19" fillId="0" borderId="0" xfId="0" applyNumberFormat="1" applyFont="1"/>
    <xf numFmtId="0" fontId="157" fillId="0" borderId="0" xfId="0" applyFont="1" applyAlignment="1">
      <alignment vertical="center" wrapText="1"/>
    </xf>
    <xf numFmtId="3" fontId="158" fillId="0" borderId="0" xfId="0" applyNumberFormat="1" applyFont="1"/>
    <xf numFmtId="171" fontId="36" fillId="7" borderId="0" xfId="0" applyNumberFormat="1" applyFont="1" applyFill="1" applyAlignment="1">
      <alignment vertical="center"/>
    </xf>
    <xf numFmtId="186" fontId="0" fillId="0" borderId="0" xfId="0" applyNumberFormat="1"/>
    <xf numFmtId="9" fontId="0" fillId="17" borderId="0" xfId="2" applyFont="1" applyFill="1"/>
    <xf numFmtId="0" fontId="0" fillId="17" borderId="7" xfId="0" applyFill="1" applyBorder="1"/>
    <xf numFmtId="9" fontId="0" fillId="17" borderId="7" xfId="2" applyFont="1" applyFill="1" applyBorder="1"/>
    <xf numFmtId="9" fontId="19" fillId="17" borderId="0" xfId="2" applyFont="1" applyFill="1"/>
    <xf numFmtId="0" fontId="19" fillId="0" borderId="7" xfId="0" applyFont="1" applyBorder="1"/>
    <xf numFmtId="9" fontId="19" fillId="17" borderId="7" xfId="2" applyFont="1" applyFill="1" applyBorder="1"/>
    <xf numFmtId="1" fontId="19" fillId="0" borderId="7" xfId="0" applyNumberFormat="1" applyFont="1" applyBorder="1"/>
    <xf numFmtId="1" fontId="19" fillId="17" borderId="7" xfId="0" applyNumberFormat="1" applyFont="1" applyFill="1" applyBorder="1"/>
    <xf numFmtId="0" fontId="159" fillId="0" borderId="0" xfId="0" applyFont="1"/>
    <xf numFmtId="1" fontId="159" fillId="0" borderId="0" xfId="0" applyNumberFormat="1" applyFont="1"/>
    <xf numFmtId="1" fontId="159" fillId="17" borderId="0" xfId="0" applyNumberFormat="1" applyFont="1" applyFill="1"/>
    <xf numFmtId="9" fontId="159" fillId="17" borderId="0" xfId="2" applyFont="1" applyFill="1"/>
    <xf numFmtId="0" fontId="159" fillId="17" borderId="0" xfId="0" applyFont="1" applyFill="1"/>
    <xf numFmtId="0" fontId="19" fillId="88" borderId="0" xfId="0" applyFont="1" applyFill="1"/>
    <xf numFmtId="9" fontId="0" fillId="17" borderId="0" xfId="2" applyFont="1" applyFill="1" applyAlignment="1">
      <alignment horizontal="right"/>
    </xf>
    <xf numFmtId="0" fontId="156" fillId="45" borderId="193" xfId="0" applyFont="1" applyFill="1" applyBorder="1" applyAlignment="1">
      <alignment horizontal="right" vertical="center" wrapText="1"/>
    </xf>
    <xf numFmtId="0" fontId="155" fillId="44" borderId="206" xfId="0" applyFont="1" applyFill="1" applyBorder="1" applyAlignment="1">
      <alignment vertical="center" wrapText="1"/>
    </xf>
    <xf numFmtId="3" fontId="155" fillId="44" borderId="206" xfId="0" applyNumberFormat="1" applyFont="1" applyFill="1" applyBorder="1" applyAlignment="1">
      <alignment horizontal="right" vertical="center" wrapText="1"/>
    </xf>
    <xf numFmtId="0" fontId="155" fillId="44" borderId="206" xfId="0" applyFont="1" applyFill="1" applyBorder="1" applyAlignment="1">
      <alignment horizontal="right" vertical="center" wrapText="1"/>
    </xf>
    <xf numFmtId="3" fontId="155" fillId="44" borderId="207" xfId="0" applyNumberFormat="1" applyFont="1" applyFill="1" applyBorder="1" applyAlignment="1">
      <alignment horizontal="right" vertical="center" wrapText="1"/>
    </xf>
    <xf numFmtId="0" fontId="155" fillId="44" borderId="193" xfId="0" applyFont="1" applyFill="1" applyBorder="1" applyAlignment="1">
      <alignment vertical="center" wrapText="1"/>
    </xf>
    <xf numFmtId="0" fontId="155" fillId="44" borderId="193" xfId="0" applyFont="1" applyFill="1" applyBorder="1" applyAlignment="1">
      <alignment horizontal="right" vertical="center" wrapText="1"/>
    </xf>
    <xf numFmtId="0" fontId="155" fillId="44" borderId="207" xfId="0" applyFont="1" applyFill="1" applyBorder="1" applyAlignment="1">
      <alignment vertical="center" wrapText="1"/>
    </xf>
    <xf numFmtId="3" fontId="155" fillId="44" borderId="193" xfId="0" applyNumberFormat="1" applyFont="1" applyFill="1" applyBorder="1" applyAlignment="1">
      <alignment horizontal="right" vertical="center" wrapText="1"/>
    </xf>
    <xf numFmtId="0" fontId="155" fillId="44" borderId="196" xfId="0" applyFont="1" applyFill="1" applyBorder="1" applyAlignment="1">
      <alignment vertical="center" wrapText="1"/>
    </xf>
    <xf numFmtId="3" fontId="155" fillId="44" borderId="196" xfId="0" applyNumberFormat="1" applyFont="1" applyFill="1" applyBorder="1" applyAlignment="1">
      <alignment horizontal="right" vertical="center" wrapText="1"/>
    </xf>
    <xf numFmtId="0" fontId="155" fillId="44" borderId="196" xfId="0" applyFont="1" applyFill="1" applyBorder="1" applyAlignment="1">
      <alignment horizontal="right" vertical="center" wrapText="1"/>
    </xf>
    <xf numFmtId="0" fontId="161" fillId="44" borderId="206" xfId="0" applyFont="1" applyFill="1" applyBorder="1" applyAlignment="1">
      <alignment vertical="center" wrapText="1"/>
    </xf>
    <xf numFmtId="0" fontId="161" fillId="44" borderId="193" xfId="0" applyFont="1" applyFill="1" applyBorder="1" applyAlignment="1">
      <alignment vertical="center" wrapText="1"/>
    </xf>
    <xf numFmtId="0" fontId="161" fillId="44" borderId="196" xfId="0" applyFont="1" applyFill="1" applyBorder="1" applyAlignment="1">
      <alignment vertical="center" wrapText="1"/>
    </xf>
    <xf numFmtId="0" fontId="162" fillId="45" borderId="192" xfId="0" applyFont="1" applyFill="1" applyBorder="1" applyAlignment="1">
      <alignment vertical="center" wrapText="1"/>
    </xf>
    <xf numFmtId="0" fontId="163" fillId="45" borderId="194" xfId="0" applyFont="1" applyFill="1" applyBorder="1" applyAlignment="1">
      <alignment vertical="center" wrapText="1"/>
    </xf>
    <xf numFmtId="1" fontId="22" fillId="0" borderId="0" xfId="0" applyNumberFormat="1" applyFont="1"/>
    <xf numFmtId="170" fontId="22" fillId="0" borderId="0" xfId="0" applyNumberFormat="1" applyFont="1"/>
    <xf numFmtId="0" fontId="143" fillId="44" borderId="196" xfId="0" applyFont="1" applyFill="1" applyBorder="1" applyAlignment="1">
      <alignment vertical="center"/>
    </xf>
    <xf numFmtId="0" fontId="143" fillId="44" borderId="201" xfId="0" applyFont="1" applyFill="1" applyBorder="1" applyAlignment="1">
      <alignment vertical="center"/>
    </xf>
    <xf numFmtId="0" fontId="143" fillId="44" borderId="202" xfId="0" applyFont="1" applyFill="1" applyBorder="1" applyAlignment="1">
      <alignment vertical="center"/>
    </xf>
    <xf numFmtId="0" fontId="143" fillId="46" borderId="196" xfId="0" applyFont="1" applyFill="1" applyBorder="1" applyAlignment="1">
      <alignment vertical="center"/>
    </xf>
    <xf numFmtId="0" fontId="143" fillId="46" borderId="201" xfId="0" applyFont="1" applyFill="1" applyBorder="1" applyAlignment="1">
      <alignment vertical="center"/>
    </xf>
    <xf numFmtId="0" fontId="143" fillId="46" borderId="202" xfId="0" applyFont="1" applyFill="1" applyBorder="1" applyAlignment="1">
      <alignment vertical="center"/>
    </xf>
    <xf numFmtId="0" fontId="155" fillId="83" borderId="198" xfId="0" applyFont="1" applyFill="1" applyBorder="1" applyAlignment="1">
      <alignment vertical="center"/>
    </xf>
    <xf numFmtId="0" fontId="155" fillId="83" borderId="199" xfId="0" applyFont="1" applyFill="1" applyBorder="1" applyAlignment="1">
      <alignment vertical="center"/>
    </xf>
    <xf numFmtId="0" fontId="155" fillId="83" borderId="200" xfId="0" applyFont="1" applyFill="1" applyBorder="1" applyAlignment="1">
      <alignment vertical="center"/>
    </xf>
    <xf numFmtId="0" fontId="155" fillId="83" borderId="196" xfId="0" applyFont="1" applyFill="1" applyBorder="1" applyAlignment="1">
      <alignment vertical="center"/>
    </xf>
    <xf numFmtId="0" fontId="155" fillId="83" borderId="201" xfId="0" applyFont="1" applyFill="1" applyBorder="1" applyAlignment="1">
      <alignment vertical="center"/>
    </xf>
    <xf numFmtId="0" fontId="155" fillId="83" borderId="202" xfId="0" applyFont="1" applyFill="1" applyBorder="1" applyAlignment="1">
      <alignment vertical="center"/>
    </xf>
    <xf numFmtId="0" fontId="30" fillId="0" borderId="205" xfId="0" applyFont="1" applyBorder="1" applyAlignment="1">
      <alignment horizontal="center"/>
    </xf>
    <xf numFmtId="0" fontId="30" fillId="0" borderId="137" xfId="0" applyFont="1" applyBorder="1" applyAlignment="1">
      <alignment horizontal="center"/>
    </xf>
    <xf numFmtId="3" fontId="29" fillId="0" borderId="205" xfId="2274" applyNumberFormat="1" applyFont="1" applyBorder="1" applyAlignment="1">
      <alignment vertical="center"/>
    </xf>
    <xf numFmtId="3" fontId="0" fillId="0" borderId="137" xfId="0" applyNumberFormat="1" applyBorder="1"/>
    <xf numFmtId="3" fontId="29" fillId="0" borderId="205" xfId="0" applyNumberFormat="1" applyFont="1" applyBorder="1" applyAlignment="1">
      <alignment vertical="center"/>
    </xf>
    <xf numFmtId="3" fontId="164" fillId="0" borderId="0" xfId="0" applyNumberFormat="1" applyFont="1"/>
    <xf numFmtId="1" fontId="0" fillId="0" borderId="137" xfId="0" applyNumberFormat="1" applyBorder="1"/>
    <xf numFmtId="1" fontId="30" fillId="0" borderId="2" xfId="0" applyNumberFormat="1" applyFont="1" applyBorder="1"/>
    <xf numFmtId="9" fontId="155" fillId="44" borderId="206" xfId="0" applyNumberFormat="1" applyFont="1" applyFill="1" applyBorder="1" applyAlignment="1">
      <alignment vertical="center" wrapText="1"/>
    </xf>
    <xf numFmtId="9" fontId="155" fillId="44" borderId="206" xfId="2" applyFont="1" applyFill="1" applyBorder="1" applyAlignment="1">
      <alignment vertical="center" wrapText="1"/>
    </xf>
    <xf numFmtId="0" fontId="136" fillId="0" borderId="0" xfId="0" applyFont="1"/>
    <xf numFmtId="0" fontId="136" fillId="0" borderId="6" xfId="0" applyFont="1" applyBorder="1"/>
    <xf numFmtId="10" fontId="0" fillId="0" borderId="6" xfId="0" applyNumberFormat="1" applyBorder="1"/>
    <xf numFmtId="175" fontId="0" fillId="0" borderId="6" xfId="0" applyNumberFormat="1" applyBorder="1"/>
    <xf numFmtId="2" fontId="19" fillId="0" borderId="6" xfId="0" applyNumberFormat="1" applyFont="1" applyBorder="1"/>
    <xf numFmtId="2" fontId="0" fillId="0" borderId="6" xfId="0" applyNumberFormat="1" applyBorder="1"/>
    <xf numFmtId="0" fontId="0" fillId="0" borderId="6" xfId="0" applyBorder="1"/>
    <xf numFmtId="0" fontId="19" fillId="0" borderId="6" xfId="0" applyFont="1" applyBorder="1"/>
    <xf numFmtId="0" fontId="22" fillId="0" borderId="6" xfId="0" applyFont="1" applyBorder="1"/>
    <xf numFmtId="3" fontId="39" fillId="9" borderId="90" xfId="0" applyNumberFormat="1" applyFont="1" applyFill="1" applyBorder="1" applyAlignment="1">
      <alignment vertical="center"/>
    </xf>
    <xf numFmtId="10" fontId="39" fillId="9" borderId="74" xfId="0" applyNumberFormat="1" applyFont="1" applyFill="1" applyBorder="1" applyAlignment="1">
      <alignment vertical="center"/>
    </xf>
    <xf numFmtId="10" fontId="39" fillId="9" borderId="116" xfId="0" applyNumberFormat="1" applyFont="1" applyFill="1" applyBorder="1" applyAlignment="1">
      <alignment vertical="center"/>
    </xf>
    <xf numFmtId="10" fontId="39" fillId="9" borderId="122" xfId="0" applyNumberFormat="1" applyFont="1" applyFill="1" applyBorder="1" applyAlignment="1">
      <alignment vertical="center"/>
    </xf>
    <xf numFmtId="10" fontId="39" fillId="9" borderId="76" xfId="0" applyNumberFormat="1" applyFont="1" applyFill="1" applyBorder="1" applyAlignment="1">
      <alignment vertical="center"/>
    </xf>
    <xf numFmtId="10" fontId="39" fillId="9" borderId="118" xfId="0" applyNumberFormat="1" applyFont="1" applyFill="1" applyBorder="1" applyAlignment="1">
      <alignment vertical="center"/>
    </xf>
    <xf numFmtId="10" fontId="39" fillId="9" borderId="79" xfId="0" applyNumberFormat="1" applyFont="1" applyFill="1" applyBorder="1" applyAlignment="1">
      <alignment vertical="center"/>
    </xf>
    <xf numFmtId="10" fontId="39" fillId="9" borderId="98" xfId="0" applyNumberFormat="1" applyFont="1" applyFill="1" applyBorder="1" applyAlignment="1">
      <alignment vertical="center"/>
    </xf>
    <xf numFmtId="10" fontId="39" fillId="9" borderId="123" xfId="0" applyNumberFormat="1" applyFont="1" applyFill="1" applyBorder="1" applyAlignment="1">
      <alignment vertical="center"/>
    </xf>
    <xf numFmtId="10" fontId="39" fillId="9" borderId="81" xfId="0" applyNumberFormat="1" applyFont="1" applyFill="1" applyBorder="1" applyAlignment="1">
      <alignment vertical="center"/>
    </xf>
    <xf numFmtId="10" fontId="39" fillId="9" borderId="99" xfId="0" applyNumberFormat="1" applyFont="1" applyFill="1" applyBorder="1" applyAlignment="1">
      <alignment vertical="center"/>
    </xf>
    <xf numFmtId="10" fontId="21" fillId="9" borderId="79" xfId="0" applyNumberFormat="1" applyFont="1" applyFill="1" applyBorder="1" applyAlignment="1">
      <alignment vertical="center"/>
    </xf>
    <xf numFmtId="10" fontId="21" fillId="9" borderId="98" xfId="0" applyNumberFormat="1" applyFont="1" applyFill="1" applyBorder="1" applyAlignment="1">
      <alignment vertical="center"/>
    </xf>
    <xf numFmtId="10" fontId="21" fillId="9" borderId="123" xfId="0" applyNumberFormat="1" applyFont="1" applyFill="1" applyBorder="1" applyAlignment="1">
      <alignment vertical="center"/>
    </xf>
    <xf numFmtId="10" fontId="21" fillId="9" borderId="81" xfId="0" applyNumberFormat="1" applyFont="1" applyFill="1" applyBorder="1" applyAlignment="1">
      <alignment vertical="center"/>
    </xf>
    <xf numFmtId="10" fontId="133" fillId="9" borderId="98" xfId="0" applyNumberFormat="1" applyFont="1" applyFill="1" applyBorder="1" applyAlignment="1">
      <alignment vertical="center"/>
    </xf>
    <xf numFmtId="10" fontId="133" fillId="9" borderId="123" xfId="0" applyNumberFormat="1" applyFont="1" applyFill="1" applyBorder="1" applyAlignment="1">
      <alignment vertical="center"/>
    </xf>
    <xf numFmtId="10" fontId="133" fillId="9" borderId="81" xfId="0" applyNumberFormat="1" applyFont="1" applyFill="1" applyBorder="1" applyAlignment="1">
      <alignment vertical="center"/>
    </xf>
    <xf numFmtId="10" fontId="39" fillId="9" borderId="87" xfId="0" applyNumberFormat="1" applyFont="1" applyFill="1" applyBorder="1" applyAlignment="1">
      <alignment vertical="center"/>
    </xf>
    <xf numFmtId="10" fontId="21" fillId="9" borderId="113" xfId="0" applyNumberFormat="1" applyFont="1" applyFill="1" applyBorder="1" applyAlignment="1">
      <alignment vertical="center"/>
    </xf>
    <xf numFmtId="10" fontId="21" fillId="9" borderId="124" xfId="0" applyNumberFormat="1" applyFont="1" applyFill="1" applyBorder="1" applyAlignment="1">
      <alignment vertical="center"/>
    </xf>
    <xf numFmtId="10" fontId="39" fillId="9" borderId="90" xfId="0" applyNumberFormat="1" applyFont="1" applyFill="1" applyBorder="1" applyAlignment="1">
      <alignment vertical="center"/>
    </xf>
    <xf numFmtId="10" fontId="39" fillId="9" borderId="114" xfId="0" applyNumberFormat="1" applyFont="1" applyFill="1" applyBorder="1" applyAlignment="1">
      <alignment vertical="center"/>
    </xf>
    <xf numFmtId="0" fontId="64" fillId="13" borderId="30" xfId="0" applyFont="1" applyFill="1" applyBorder="1" applyAlignment="1">
      <alignment vertical="center"/>
    </xf>
    <xf numFmtId="0" fontId="54" fillId="13" borderId="93" xfId="0" applyFont="1" applyFill="1" applyBorder="1" applyAlignment="1">
      <alignment vertical="center"/>
    </xf>
    <xf numFmtId="10" fontId="39" fillId="13" borderId="92" xfId="0" applyNumberFormat="1" applyFont="1" applyFill="1" applyBorder="1" applyAlignment="1">
      <alignment vertical="center"/>
    </xf>
    <xf numFmtId="10" fontId="39" fillId="13" borderId="93" xfId="0" applyNumberFormat="1" applyFont="1" applyFill="1" applyBorder="1" applyAlignment="1">
      <alignment vertical="center"/>
    </xf>
    <xf numFmtId="0" fontId="64" fillId="13" borderId="111" xfId="0" applyFont="1" applyFill="1" applyBorder="1" applyAlignment="1">
      <alignment vertical="center"/>
    </xf>
    <xf numFmtId="0" fontId="3" fillId="0" borderId="0" xfId="2439"/>
    <xf numFmtId="0" fontId="22" fillId="0" borderId="0" xfId="0" applyFont="1" applyAlignment="1">
      <alignment horizontal="right"/>
    </xf>
    <xf numFmtId="0" fontId="0" fillId="0" borderId="0" xfId="0" applyAlignment="1">
      <alignment horizontal="right"/>
    </xf>
    <xf numFmtId="170" fontId="0" fillId="0" borderId="129" xfId="0" applyNumberFormat="1" applyBorder="1"/>
    <xf numFmtId="170" fontId="0" fillId="0" borderId="2" xfId="0" applyNumberFormat="1" applyBorder="1"/>
    <xf numFmtId="0" fontId="10" fillId="15" borderId="217" xfId="10" applyFill="1" applyBorder="1" applyAlignment="1">
      <alignment horizontal="center" textRotation="90" wrapText="1"/>
    </xf>
    <xf numFmtId="0" fontId="42" fillId="16" borderId="220" xfId="10" applyFont="1" applyFill="1" applyBorder="1" applyAlignment="1">
      <alignment horizontal="left"/>
    </xf>
    <xf numFmtId="0" fontId="42" fillId="16" borderId="221" xfId="10" applyFont="1" applyFill="1" applyBorder="1" applyAlignment="1">
      <alignment horizontal="left"/>
    </xf>
    <xf numFmtId="0" fontId="42" fillId="14" borderId="224" xfId="10" applyFont="1" applyFill="1" applyBorder="1" applyAlignment="1">
      <alignment horizontal="center"/>
    </xf>
    <xf numFmtId="0" fontId="0" fillId="0" borderId="181" xfId="0" applyBorder="1"/>
    <xf numFmtId="0" fontId="0" fillId="80" borderId="181" xfId="0" applyFill="1" applyBorder="1"/>
    <xf numFmtId="170" fontId="0" fillId="80" borderId="181" xfId="0" applyNumberFormat="1" applyFill="1" applyBorder="1"/>
    <xf numFmtId="170" fontId="0" fillId="0" borderId="181" xfId="0" applyNumberFormat="1" applyBorder="1"/>
    <xf numFmtId="0" fontId="22" fillId="80" borderId="181" xfId="0" applyFont="1" applyFill="1" applyBorder="1"/>
    <xf numFmtId="170" fontId="22" fillId="0" borderId="181" xfId="0" applyNumberFormat="1" applyFont="1" applyBorder="1"/>
    <xf numFmtId="0" fontId="19" fillId="88" borderId="0" xfId="0" applyFont="1" applyFill="1" applyAlignment="1">
      <alignment horizontal="center" wrapText="1"/>
    </xf>
    <xf numFmtId="0" fontId="12" fillId="3" borderId="0" xfId="0" applyFont="1" applyFill="1" applyAlignment="1">
      <alignment vertical="center" wrapText="1"/>
    </xf>
    <xf numFmtId="0" fontId="2" fillId="0" borderId="0" xfId="2441"/>
    <xf numFmtId="0" fontId="2" fillId="0" borderId="0" xfId="2441" quotePrefix="1"/>
    <xf numFmtId="3" fontId="2" fillId="0" borderId="0" xfId="2441" applyNumberFormat="1"/>
    <xf numFmtId="0" fontId="2" fillId="89" borderId="230" xfId="2441" applyFill="1" applyBorder="1" applyAlignment="1">
      <alignment horizontal="center" vertical="center"/>
    </xf>
    <xf numFmtId="0" fontId="2" fillId="90" borderId="231" xfId="2441" applyFill="1" applyBorder="1" applyAlignment="1">
      <alignment vertical="center"/>
    </xf>
    <xf numFmtId="0" fontId="2" fillId="90" borderId="231" xfId="2441" applyFill="1" applyBorder="1" applyAlignment="1">
      <alignment horizontal="center" vertical="center" wrapText="1"/>
    </xf>
    <xf numFmtId="0" fontId="2" fillId="90" borderId="231" xfId="2441" applyFill="1" applyBorder="1" applyAlignment="1">
      <alignment horizontal="center" vertical="center"/>
    </xf>
    <xf numFmtId="0" fontId="2" fillId="90" borderId="230" xfId="2441" applyFill="1" applyBorder="1" applyAlignment="1">
      <alignment horizontal="center" vertical="center"/>
    </xf>
    <xf numFmtId="0" fontId="2" fillId="91" borderId="0" xfId="2441" applyFill="1"/>
    <xf numFmtId="0" fontId="165" fillId="92" borderId="231" xfId="2441" applyFont="1" applyFill="1" applyBorder="1" applyAlignment="1">
      <alignment horizontal="center" vertical="center"/>
    </xf>
    <xf numFmtId="0" fontId="2" fillId="92" borderId="232" xfId="2441" applyFill="1" applyBorder="1" applyAlignment="1">
      <alignment vertical="center" wrapText="1"/>
    </xf>
    <xf numFmtId="0" fontId="2" fillId="92" borderId="232" xfId="2441" applyFill="1" applyBorder="1"/>
    <xf numFmtId="3" fontId="30" fillId="92" borderId="230" xfId="2441" applyNumberFormat="1" applyFont="1" applyFill="1" applyBorder="1" applyAlignment="1">
      <alignment vertical="center"/>
    </xf>
    <xf numFmtId="0" fontId="0" fillId="0" borderId="0" xfId="0" quotePrefix="1"/>
    <xf numFmtId="3" fontId="0" fillId="0" borderId="0" xfId="0" quotePrefix="1" applyNumberFormat="1"/>
    <xf numFmtId="3" fontId="12" fillId="0" borderId="0" xfId="0" applyNumberFormat="1" applyFont="1" applyAlignment="1">
      <alignment vertical="center" wrapText="1"/>
    </xf>
    <xf numFmtId="3" fontId="12" fillId="3" borderId="1" xfId="0" applyNumberFormat="1" applyFont="1" applyFill="1" applyBorder="1" applyAlignment="1">
      <alignment vertical="center" wrapText="1"/>
    </xf>
    <xf numFmtId="4" fontId="169" fillId="94" borderId="4" xfId="2451" applyAlignment="1">
      <alignment horizontal="right" vertical="center" shrinkToFit="1"/>
    </xf>
    <xf numFmtId="4" fontId="169" fillId="96" borderId="4" xfId="2445" applyNumberFormat="1" applyFont="1" applyFill="1" applyBorder="1" applyAlignment="1">
      <alignment horizontal="right" vertical="center" shrinkToFit="1"/>
    </xf>
    <xf numFmtId="0" fontId="169" fillId="96" borderId="144" xfId="2452" applyFill="1" applyAlignment="1">
      <alignment horizontal="left" vertical="center" indent="5"/>
    </xf>
    <xf numFmtId="4" fontId="169" fillId="96" borderId="109" xfId="2445" applyNumberFormat="1" applyFont="1" applyFill="1" applyBorder="1" applyAlignment="1">
      <alignment horizontal="right" vertical="center" shrinkToFit="1"/>
    </xf>
    <xf numFmtId="0" fontId="169" fillId="96" borderId="144" xfId="2445" applyFont="1" applyFill="1" applyBorder="1" applyAlignment="1">
      <alignment horizontal="left" vertical="center" indent="4"/>
    </xf>
    <xf numFmtId="187" fontId="169" fillId="94" borderId="181" xfId="2472" applyNumberFormat="1" applyAlignment="1">
      <alignment horizontal="right" vertical="center" shrinkToFit="1"/>
    </xf>
    <xf numFmtId="187" fontId="169" fillId="96" borderId="4" xfId="2445" applyNumberFormat="1" applyFont="1" applyFill="1" applyBorder="1" applyAlignment="1">
      <alignment horizontal="right" vertical="center" shrinkToFit="1"/>
    </xf>
    <xf numFmtId="0" fontId="175" fillId="17" borderId="0" xfId="0" applyFont="1" applyFill="1"/>
    <xf numFmtId="0" fontId="170" fillId="96" borderId="132" xfId="2445" applyFont="1" applyFill="1" applyBorder="1" applyAlignment="1">
      <alignment horizontal="center" vertical="center"/>
    </xf>
    <xf numFmtId="1" fontId="0" fillId="17" borderId="7" xfId="0" applyNumberFormat="1" applyFill="1" applyBorder="1"/>
    <xf numFmtId="3" fontId="2" fillId="0" borderId="0" xfId="2441" quotePrefix="1" applyNumberFormat="1"/>
    <xf numFmtId="9" fontId="0" fillId="0" borderId="0" xfId="2" applyFont="1"/>
    <xf numFmtId="4" fontId="169" fillId="94" borderId="181" xfId="2472" applyAlignment="1">
      <alignment horizontal="right" vertical="center" shrinkToFit="1"/>
    </xf>
    <xf numFmtId="4" fontId="169" fillId="0" borderId="181" xfId="2445" applyNumberFormat="1" applyFont="1" applyBorder="1" applyAlignment="1">
      <alignment horizontal="right" vertical="center" shrinkToFit="1"/>
    </xf>
    <xf numFmtId="1" fontId="0" fillId="17" borderId="0" xfId="2" applyNumberFormat="1" applyFont="1" applyFill="1"/>
    <xf numFmtId="0" fontId="0" fillId="0" borderId="0" xfId="0" applyAlignment="1">
      <alignment horizontal="center"/>
    </xf>
    <xf numFmtId="10" fontId="90" fillId="54" borderId="0" xfId="408" applyNumberFormat="1"/>
    <xf numFmtId="10" fontId="90" fillId="52" borderId="0" xfId="406" applyNumberFormat="1"/>
    <xf numFmtId="10" fontId="90" fillId="53" borderId="0" xfId="407" applyNumberFormat="1"/>
    <xf numFmtId="10" fontId="90" fillId="56" borderId="0" xfId="410" applyNumberFormat="1"/>
    <xf numFmtId="0" fontId="42" fillId="14" borderId="239" xfId="10" applyFont="1" applyFill="1" applyBorder="1" applyAlignment="1">
      <alignment horizontal="center"/>
    </xf>
    <xf numFmtId="171" fontId="39" fillId="5" borderId="93" xfId="10" applyNumberFormat="1" applyFont="1" applyFill="1" applyBorder="1" applyAlignment="1">
      <alignment vertical="center"/>
    </xf>
    <xf numFmtId="0" fontId="42" fillId="14" borderId="0" xfId="10" applyFont="1" applyFill="1" applyAlignment="1">
      <alignment horizontal="center"/>
    </xf>
    <xf numFmtId="179" fontId="39" fillId="5" borderId="93" xfId="10" applyNumberFormat="1" applyFont="1" applyFill="1" applyBorder="1" applyAlignment="1">
      <alignment vertical="center"/>
    </xf>
    <xf numFmtId="0" fontId="39" fillId="14" borderId="0" xfId="4" applyNumberFormat="1" applyFont="1" applyFill="1" applyBorder="1"/>
    <xf numFmtId="3" fontId="39" fillId="15" borderId="0" xfId="10" applyNumberFormat="1" applyFont="1" applyFill="1"/>
    <xf numFmtId="168" fontId="39" fillId="5" borderId="0" xfId="4" applyNumberFormat="1" applyFont="1" applyFill="1" applyBorder="1" applyAlignment="1">
      <alignment vertical="center"/>
    </xf>
    <xf numFmtId="168" fontId="39" fillId="14" borderId="0" xfId="4" applyNumberFormat="1" applyFont="1" applyFill="1" applyBorder="1" applyAlignment="1">
      <alignment vertical="top"/>
    </xf>
    <xf numFmtId="168" fontId="20" fillId="14" borderId="0" xfId="4" applyNumberFormat="1" applyFont="1" applyFill="1" applyBorder="1" applyAlignment="1">
      <alignment vertical="top"/>
    </xf>
    <xf numFmtId="168" fontId="49" fillId="14" borderId="0" xfId="4" applyNumberFormat="1" applyFont="1" applyFill="1" applyBorder="1" applyAlignment="1">
      <alignment vertical="top"/>
    </xf>
    <xf numFmtId="168" fontId="39" fillId="14" borderId="0" xfId="4" applyNumberFormat="1" applyFont="1" applyFill="1" applyBorder="1" applyAlignment="1">
      <alignment vertical="center"/>
    </xf>
    <xf numFmtId="168" fontId="42" fillId="5" borderId="0" xfId="4" applyNumberFormat="1" applyFont="1" applyFill="1" applyBorder="1" applyAlignment="1">
      <alignment vertical="center"/>
    </xf>
    <xf numFmtId="168" fontId="20" fillId="14" borderId="0" xfId="4" applyNumberFormat="1" applyFont="1" applyFill="1" applyBorder="1" applyAlignment="1">
      <alignment vertical="center"/>
    </xf>
    <xf numFmtId="168" fontId="11" fillId="14" borderId="0" xfId="4" applyNumberFormat="1" applyFill="1" applyBorder="1" applyAlignment="1">
      <alignment vertical="center"/>
    </xf>
    <xf numFmtId="168" fontId="39" fillId="14" borderId="0" xfId="17" applyNumberFormat="1" applyFill="1" applyBorder="1" applyAlignment="1">
      <alignment vertical="center"/>
    </xf>
    <xf numFmtId="168" fontId="39" fillId="14" borderId="0" xfId="17" applyNumberFormat="1" applyFont="1" applyFill="1" applyBorder="1" applyAlignment="1">
      <alignment vertical="center"/>
    </xf>
    <xf numFmtId="168" fontId="20" fillId="14" borderId="0" xfId="17" applyNumberFormat="1" applyFont="1" applyFill="1" applyBorder="1" applyAlignment="1">
      <alignment vertical="center"/>
    </xf>
    <xf numFmtId="168" fontId="39" fillId="5" borderId="0" xfId="17" applyNumberFormat="1" applyFont="1" applyFill="1" applyBorder="1" applyAlignment="1">
      <alignment vertical="center"/>
    </xf>
    <xf numFmtId="168" fontId="21" fillId="14" borderId="0" xfId="17" applyNumberFormat="1" applyFont="1" applyFill="1" applyBorder="1" applyAlignment="1">
      <alignment vertical="center"/>
    </xf>
    <xf numFmtId="10" fontId="39" fillId="13" borderId="0" xfId="0" applyNumberFormat="1" applyFont="1" applyFill="1"/>
    <xf numFmtId="10" fontId="39" fillId="9" borderId="0" xfId="0" applyNumberFormat="1" applyFont="1" applyFill="1" applyAlignment="1">
      <alignment vertical="center"/>
    </xf>
    <xf numFmtId="10" fontId="39" fillId="13" borderId="0" xfId="0" applyNumberFormat="1" applyFont="1" applyFill="1" applyAlignment="1">
      <alignment vertical="center"/>
    </xf>
    <xf numFmtId="0" fontId="40" fillId="15" borderId="0" xfId="10" applyFont="1" applyFill="1" applyAlignment="1">
      <alignment horizontal="center" textRotation="90"/>
    </xf>
    <xf numFmtId="0" fontId="39" fillId="15" borderId="0" xfId="4" applyNumberFormat="1" applyFont="1" applyFill="1" applyBorder="1" applyAlignment="1">
      <alignment horizontal="center" wrapText="1"/>
    </xf>
    <xf numFmtId="0" fontId="39" fillId="15" borderId="0" xfId="10" applyFont="1" applyFill="1"/>
    <xf numFmtId="0" fontId="39" fillId="5" borderId="0" xfId="4" applyNumberFormat="1" applyFont="1" applyFill="1" applyBorder="1" applyAlignment="1">
      <alignment vertical="center"/>
    </xf>
    <xf numFmtId="0" fontId="39" fillId="14" borderId="0" xfId="4" applyNumberFormat="1" applyFont="1" applyFill="1" applyBorder="1" applyAlignment="1">
      <alignment vertical="top"/>
    </xf>
    <xf numFmtId="0" fontId="20" fillId="14" borderId="0" xfId="4" applyNumberFormat="1" applyFont="1" applyFill="1" applyBorder="1" applyAlignment="1">
      <alignment vertical="top"/>
    </xf>
    <xf numFmtId="0" fontId="49" fillId="14" borderId="0" xfId="4" applyNumberFormat="1" applyFont="1" applyFill="1" applyBorder="1" applyAlignment="1">
      <alignment vertical="top"/>
    </xf>
    <xf numFmtId="0" fontId="39" fillId="14" borderId="0" xfId="4" applyNumberFormat="1" applyFont="1" applyFill="1" applyBorder="1" applyAlignment="1">
      <alignment vertical="center"/>
    </xf>
    <xf numFmtId="0" fontId="42" fillId="5" borderId="0" xfId="4" applyNumberFormat="1" applyFont="1" applyFill="1" applyBorder="1" applyAlignment="1">
      <alignment vertical="center"/>
    </xf>
    <xf numFmtId="0" fontId="20" fillId="14" borderId="0" xfId="4" applyNumberFormat="1" applyFont="1" applyFill="1" applyBorder="1" applyAlignment="1">
      <alignment vertical="center"/>
    </xf>
    <xf numFmtId="0" fontId="11" fillId="14" borderId="0" xfId="4" applyNumberFormat="1" applyFill="1" applyBorder="1" applyAlignment="1">
      <alignment vertical="center"/>
    </xf>
    <xf numFmtId="0" fontId="39" fillId="14" borderId="0" xfId="17" applyNumberFormat="1" applyFill="1" applyBorder="1" applyAlignment="1">
      <alignment vertical="center"/>
    </xf>
    <xf numFmtId="0" fontId="39" fillId="14" borderId="0" xfId="17" applyNumberFormat="1" applyFont="1" applyFill="1" applyBorder="1" applyAlignment="1">
      <alignment vertical="center"/>
    </xf>
    <xf numFmtId="0" fontId="20" fillId="14" borderId="0" xfId="17" applyNumberFormat="1" applyFont="1" applyFill="1" applyBorder="1" applyAlignment="1">
      <alignment vertical="center"/>
    </xf>
    <xf numFmtId="0" fontId="21" fillId="14" borderId="0" xfId="17" applyNumberFormat="1" applyFont="1" applyFill="1" applyBorder="1" applyAlignment="1">
      <alignment vertical="center"/>
    </xf>
    <xf numFmtId="0" fontId="39" fillId="9" borderId="0" xfId="0" applyFont="1" applyFill="1" applyAlignment="1">
      <alignment vertical="center"/>
    </xf>
    <xf numFmtId="168" fontId="39" fillId="13" borderId="0" xfId="0" applyNumberFormat="1" applyFont="1" applyFill="1" applyAlignment="1">
      <alignment vertical="center"/>
    </xf>
    <xf numFmtId="168" fontId="39" fillId="13" borderId="0" xfId="0" applyNumberFormat="1" applyFont="1" applyFill="1"/>
    <xf numFmtId="0" fontId="155" fillId="83" borderId="196" xfId="0" applyFont="1" applyFill="1" applyBorder="1" applyAlignment="1">
      <alignment vertical="center" wrapText="1"/>
    </xf>
    <xf numFmtId="0" fontId="155" fillId="83" borderId="201" xfId="0" applyFont="1" applyFill="1" applyBorder="1" applyAlignment="1">
      <alignment vertical="center" wrapText="1"/>
    </xf>
    <xf numFmtId="0" fontId="155" fillId="83" borderId="202" xfId="0" applyFont="1" applyFill="1" applyBorder="1" applyAlignment="1">
      <alignment vertical="center" wrapText="1"/>
    </xf>
    <xf numFmtId="4" fontId="29" fillId="0" borderId="240" xfId="3" applyNumberFormat="1" applyFont="1" applyBorder="1" applyAlignment="1">
      <alignment horizontal="left" vertical="center"/>
    </xf>
    <xf numFmtId="4" fontId="29" fillId="0" borderId="241" xfId="3" applyNumberFormat="1" applyFont="1" applyBorder="1" applyAlignment="1">
      <alignment horizontal="left" vertical="center"/>
    </xf>
    <xf numFmtId="4" fontId="29" fillId="0" borderId="242" xfId="3" applyNumberFormat="1" applyFont="1" applyBorder="1" applyAlignment="1">
      <alignment horizontal="left" vertical="center"/>
    </xf>
    <xf numFmtId="0" fontId="176" fillId="0" borderId="0" xfId="0" applyFont="1"/>
    <xf numFmtId="0" fontId="176" fillId="0" borderId="37" xfId="0" applyFont="1" applyBorder="1"/>
    <xf numFmtId="169" fontId="36" fillId="0" borderId="0" xfId="0" applyNumberFormat="1" applyFont="1"/>
    <xf numFmtId="168" fontId="36" fillId="0" borderId="0" xfId="2" applyNumberFormat="1" applyFont="1"/>
    <xf numFmtId="167" fontId="22" fillId="0" borderId="0" xfId="0" applyNumberFormat="1" applyFont="1"/>
    <xf numFmtId="171" fontId="36" fillId="0" borderId="0" xfId="0" applyNumberFormat="1" applyFont="1"/>
    <xf numFmtId="1" fontId="12" fillId="3" borderId="1" xfId="0" applyNumberFormat="1" applyFont="1" applyFill="1" applyBorder="1" applyAlignment="1">
      <alignment vertical="center" wrapText="1"/>
    </xf>
    <xf numFmtId="1" fontId="1" fillId="0" borderId="0" xfId="3" applyNumberFormat="1" applyFont="1"/>
    <xf numFmtId="0" fontId="1" fillId="0" borderId="0" xfId="2441" quotePrefix="1" applyFont="1"/>
    <xf numFmtId="0" fontId="10" fillId="15" borderId="224" xfId="10" applyFill="1" applyBorder="1" applyAlignment="1">
      <alignment horizontal="center" textRotation="90" wrapText="1"/>
    </xf>
    <xf numFmtId="0" fontId="39" fillId="15" borderId="225" xfId="10" applyFont="1" applyFill="1" applyBorder="1" applyAlignment="1">
      <alignment horizontal="center"/>
    </xf>
    <xf numFmtId="0" fontId="170" fillId="96" borderId="246" xfId="2445" applyFont="1" applyFill="1" applyBorder="1" applyAlignment="1">
      <alignment horizontal="center" vertical="center"/>
    </xf>
    <xf numFmtId="0" fontId="170" fillId="96" borderId="247" xfId="2445" applyFont="1" applyFill="1" applyBorder="1" applyAlignment="1">
      <alignment horizontal="center" vertical="center"/>
    </xf>
    <xf numFmtId="0" fontId="10" fillId="15" borderId="248" xfId="10" applyFill="1" applyBorder="1" applyAlignment="1">
      <alignment horizontal="center" textRotation="90" wrapText="1"/>
    </xf>
    <xf numFmtId="0" fontId="10" fillId="15" borderId="249" xfId="10" applyFill="1" applyBorder="1" applyAlignment="1">
      <alignment horizontal="center" textRotation="90" wrapText="1"/>
    </xf>
    <xf numFmtId="0" fontId="39" fillId="15" borderId="250" xfId="10" applyFont="1" applyFill="1" applyBorder="1" applyAlignment="1">
      <alignment horizontal="center" textRotation="90" wrapText="1"/>
    </xf>
    <xf numFmtId="0" fontId="39" fillId="15" borderId="251" xfId="10" applyFont="1" applyFill="1" applyBorder="1" applyAlignment="1">
      <alignment horizontal="center" textRotation="90" wrapText="1"/>
    </xf>
    <xf numFmtId="0" fontId="39" fillId="14" borderId="251" xfId="10" applyFont="1" applyFill="1" applyBorder="1" applyAlignment="1">
      <alignment horizontal="center" textRotation="90" wrapText="1"/>
    </xf>
    <xf numFmtId="0" fontId="39" fillId="15" borderId="254" xfId="10" applyFont="1" applyFill="1" applyBorder="1" applyAlignment="1">
      <alignment horizontal="center"/>
    </xf>
    <xf numFmtId="0" fontId="39" fillId="15" borderId="257" xfId="10" applyFont="1" applyFill="1" applyBorder="1" applyAlignment="1">
      <alignment horizontal="center"/>
    </xf>
    <xf numFmtId="0" fontId="59" fillId="14" borderId="246" xfId="14" applyFont="1" applyFill="1" applyBorder="1" applyAlignment="1">
      <alignment horizontal="center" vertical="center"/>
    </xf>
    <xf numFmtId="0" fontId="59" fillId="14" borderId="252" xfId="14" applyFont="1" applyFill="1" applyBorder="1" applyAlignment="1">
      <alignment horizontal="center" vertical="center"/>
    </xf>
    <xf numFmtId="0" fontId="59" fillId="14" borderId="247" xfId="14" applyFont="1" applyFill="1" applyBorder="1" applyAlignment="1">
      <alignment horizontal="center" vertical="center"/>
    </xf>
    <xf numFmtId="0" fontId="42" fillId="14" borderId="248" xfId="10" applyFont="1" applyFill="1" applyBorder="1" applyAlignment="1">
      <alignment horizontal="center"/>
    </xf>
    <xf numFmtId="0" fontId="42" fillId="14" borderId="251" xfId="10" applyFont="1" applyFill="1" applyBorder="1" applyAlignment="1">
      <alignment horizontal="center"/>
    </xf>
    <xf numFmtId="0" fontId="42" fillId="14" borderId="250" xfId="10" applyFont="1" applyFill="1" applyBorder="1" applyAlignment="1">
      <alignment horizontal="center"/>
    </xf>
    <xf numFmtId="0" fontId="39" fillId="15" borderId="258" xfId="10" applyFont="1" applyFill="1" applyBorder="1" applyAlignment="1">
      <alignment horizontal="center"/>
    </xf>
    <xf numFmtId="0" fontId="1" fillId="0" borderId="73" xfId="10" applyFont="1" applyBorder="1"/>
    <xf numFmtId="0" fontId="58" fillId="14" borderId="181" xfId="14" applyFill="1" applyBorder="1" applyAlignment="1">
      <alignment horizontal="left" vertical="center" indent="1"/>
    </xf>
    <xf numFmtId="2" fontId="58" fillId="18" borderId="181" xfId="0" applyNumberFormat="1" applyFont="1" applyFill="1" applyBorder="1" applyAlignment="1">
      <alignment horizontal="right"/>
    </xf>
    <xf numFmtId="2" fontId="58" fillId="19" borderId="181" xfId="0" applyNumberFormat="1" applyFont="1" applyFill="1" applyBorder="1" applyAlignment="1">
      <alignment horizontal="right"/>
    </xf>
    <xf numFmtId="0" fontId="1" fillId="0" borderId="78" xfId="10" applyFont="1" applyBorder="1"/>
    <xf numFmtId="0" fontId="58" fillId="14" borderId="181" xfId="15" applyFont="1" applyFill="1" applyBorder="1" applyAlignment="1">
      <alignment vertical="top"/>
    </xf>
    <xf numFmtId="2" fontId="58" fillId="20" borderId="181" xfId="0" applyNumberFormat="1" applyFont="1" applyFill="1" applyBorder="1" applyAlignment="1">
      <alignment horizontal="right"/>
    </xf>
    <xf numFmtId="177" fontId="58" fillId="18" borderId="181" xfId="0" applyNumberFormat="1" applyFont="1" applyFill="1" applyBorder="1" applyAlignment="1">
      <alignment horizontal="right"/>
    </xf>
    <xf numFmtId="0" fontId="58" fillId="14" borderId="181" xfId="15" applyFont="1" applyFill="1" applyBorder="1" applyAlignment="1">
      <alignment vertical="center"/>
    </xf>
    <xf numFmtId="0" fontId="1" fillId="0" borderId="0" xfId="10" applyFont="1"/>
    <xf numFmtId="0" fontId="42" fillId="16" borderId="254" xfId="10" applyFont="1" applyFill="1" applyBorder="1" applyAlignment="1">
      <alignment horizontal="left"/>
    </xf>
    <xf numFmtId="0" fontId="42" fillId="16" borderId="256" xfId="10" applyFont="1" applyFill="1" applyBorder="1" applyAlignment="1">
      <alignment horizontal="left"/>
    </xf>
    <xf numFmtId="0" fontId="10" fillId="15" borderId="251" xfId="10" applyFill="1" applyBorder="1" applyAlignment="1">
      <alignment horizontal="center"/>
    </xf>
    <xf numFmtId="0" fontId="33" fillId="0" borderId="259" xfId="0" applyFont="1" applyBorder="1"/>
    <xf numFmtId="0" fontId="10" fillId="15" borderId="251" xfId="10" applyFill="1" applyBorder="1" applyAlignment="1">
      <alignment horizontal="center" textRotation="90" wrapText="1"/>
    </xf>
    <xf numFmtId="9" fontId="39" fillId="15" borderId="251" xfId="4" applyFont="1" applyFill="1" applyBorder="1" applyAlignment="1">
      <alignment horizontal="center" textRotation="90" wrapText="1"/>
    </xf>
    <xf numFmtId="0" fontId="39" fillId="15" borderId="252" xfId="10" applyFont="1" applyFill="1" applyBorder="1" applyAlignment="1">
      <alignment horizontal="center"/>
    </xf>
    <xf numFmtId="0" fontId="10" fillId="15" borderId="260" xfId="10" applyFill="1" applyBorder="1" applyAlignment="1">
      <alignment horizontal="center" textRotation="90" wrapText="1"/>
    </xf>
    <xf numFmtId="0" fontId="1" fillId="15" borderId="49" xfId="10" applyFont="1" applyFill="1" applyBorder="1" applyAlignment="1">
      <alignment horizontal="center" textRotation="90" wrapText="1"/>
    </xf>
    <xf numFmtId="0" fontId="45" fillId="15" borderId="258" xfId="10" applyFont="1" applyFill="1" applyBorder="1" applyAlignment="1">
      <alignment horizontal="center"/>
    </xf>
    <xf numFmtId="170" fontId="0" fillId="0" borderId="246" xfId="0" applyNumberFormat="1" applyBorder="1"/>
    <xf numFmtId="170" fontId="0" fillId="0" borderId="254" xfId="0" applyNumberFormat="1" applyBorder="1"/>
    <xf numFmtId="0" fontId="56" fillId="17" borderId="0" xfId="0" applyFont="1" applyFill="1" applyAlignment="1" applyProtection="1">
      <alignment horizontal="center"/>
      <protection locked="0"/>
    </xf>
    <xf numFmtId="0" fontId="75" fillId="24" borderId="0" xfId="0" applyFont="1" applyFill="1" applyAlignment="1">
      <alignment horizontal="center"/>
    </xf>
    <xf numFmtId="0" fontId="29" fillId="0" borderId="0" xfId="2434" applyFont="1" applyAlignment="1">
      <alignment horizontal="center"/>
    </xf>
    <xf numFmtId="0" fontId="6" fillId="0" borderId="0" xfId="2434"/>
    <xf numFmtId="0" fontId="2" fillId="89" borderId="227" xfId="2441" applyFill="1" applyBorder="1" applyAlignment="1">
      <alignment horizontal="center" vertical="center"/>
    </xf>
    <xf numFmtId="0" fontId="2" fillId="89" borderId="228" xfId="2441" applyFill="1" applyBorder="1" applyAlignment="1">
      <alignment horizontal="center" vertical="center"/>
    </xf>
    <xf numFmtId="0" fontId="2" fillId="89" borderId="229" xfId="2441" applyFill="1" applyBorder="1" applyAlignment="1">
      <alignment horizontal="center" vertical="center"/>
    </xf>
    <xf numFmtId="0" fontId="155" fillId="83" borderId="196" xfId="0" applyFont="1" applyFill="1" applyBorder="1" applyAlignment="1">
      <alignment vertical="center" wrapText="1"/>
    </xf>
    <xf numFmtId="0" fontId="155" fillId="83" borderId="201" xfId="0" applyFont="1" applyFill="1" applyBorder="1" applyAlignment="1">
      <alignment vertical="center" wrapText="1"/>
    </xf>
    <xf numFmtId="0" fontId="155" fillId="83" borderId="202" xfId="0" applyFont="1" applyFill="1" applyBorder="1" applyAlignment="1">
      <alignment vertical="center" wrapText="1"/>
    </xf>
    <xf numFmtId="0" fontId="83" fillId="44" borderId="196" xfId="0" applyFont="1" applyFill="1" applyBorder="1" applyAlignment="1">
      <alignment horizontal="left" vertical="center" wrapText="1"/>
    </xf>
    <xf numFmtId="0" fontId="83" fillId="44" borderId="201" xfId="0" applyFont="1" applyFill="1" applyBorder="1" applyAlignment="1">
      <alignment horizontal="left" vertical="center" wrapText="1"/>
    </xf>
    <xf numFmtId="0" fontId="83" fillId="44" borderId="202" xfId="0" applyFont="1" applyFill="1" applyBorder="1" applyAlignment="1">
      <alignment horizontal="left" vertical="center" wrapText="1"/>
    </xf>
    <xf numFmtId="0" fontId="83" fillId="46" borderId="196" xfId="0" applyFont="1" applyFill="1" applyBorder="1" applyAlignment="1">
      <alignment horizontal="left" vertical="center" wrapText="1"/>
    </xf>
    <xf numFmtId="0" fontId="83" fillId="46" borderId="201" xfId="0" applyFont="1" applyFill="1" applyBorder="1" applyAlignment="1">
      <alignment horizontal="left" vertical="center" wrapText="1"/>
    </xf>
    <xf numFmtId="0" fontId="83" fillId="46" borderId="202" xfId="0" applyFont="1" applyFill="1" applyBorder="1" applyAlignment="1">
      <alignment horizontal="left" vertical="center" wrapText="1"/>
    </xf>
    <xf numFmtId="0" fontId="154" fillId="0" borderId="199" xfId="0" applyFont="1" applyBorder="1" applyAlignment="1">
      <alignment vertical="center"/>
    </xf>
    <xf numFmtId="0" fontId="155" fillId="83" borderId="198" xfId="0" applyFont="1" applyFill="1" applyBorder="1" applyAlignment="1">
      <alignment vertical="center" wrapText="1"/>
    </xf>
    <xf numFmtId="0" fontId="155" fillId="83" borderId="199" xfId="0" applyFont="1" applyFill="1" applyBorder="1" applyAlignment="1">
      <alignment vertical="center" wrapText="1"/>
    </xf>
    <xf numFmtId="0" fontId="155" fillId="83" borderId="200" xfId="0" applyFont="1" applyFill="1" applyBorder="1" applyAlignment="1">
      <alignment vertical="center" wrapText="1"/>
    </xf>
    <xf numFmtId="0" fontId="40" fillId="0" borderId="55" xfId="10" applyFont="1" applyBorder="1" applyAlignment="1">
      <alignment horizontal="center" vertical="center" textRotation="90"/>
    </xf>
    <xf numFmtId="0" fontId="40" fillId="0" borderId="69" xfId="10" applyFont="1" applyBorder="1" applyAlignment="1">
      <alignment horizontal="center" vertical="center" textRotation="90"/>
    </xf>
    <xf numFmtId="0" fontId="48" fillId="0" borderId="112" xfId="10" applyFont="1" applyBorder="1" applyAlignment="1">
      <alignment horizontal="center" vertical="center" textRotation="90" wrapText="1"/>
    </xf>
    <xf numFmtId="0" fontId="48" fillId="0" borderId="61" xfId="10" applyFont="1" applyBorder="1" applyAlignment="1">
      <alignment horizontal="center" vertical="center" textRotation="90" wrapText="1"/>
    </xf>
    <xf numFmtId="0" fontId="48" fillId="0" borderId="110" xfId="10" applyFont="1" applyBorder="1" applyAlignment="1">
      <alignment horizontal="center" vertical="center" textRotation="90" wrapText="1"/>
    </xf>
    <xf numFmtId="0" fontId="40" fillId="0" borderId="72" xfId="10" applyFont="1" applyBorder="1" applyAlignment="1">
      <alignment horizontal="center" vertical="center" textRotation="90"/>
    </xf>
    <xf numFmtId="0" fontId="40" fillId="0" borderId="43" xfId="10" applyFont="1" applyBorder="1" applyAlignment="1">
      <alignment horizontal="center" vertical="center" textRotation="90"/>
    </xf>
    <xf numFmtId="0" fontId="40" fillId="0" borderId="72" xfId="10" applyFont="1" applyBorder="1" applyAlignment="1">
      <alignment horizontal="center" vertical="center" textRotation="90" wrapText="1"/>
    </xf>
    <xf numFmtId="0" fontId="40" fillId="0" borderId="55" xfId="10" applyFont="1" applyBorder="1" applyAlignment="1">
      <alignment horizontal="center" vertical="center" textRotation="90" wrapText="1"/>
    </xf>
    <xf numFmtId="0" fontId="40" fillId="0" borderId="69" xfId="10" applyFont="1" applyBorder="1" applyAlignment="1">
      <alignment horizontal="center" vertical="center" textRotation="90" wrapText="1"/>
    </xf>
    <xf numFmtId="0" fontId="67" fillId="11" borderId="58" xfId="0" applyFont="1" applyFill="1" applyBorder="1" applyAlignment="1">
      <alignment horizontal="left" vertical="center" wrapText="1"/>
    </xf>
    <xf numFmtId="0" fontId="67" fillId="11" borderId="59" xfId="0" applyFont="1" applyFill="1" applyBorder="1" applyAlignment="1">
      <alignment horizontal="left" vertical="center" wrapText="1"/>
    </xf>
    <xf numFmtId="0" fontId="67" fillId="11" borderId="60" xfId="0" applyFont="1" applyFill="1" applyBorder="1" applyAlignment="1">
      <alignment horizontal="left" vertical="center" wrapText="1"/>
    </xf>
    <xf numFmtId="0" fontId="67" fillId="12" borderId="83" xfId="0" applyFont="1" applyFill="1" applyBorder="1" applyAlignment="1">
      <alignment horizontal="left" vertical="center" wrapText="1"/>
    </xf>
    <xf numFmtId="0" fontId="67" fillId="12" borderId="84" xfId="0" applyFont="1" applyFill="1" applyBorder="1" applyAlignment="1">
      <alignment horizontal="left" vertical="center" wrapText="1"/>
    </xf>
    <xf numFmtId="0" fontId="67" fillId="12" borderId="85" xfId="0" applyFont="1" applyFill="1" applyBorder="1" applyAlignment="1">
      <alignment horizontal="left" vertical="center" wrapText="1"/>
    </xf>
    <xf numFmtId="0" fontId="67" fillId="11" borderId="83" xfId="0" applyFont="1" applyFill="1" applyBorder="1" applyAlignment="1">
      <alignment horizontal="left" vertical="center" wrapText="1"/>
    </xf>
    <xf numFmtId="0" fontId="67" fillId="11" borderId="84" xfId="0" applyFont="1" applyFill="1" applyBorder="1" applyAlignment="1">
      <alignment horizontal="left" vertical="center" wrapText="1"/>
    </xf>
    <xf numFmtId="0" fontId="67" fillId="11" borderId="85" xfId="0" applyFont="1" applyFill="1" applyBorder="1" applyAlignment="1">
      <alignment horizontal="left" vertical="center" wrapText="1"/>
    </xf>
    <xf numFmtId="0" fontId="43" fillId="11" borderId="58" xfId="0" applyFont="1" applyFill="1" applyBorder="1" applyAlignment="1">
      <alignment horizontal="left" vertical="center" wrapText="1" indent="1"/>
    </xf>
    <xf numFmtId="0" fontId="43" fillId="11" borderId="59" xfId="0" applyFont="1" applyFill="1" applyBorder="1" applyAlignment="1">
      <alignment horizontal="left" vertical="center" wrapText="1" indent="1"/>
    </xf>
    <xf numFmtId="0" fontId="43" fillId="11" borderId="60" xfId="0" applyFont="1" applyFill="1" applyBorder="1" applyAlignment="1">
      <alignment horizontal="left" vertical="center" wrapText="1" indent="1"/>
    </xf>
    <xf numFmtId="0" fontId="43" fillId="12" borderId="83" xfId="0" applyFont="1" applyFill="1" applyBorder="1" applyAlignment="1">
      <alignment horizontal="left" vertical="center" wrapText="1" indent="1"/>
    </xf>
    <xf numFmtId="0" fontId="43" fillId="12" borderId="84" xfId="0" applyFont="1" applyFill="1" applyBorder="1" applyAlignment="1">
      <alignment horizontal="left" vertical="center" wrapText="1" indent="1"/>
    </xf>
    <xf numFmtId="0" fontId="43" fillId="12" borderId="85" xfId="0" applyFont="1" applyFill="1" applyBorder="1" applyAlignment="1">
      <alignment horizontal="left" vertical="center" wrapText="1" indent="1"/>
    </xf>
    <xf numFmtId="0" fontId="43" fillId="11" borderId="83" xfId="0" applyFont="1" applyFill="1" applyBorder="1" applyAlignment="1">
      <alignment horizontal="left" vertical="center" wrapText="1" indent="1"/>
    </xf>
    <xf numFmtId="0" fontId="43" fillId="11" borderId="84" xfId="0" applyFont="1" applyFill="1" applyBorder="1" applyAlignment="1">
      <alignment horizontal="left" vertical="center" wrapText="1" indent="1"/>
    </xf>
    <xf numFmtId="0" fontId="43" fillId="11" borderId="85" xfId="0" applyFont="1" applyFill="1" applyBorder="1" applyAlignment="1">
      <alignment horizontal="left" vertical="center" wrapText="1" indent="1"/>
    </xf>
    <xf numFmtId="0" fontId="38" fillId="0" borderId="37" xfId="10" applyFont="1" applyBorder="1" applyAlignment="1">
      <alignment horizontal="center"/>
    </xf>
    <xf numFmtId="0" fontId="10" fillId="0" borderId="38" xfId="10" applyBorder="1" applyAlignment="1">
      <alignment horizontal="center"/>
    </xf>
    <xf numFmtId="0" fontId="10" fillId="0" borderId="39" xfId="10" applyBorder="1" applyAlignment="1">
      <alignment horizontal="center"/>
    </xf>
    <xf numFmtId="0" fontId="10" fillId="0" borderId="43" xfId="10" applyBorder="1" applyAlignment="1">
      <alignment horizontal="center"/>
    </xf>
    <xf numFmtId="0" fontId="10" fillId="0" borderId="44" xfId="10" applyBorder="1" applyAlignment="1">
      <alignment horizontal="center"/>
    </xf>
    <xf numFmtId="0" fontId="10" fillId="0" borderId="46" xfId="10" applyBorder="1" applyAlignment="1">
      <alignment horizontal="center"/>
    </xf>
    <xf numFmtId="0" fontId="10" fillId="0" borderId="47" xfId="10" applyBorder="1" applyAlignment="1">
      <alignment horizontal="center"/>
    </xf>
    <xf numFmtId="0" fontId="40" fillId="14" borderId="40" xfId="10" applyFont="1" applyFill="1" applyBorder="1" applyAlignment="1">
      <alignment horizontal="center"/>
    </xf>
    <xf numFmtId="0" fontId="40" fillId="14" borderId="41" xfId="10" applyFont="1" applyFill="1" applyBorder="1" applyAlignment="1">
      <alignment horizontal="center"/>
    </xf>
    <xf numFmtId="0" fontId="40" fillId="14" borderId="42" xfId="10" applyFont="1" applyFill="1" applyBorder="1" applyAlignment="1">
      <alignment horizontal="center"/>
    </xf>
    <xf numFmtId="0" fontId="39" fillId="14" borderId="218" xfId="10" applyFont="1" applyFill="1" applyBorder="1" applyAlignment="1">
      <alignment horizontal="center" textRotation="90" wrapText="1"/>
    </xf>
    <xf numFmtId="0" fontId="40" fillId="14" borderId="43" xfId="10" applyFont="1" applyFill="1" applyBorder="1" applyAlignment="1">
      <alignment horizontal="center" textRotation="90" wrapText="1"/>
    </xf>
    <xf numFmtId="0" fontId="40" fillId="14" borderId="46" xfId="10" applyFont="1" applyFill="1" applyBorder="1" applyAlignment="1">
      <alignment horizontal="center" textRotation="90" wrapText="1"/>
    </xf>
    <xf numFmtId="0" fontId="40" fillId="15" borderId="219" xfId="10" applyFont="1" applyFill="1" applyBorder="1" applyAlignment="1">
      <alignment horizontal="center"/>
    </xf>
    <xf numFmtId="0" fontId="40" fillId="15" borderId="239" xfId="10" applyFont="1" applyFill="1" applyBorder="1" applyAlignment="1">
      <alignment horizontal="center"/>
    </xf>
    <xf numFmtId="0" fontId="40" fillId="15" borderId="237" xfId="10" applyFont="1" applyFill="1" applyBorder="1" applyAlignment="1">
      <alignment horizontal="center"/>
    </xf>
    <xf numFmtId="0" fontId="39" fillId="15" borderId="220" xfId="10" applyFont="1" applyFill="1" applyBorder="1" applyAlignment="1">
      <alignment horizontal="center"/>
    </xf>
    <xf numFmtId="0" fontId="10" fillId="15" borderId="221" xfId="10" applyFill="1" applyBorder="1" applyAlignment="1">
      <alignment horizontal="center"/>
    </xf>
    <xf numFmtId="0" fontId="39" fillId="15" borderId="222" xfId="10" applyFont="1" applyFill="1" applyBorder="1" applyAlignment="1">
      <alignment horizontal="center"/>
    </xf>
    <xf numFmtId="0" fontId="39" fillId="15" borderId="237" xfId="10" applyFont="1" applyFill="1" applyBorder="1" applyAlignment="1">
      <alignment horizontal="center"/>
    </xf>
    <xf numFmtId="0" fontId="83" fillId="46" borderId="198" xfId="0" applyFont="1" applyFill="1" applyBorder="1" applyAlignment="1">
      <alignment horizontal="left" vertical="center" wrapText="1"/>
    </xf>
    <xf numFmtId="0" fontId="83" fillId="46" borderId="199" xfId="0" applyFont="1" applyFill="1" applyBorder="1" applyAlignment="1">
      <alignment horizontal="left" vertical="center" wrapText="1"/>
    </xf>
    <xf numFmtId="0" fontId="83" fillId="46" borderId="200" xfId="0" applyFont="1" applyFill="1" applyBorder="1" applyAlignment="1">
      <alignment horizontal="left" vertical="center" wrapText="1"/>
    </xf>
    <xf numFmtId="0" fontId="83" fillId="46" borderId="0" xfId="0" applyFont="1" applyFill="1" applyAlignment="1">
      <alignment horizontal="left" vertical="center" wrapText="1"/>
    </xf>
    <xf numFmtId="0" fontId="83" fillId="44" borderId="0" xfId="0" applyFont="1" applyFill="1" applyAlignment="1">
      <alignment horizontal="left" vertical="center" wrapText="1"/>
    </xf>
    <xf numFmtId="0" fontId="40" fillId="14" borderId="43" xfId="10" applyFont="1" applyFill="1" applyBorder="1" applyAlignment="1">
      <alignment horizontal="center"/>
    </xf>
    <xf numFmtId="0" fontId="40" fillId="14" borderId="0" xfId="10" applyFont="1" applyFill="1" applyAlignment="1">
      <alignment horizontal="center"/>
    </xf>
    <xf numFmtId="0" fontId="40" fillId="0" borderId="68" xfId="10" applyFont="1" applyBorder="1" applyAlignment="1">
      <alignment horizontal="center" vertical="center" textRotation="90"/>
    </xf>
    <xf numFmtId="0" fontId="46" fillId="0" borderId="61" xfId="10" applyFont="1" applyBorder="1" applyAlignment="1">
      <alignment horizontal="center" vertical="center" textRotation="90" wrapText="1"/>
    </xf>
    <xf numFmtId="0" fontId="46" fillId="0" borderId="110" xfId="10" applyFont="1" applyBorder="1" applyAlignment="1">
      <alignment horizontal="center" vertical="center" textRotation="90" wrapText="1"/>
    </xf>
    <xf numFmtId="0" fontId="42" fillId="16" borderId="220" xfId="10" applyFont="1" applyFill="1" applyBorder="1" applyAlignment="1">
      <alignment horizontal="center"/>
    </xf>
    <xf numFmtId="0" fontId="42" fillId="16" borderId="223" xfId="10" applyFont="1" applyFill="1" applyBorder="1" applyAlignment="1">
      <alignment horizontal="center"/>
    </xf>
    <xf numFmtId="0" fontId="39" fillId="15" borderId="218" xfId="10" applyFont="1" applyFill="1" applyBorder="1" applyAlignment="1">
      <alignment horizontal="center"/>
    </xf>
    <xf numFmtId="0" fontId="39" fillId="15" borderId="239" xfId="10" applyFont="1" applyFill="1" applyBorder="1" applyAlignment="1">
      <alignment horizontal="center"/>
    </xf>
    <xf numFmtId="0" fontId="42" fillId="15" borderId="62" xfId="10" applyFont="1" applyFill="1" applyBorder="1" applyAlignment="1">
      <alignment horizontal="center"/>
    </xf>
    <xf numFmtId="0" fontId="42" fillId="15" borderId="63" xfId="10" applyFont="1" applyFill="1" applyBorder="1" applyAlignment="1">
      <alignment horizontal="center"/>
    </xf>
    <xf numFmtId="0" fontId="39" fillId="14" borderId="68" xfId="10" applyFont="1" applyFill="1" applyBorder="1" applyAlignment="1">
      <alignment horizontal="center"/>
    </xf>
    <xf numFmtId="0" fontId="39" fillId="14" borderId="37" xfId="10" applyFont="1" applyFill="1" applyBorder="1" applyAlignment="1">
      <alignment horizontal="center"/>
    </xf>
    <xf numFmtId="0" fontId="40" fillId="0" borderId="55" xfId="543" applyFont="1" applyBorder="1" applyAlignment="1">
      <alignment horizontal="center" vertical="center" textRotation="90"/>
    </xf>
    <xf numFmtId="0" fontId="40" fillId="0" borderId="69" xfId="543" applyFont="1" applyBorder="1" applyAlignment="1">
      <alignment horizontal="center" vertical="center" textRotation="90"/>
    </xf>
    <xf numFmtId="0" fontId="48" fillId="0" borderId="112" xfId="543" applyFont="1" applyBorder="1" applyAlignment="1">
      <alignment horizontal="center" vertical="center" textRotation="90" wrapText="1"/>
    </xf>
    <xf numFmtId="0" fontId="48" fillId="0" borderId="61" xfId="543" applyFont="1" applyBorder="1" applyAlignment="1">
      <alignment horizontal="center" vertical="center" textRotation="90" wrapText="1"/>
    </xf>
    <xf numFmtId="0" fontId="48" fillId="0" borderId="110" xfId="543" applyFont="1" applyBorder="1" applyAlignment="1">
      <alignment horizontal="center" vertical="center" textRotation="90" wrapText="1"/>
    </xf>
    <xf numFmtId="0" fontId="39" fillId="5" borderId="125" xfId="543" applyFill="1" applyBorder="1" applyAlignment="1">
      <alignment horizontal="right" vertical="center"/>
    </xf>
    <xf numFmtId="0" fontId="39" fillId="5" borderId="92" xfId="543" applyFill="1" applyBorder="1" applyAlignment="1">
      <alignment horizontal="right" vertical="center"/>
    </xf>
    <xf numFmtId="0" fontId="143" fillId="46" borderId="198" xfId="0" applyFont="1" applyFill="1" applyBorder="1" applyAlignment="1">
      <alignment vertical="center"/>
    </xf>
    <xf numFmtId="0" fontId="143" fillId="46" borderId="199" xfId="0" applyFont="1" applyFill="1" applyBorder="1" applyAlignment="1">
      <alignment vertical="center"/>
    </xf>
    <xf numFmtId="0" fontId="143" fillId="46" borderId="200" xfId="0" applyFont="1" applyFill="1" applyBorder="1" applyAlignment="1">
      <alignment vertical="center"/>
    </xf>
    <xf numFmtId="0" fontId="143" fillId="44" borderId="196" xfId="0" applyFont="1" applyFill="1" applyBorder="1" applyAlignment="1">
      <alignment vertical="center"/>
    </xf>
    <xf numFmtId="0" fontId="143" fillId="44" borderId="201" xfId="0" applyFont="1" applyFill="1" applyBorder="1" applyAlignment="1">
      <alignment vertical="center"/>
    </xf>
    <xf numFmtId="0" fontId="143" fillId="44" borderId="202" xfId="0" applyFont="1" applyFill="1" applyBorder="1" applyAlignment="1">
      <alignment vertical="center"/>
    </xf>
    <xf numFmtId="0" fontId="143" fillId="46" borderId="196" xfId="0" applyFont="1" applyFill="1" applyBorder="1" applyAlignment="1">
      <alignment vertical="center"/>
    </xf>
    <xf numFmtId="0" fontId="143" fillId="46" borderId="201" xfId="0" applyFont="1" applyFill="1" applyBorder="1" applyAlignment="1">
      <alignment vertical="center"/>
    </xf>
    <xf numFmtId="0" fontId="143" fillId="46" borderId="202" xfId="0" applyFont="1" applyFill="1" applyBorder="1" applyAlignment="1">
      <alignment vertical="center"/>
    </xf>
    <xf numFmtId="0" fontId="48" fillId="0" borderId="8" xfId="10" applyFont="1" applyBorder="1" applyAlignment="1">
      <alignment horizontal="center" vertical="center" textRotation="90" wrapText="1"/>
    </xf>
    <xf numFmtId="0" fontId="48" fillId="0" borderId="24" xfId="10" applyFont="1" applyBorder="1" applyAlignment="1">
      <alignment horizontal="center" vertical="center" textRotation="90" wrapText="1"/>
    </xf>
    <xf numFmtId="0" fontId="48" fillId="0" borderId="12" xfId="10" applyFont="1" applyBorder="1" applyAlignment="1">
      <alignment horizontal="center" vertical="center" textRotation="90" wrapText="1"/>
    </xf>
    <xf numFmtId="0" fontId="39" fillId="5" borderId="125" xfId="10" applyFont="1" applyFill="1" applyBorder="1" applyAlignment="1">
      <alignment horizontal="right" vertical="center"/>
    </xf>
    <xf numFmtId="0" fontId="39" fillId="5" borderId="92" xfId="10" applyFont="1" applyFill="1" applyBorder="1" applyAlignment="1">
      <alignment horizontal="right" vertical="center"/>
    </xf>
    <xf numFmtId="0" fontId="40" fillId="0" borderId="55" xfId="18" applyFont="1" applyBorder="1" applyAlignment="1">
      <alignment horizontal="center" vertical="center" textRotation="90"/>
    </xf>
    <xf numFmtId="0" fontId="40" fillId="0" borderId="69" xfId="18" applyFont="1" applyBorder="1" applyAlignment="1">
      <alignment horizontal="center" vertical="center" textRotation="90"/>
    </xf>
    <xf numFmtId="0" fontId="48" fillId="0" borderId="112" xfId="18" applyFont="1" applyBorder="1" applyAlignment="1">
      <alignment horizontal="center" vertical="center" textRotation="90" wrapText="1"/>
    </xf>
    <xf numFmtId="0" fontId="48" fillId="0" borderId="61" xfId="18" applyFont="1" applyBorder="1" applyAlignment="1">
      <alignment horizontal="center" vertical="center" textRotation="90" wrapText="1"/>
    </xf>
    <xf numFmtId="0" fontId="48" fillId="0" borderId="110" xfId="18" applyFont="1" applyBorder="1" applyAlignment="1">
      <alignment horizontal="center" vertical="center" textRotation="90" wrapText="1"/>
    </xf>
    <xf numFmtId="0" fontId="39" fillId="5" borderId="125" xfId="18" applyFill="1" applyBorder="1" applyAlignment="1">
      <alignment horizontal="right" vertical="center"/>
    </xf>
    <xf numFmtId="0" fontId="39" fillId="5" borderId="92" xfId="18" applyFill="1" applyBorder="1" applyAlignment="1">
      <alignment horizontal="right" vertical="center"/>
    </xf>
    <xf numFmtId="0" fontId="46" fillId="0" borderId="112" xfId="10" applyFont="1" applyBorder="1" applyAlignment="1">
      <alignment horizontal="center" vertical="center" textRotation="90" wrapText="1"/>
    </xf>
    <xf numFmtId="0" fontId="59" fillId="14" borderId="46" xfId="14" applyFont="1" applyFill="1" applyBorder="1" applyAlignment="1">
      <alignment horizontal="center" vertical="center"/>
    </xf>
    <xf numFmtId="0" fontId="59" fillId="14" borderId="6" xfId="14" applyFont="1" applyFill="1" applyBorder="1" applyAlignment="1">
      <alignment horizontal="center" vertical="center"/>
    </xf>
    <xf numFmtId="0" fontId="59" fillId="14" borderId="247" xfId="14" applyFont="1" applyFill="1" applyBorder="1" applyAlignment="1">
      <alignment horizontal="center" vertical="center" wrapText="1"/>
    </xf>
    <xf numFmtId="0" fontId="59" fillId="14" borderId="47" xfId="14" applyFont="1" applyFill="1" applyBorder="1" applyAlignment="1">
      <alignment horizontal="center" vertical="center" wrapText="1"/>
    </xf>
    <xf numFmtId="0" fontId="40" fillId="15" borderId="253" xfId="10" applyFont="1" applyFill="1" applyBorder="1" applyAlignment="1">
      <alignment horizontal="center"/>
    </xf>
    <xf numFmtId="0" fontId="40" fillId="15" borderId="251" xfId="10" applyFont="1" applyFill="1" applyBorder="1" applyAlignment="1">
      <alignment horizontal="center"/>
    </xf>
    <xf numFmtId="0" fontId="42" fillId="16" borderId="254" xfId="10" applyFont="1" applyFill="1" applyBorder="1" applyAlignment="1">
      <alignment horizontal="center"/>
    </xf>
    <xf numFmtId="0" fontId="42" fillId="16" borderId="255" xfId="10" applyFont="1" applyFill="1" applyBorder="1" applyAlignment="1">
      <alignment horizontal="center"/>
    </xf>
    <xf numFmtId="0" fontId="39" fillId="15" borderId="254" xfId="10" applyFont="1" applyFill="1" applyBorder="1" applyAlignment="1">
      <alignment horizontal="center"/>
    </xf>
    <xf numFmtId="0" fontId="10" fillId="15" borderId="256" xfId="10" applyFill="1" applyBorder="1" applyAlignment="1">
      <alignment horizontal="center"/>
    </xf>
    <xf numFmtId="0" fontId="39" fillId="14" borderId="126" xfId="10" applyFont="1" applyFill="1" applyBorder="1" applyAlignment="1">
      <alignment horizontal="center"/>
    </xf>
    <xf numFmtId="0" fontId="39" fillId="14" borderId="252" xfId="10" applyFont="1" applyFill="1" applyBorder="1" applyAlignment="1">
      <alignment horizontal="center" textRotation="90" wrapText="1"/>
    </xf>
    <xf numFmtId="0" fontId="40" fillId="15" borderId="253" xfId="10" applyFont="1" applyFill="1" applyBorder="1" applyAlignment="1">
      <alignment horizontal="center" vertical="center"/>
    </xf>
    <xf numFmtId="0" fontId="40" fillId="15" borderId="251" xfId="10" applyFont="1" applyFill="1" applyBorder="1" applyAlignment="1">
      <alignment horizontal="center" vertical="center"/>
    </xf>
    <xf numFmtId="0" fontId="40" fillId="15" borderId="51" xfId="10" applyFont="1" applyFill="1" applyBorder="1" applyAlignment="1">
      <alignment horizontal="center"/>
    </xf>
    <xf numFmtId="0" fontId="40" fillId="15" borderId="6" xfId="10" applyFont="1" applyFill="1" applyBorder="1" applyAlignment="1">
      <alignment horizontal="center"/>
    </xf>
    <xf numFmtId="0" fontId="0" fillId="0" borderId="6" xfId="0" applyBorder="1" applyAlignment="1">
      <alignment horizontal="center"/>
    </xf>
    <xf numFmtId="0" fontId="0" fillId="0" borderId="0" xfId="0" applyAlignment="1">
      <alignment horizontal="center"/>
    </xf>
    <xf numFmtId="0" fontId="42" fillId="14" borderId="251" xfId="10" applyFont="1" applyFill="1" applyBorder="1" applyAlignment="1">
      <alignment horizontal="center"/>
    </xf>
    <xf numFmtId="0" fontId="42" fillId="14" borderId="260" xfId="10" applyFont="1" applyFill="1" applyBorder="1" applyAlignment="1">
      <alignment horizontal="center"/>
    </xf>
    <xf numFmtId="0" fontId="22" fillId="0" borderId="254" xfId="0" applyFont="1" applyBorder="1" applyAlignment="1">
      <alignment horizontal="center"/>
    </xf>
    <xf numFmtId="0" fontId="22" fillId="0" borderId="256" xfId="0" applyFont="1" applyBorder="1" applyAlignment="1">
      <alignment horizontal="center"/>
    </xf>
    <xf numFmtId="0" fontId="22" fillId="0" borderId="255" xfId="0" applyFont="1" applyBorder="1" applyAlignment="1">
      <alignment horizontal="center"/>
    </xf>
    <xf numFmtId="0" fontId="22" fillId="80" borderId="254" xfId="0" applyFont="1" applyFill="1" applyBorder="1" applyAlignment="1">
      <alignment horizontal="center"/>
    </xf>
    <xf numFmtId="0" fontId="22" fillId="80" borderId="256" xfId="0" applyFont="1" applyFill="1" applyBorder="1" applyAlignment="1">
      <alignment horizontal="center"/>
    </xf>
    <xf numFmtId="0" fontId="22" fillId="80" borderId="255" xfId="0" applyFont="1" applyFill="1" applyBorder="1" applyAlignment="1">
      <alignment horizontal="center"/>
    </xf>
  </cellXfs>
  <cellStyles count="2488">
    <cellStyle name="???????????" xfId="59" xr:uid="{2CA70EB2-9F1E-4CF5-B468-8666E400A2A6}"/>
    <cellStyle name="???????_2++" xfId="60" xr:uid="{8ED62070-45AE-49EC-AD4C-0248B84A286E}"/>
    <cellStyle name="20 % - Akzent1" xfId="979" hidden="1" xr:uid="{D19AF3FD-3A62-456A-B412-5F4ABB46D8AD}"/>
    <cellStyle name="20 % - Akzent1" xfId="1276" hidden="1" xr:uid="{5998E5F2-CC3B-42A5-ADFF-AFD0E723B5B2}"/>
    <cellStyle name="20 % - Akzent1" xfId="79" hidden="1" xr:uid="{E4A5291F-E351-41C7-9FC9-C6189F4CF2F2}"/>
    <cellStyle name="20 % - Akzent1" xfId="936" hidden="1" xr:uid="{0430A41D-B727-447B-A09B-DD20F5F1CCD0}"/>
    <cellStyle name="20 % - Akzent1" xfId="1454" hidden="1" xr:uid="{791B0D7F-949F-46FC-81FF-A78F68396B8D}"/>
    <cellStyle name="20 % - Akzent1" xfId="1471" hidden="1" xr:uid="{62CC637B-8440-49A6-BE61-306D6F29C17A}"/>
    <cellStyle name="20 % - Akzent1 2" xfId="406" xr:uid="{067AC044-B50C-49B6-9861-2DDF868BDE54}"/>
    <cellStyle name="20 % - Akzent1 3" xfId="275" xr:uid="{25D7F45E-250E-406C-8D6D-1CDF75324E66}"/>
    <cellStyle name="20 % - Akzent2" xfId="83" hidden="1" xr:uid="{BF5572C2-104E-40DD-8DF1-5303D99A402C}"/>
    <cellStyle name="20 % - Akzent2" xfId="982" hidden="1" xr:uid="{EA061194-973F-4D59-955C-B032E9994271}"/>
    <cellStyle name="20 % - Akzent2" xfId="1393" hidden="1" xr:uid="{BC148E72-47EB-4D14-B109-2E12D5C36E18}"/>
    <cellStyle name="20 % - Akzent2" xfId="1439" hidden="1" xr:uid="{1B4B24B3-55A3-409F-824B-7AC98AC6791F}"/>
    <cellStyle name="20 % - Akzent2" xfId="1281" hidden="1" xr:uid="{39E5E1DD-49FF-4553-A1A8-3E7F6F9E7BBE}"/>
    <cellStyle name="20 % - Akzent2" xfId="1516" hidden="1" xr:uid="{8ECE1732-07E8-4724-AA47-AD53778DAC97}"/>
    <cellStyle name="20 % - Akzent2 2" xfId="407" xr:uid="{4A5DD45B-6943-49FD-835C-7CBB0D1814E7}"/>
    <cellStyle name="20 % - Akzent2 3" xfId="276" xr:uid="{035555BD-9C35-42B8-9E7A-D72B2AF74D63}"/>
    <cellStyle name="20 % - Akzent3" xfId="1069" hidden="1" xr:uid="{122E1B21-DBF1-49C7-A4C0-3454FADB53C8}"/>
    <cellStyle name="20 % - Akzent3" xfId="1173" hidden="1" xr:uid="{F334E2E0-1CDC-4C12-B17B-610714E3823C}"/>
    <cellStyle name="20 % - Akzent3" xfId="1522" hidden="1" xr:uid="{75F81ED0-3140-4D9B-BB60-32D0A89878FF}"/>
    <cellStyle name="20 % - Akzent3" xfId="1428" hidden="1" xr:uid="{90875C26-A47F-49BE-982F-17DC07155DC9}"/>
    <cellStyle name="20 % - Akzent3" xfId="986" hidden="1" xr:uid="{BD7D0349-F72A-441B-A9C0-014C42ECE5CF}"/>
    <cellStyle name="20 % - Akzent3" xfId="87" hidden="1" xr:uid="{672937A7-88FF-4AC4-A7B9-09527FE1BC51}"/>
    <cellStyle name="20 % - Akzent3 2" xfId="408" xr:uid="{70404095-9A7A-4676-ADDF-9A0BA0F81598}"/>
    <cellStyle name="20 % - Akzent3 3" xfId="277" xr:uid="{A8DA2641-B6D3-46C9-B464-5EECEBC45696}"/>
    <cellStyle name="20 % - Akzent4" xfId="91" hidden="1" xr:uid="{23B245EE-0BA6-4689-AABE-3F51FC5D48A4}"/>
    <cellStyle name="20 % - Akzent4" xfId="990" hidden="1" xr:uid="{5146412F-363F-42FF-A795-52A9658AA3AA}"/>
    <cellStyle name="20 % - Akzent4" xfId="1435" hidden="1" xr:uid="{B0AE6632-1034-47D6-9BBF-B3C81A283B63}"/>
    <cellStyle name="20 % - Akzent4" xfId="1015" hidden="1" xr:uid="{C294A81F-FE98-469F-9C42-DE052BFDAF6C}"/>
    <cellStyle name="20 % - Akzent4" xfId="1391" hidden="1" xr:uid="{F5E38DF1-18C8-472E-B30E-9C1BF61B3806}"/>
    <cellStyle name="20 % - Akzent4" xfId="1519" hidden="1" xr:uid="{8CD902E2-1070-4D0B-8662-5A6E10345811}"/>
    <cellStyle name="20 % - Akzent4 2" xfId="409" xr:uid="{0F3FA289-A356-4D31-A2B0-37DF00E2AB2D}"/>
    <cellStyle name="20 % - Akzent4 3" xfId="278" xr:uid="{1EC94C05-C7E5-4CBF-9E38-16FCA7125C08}"/>
    <cellStyle name="20 % - Akzent5" xfId="95" hidden="1" xr:uid="{57D9724B-F948-4E07-8FFA-FBF77B3BC3B4}"/>
    <cellStyle name="20 % - Akzent5" xfId="994" hidden="1" xr:uid="{31115CCF-B8FA-473D-B6F0-5372AA0CCBD4}"/>
    <cellStyle name="20 % - Akzent5" xfId="1468" hidden="1" xr:uid="{BC22B658-AFEA-4F23-8BC5-CD94F676E0CB}"/>
    <cellStyle name="20 % - Akzent5" xfId="1481" hidden="1" xr:uid="{8C819178-1D6A-438F-8846-411B8BED13AF}"/>
    <cellStyle name="20 % - Akzent5" xfId="985" hidden="1" xr:uid="{4FB25ED1-361C-4D0C-AF3A-2B0DA4BECF84}"/>
    <cellStyle name="20 % - Akzent5" xfId="1520" hidden="1" xr:uid="{098AEBB1-E51E-4978-960B-0D1565C1AF9A}"/>
    <cellStyle name="20 % - Akzent5 2" xfId="410" xr:uid="{F38D1004-D8B8-480B-905A-AB657857B70D}"/>
    <cellStyle name="20 % - Akzent5 3" xfId="279" xr:uid="{7D1810D2-19EC-412F-B3CD-6165846F8D03}"/>
    <cellStyle name="20 % - Akzent6" xfId="1068" hidden="1" xr:uid="{77352583-BB01-4B9A-9BDC-336AFD5EE58C}"/>
    <cellStyle name="20 % - Akzent6" xfId="1267" hidden="1" xr:uid="{48FF1416-F623-462A-90A2-AC5472069417}"/>
    <cellStyle name="20 % - Akzent6" xfId="1517" hidden="1" xr:uid="{7219A573-AEA4-442F-AADC-239AEFCF877F}"/>
    <cellStyle name="20 % - Akzent6" xfId="1077" hidden="1" xr:uid="{EF7684B7-B070-4EAD-A7E8-A3A10F0703FD}"/>
    <cellStyle name="20 % - Akzent6" xfId="998" hidden="1" xr:uid="{3CE31124-33CC-4B51-B667-58397FDEC1C1}"/>
    <cellStyle name="20 % - Akzent6" xfId="98" hidden="1" xr:uid="{CBAEB6D6-2E1D-4B99-9381-86499DD03F4C}"/>
    <cellStyle name="20 % - Akzent6 2" xfId="411" xr:uid="{F1203828-BDC5-4F3C-A2A2-1374938A06EF}"/>
    <cellStyle name="20 % - Akzent6 3" xfId="280" xr:uid="{03E3E489-2390-4F53-B9C1-100D9E51A60C}"/>
    <cellStyle name="20% - Accent1 2" xfId="112" xr:uid="{5372610A-D17F-4F16-B0C0-1E341692386F}"/>
    <cellStyle name="20% - Accent1 3" xfId="232" xr:uid="{35D92693-02E7-4FC2-BFB6-0FA7BA897C6C}"/>
    <cellStyle name="20% - Accent2 2" xfId="113" xr:uid="{D098AAA0-AB0B-40DA-9C30-0D6DC07B5ED4}"/>
    <cellStyle name="20% - Accent2 3" xfId="233" xr:uid="{1C521092-2EDE-48CB-9D32-8BFC33EF963A}"/>
    <cellStyle name="20% - Accent3 2" xfId="114" xr:uid="{7A2679F9-585E-4878-A1B1-8F4300FF9E47}"/>
    <cellStyle name="20% - Accent3 3" xfId="234" xr:uid="{A85BF03B-25F2-46B7-8765-13A2E5C97347}"/>
    <cellStyle name="20% - Accent4 2" xfId="115" xr:uid="{1F4025A1-E474-4E2E-B92F-08CCFC1FE9E7}"/>
    <cellStyle name="20% - Accent4 3" xfId="235" xr:uid="{00B2B249-C74E-42B3-8795-749A17F26F6C}"/>
    <cellStyle name="20% - Accent5 2" xfId="116" xr:uid="{63607C81-EE6E-45AE-BC30-059A6A7D802B}"/>
    <cellStyle name="20% - Accent5 3" xfId="236" xr:uid="{C2220C9B-4357-4F7A-A1DC-386F4E03D83F}"/>
    <cellStyle name="20% - Accent6 2" xfId="117" xr:uid="{E743252A-17B3-4758-9C61-6AC1B279050A}"/>
    <cellStyle name="20% - Accent6 3" xfId="237" xr:uid="{D41603F9-F213-4887-9EDF-091DBB01013A}"/>
    <cellStyle name="2x indented GHG Textfiels" xfId="28" xr:uid="{AD281C84-DCDD-4A34-9FCC-8B1BB105A14D}"/>
    <cellStyle name="2x indented GHG Textfiels 2" xfId="118" xr:uid="{5190DD86-A10D-4E59-B700-66E61B61CDFA}"/>
    <cellStyle name="2x indented GHG Textfiels 2 2" xfId="119" xr:uid="{590DD318-AF38-4614-B96D-E92A02AA04D8}"/>
    <cellStyle name="2x indented GHG Textfiels 3" xfId="120" xr:uid="{25ED3005-4A76-49D5-9A3C-17776CB82CFD}"/>
    <cellStyle name="2x indented GHG Textfiels 3 2" xfId="433" xr:uid="{B762A209-049D-4C35-8A88-A6B0E3999C75}"/>
    <cellStyle name="2x indented GHG Textfiels 3 2 2" xfId="563" xr:uid="{51F7D417-E9C1-47D2-BFE7-CC0220E89C27}"/>
    <cellStyle name="2x indented GHG Textfiels 3 2 2 2" xfId="778" xr:uid="{3D336415-EDFF-4D98-A899-FF3DF02B91B2}"/>
    <cellStyle name="2x indented GHG Textfiels 3 2 2 2 2" xfId="1072" xr:uid="{7318456F-7E76-410F-99FE-563D0FFF36C1}"/>
    <cellStyle name="2x indented GHG Textfiels 3 2 2 2 3" xfId="1754" xr:uid="{3E53ECB9-319D-4767-84E2-37DA2FC9C76D}"/>
    <cellStyle name="2x indented GHG Textfiels 3 2 2 2 4" xfId="2125" xr:uid="{92013531-B77B-4C35-95F2-DF25A625AB67}"/>
    <cellStyle name="2x indented GHG Textfiels 3 2 2 3" xfId="1023" xr:uid="{09A87A2D-39CA-49A8-9466-B5757B1BEEBC}"/>
    <cellStyle name="2x indented GHG Textfiels 3 2 2 4" xfId="1547" xr:uid="{72D15723-B317-4E0A-94BC-AA2C9E89E594}"/>
    <cellStyle name="2x indented GHG Textfiels 3 2 2 5" xfId="1919" xr:uid="{D7366D0E-A916-414D-9DED-FD6995AA5BC6}"/>
    <cellStyle name="2x indented GHG Textfiels 3 2 3" xfId="741" xr:uid="{AD3DABA1-2C03-4142-B62B-01BE5E02C9E3}"/>
    <cellStyle name="2x indented GHG Textfiels 3 2 3 2" xfId="1084" xr:uid="{D4C0A716-6690-4299-BAEE-3E434DF47C90}"/>
    <cellStyle name="2x indented GHG Textfiels 3 2 3 3" xfId="1717" xr:uid="{C11F06C4-2583-42C8-AB0A-3EC9DB64C629}"/>
    <cellStyle name="2x indented GHG Textfiels 3 2 3 4" xfId="2088" xr:uid="{738F08E8-A120-4FCC-AF01-B9AC6C61C86B}"/>
    <cellStyle name="2x indented GHG Textfiels 3 3" xfId="381" xr:uid="{A1249D20-446B-4EF1-A9AA-845D39730352}"/>
    <cellStyle name="2x indented GHG Textfiels 3 3 2" xfId="668" xr:uid="{4A062341-A07F-435B-8E45-1F76FF96BDCB}"/>
    <cellStyle name="2x indented GHG Textfiels 3 3 2 2" xfId="883" xr:uid="{8C1CD530-1D72-4D50-9D01-DB996907A9B4}"/>
    <cellStyle name="2x indented GHG Textfiels 3 3 2 2 2" xfId="1109" xr:uid="{A697A510-1491-4A00-86DD-C9F07A4350C9}"/>
    <cellStyle name="2x indented GHG Textfiels 3 3 2 2 3" xfId="1859" xr:uid="{5368D6A7-A84C-44E9-B335-469190FB9F00}"/>
    <cellStyle name="2x indented GHG Textfiels 3 3 2 2 4" xfId="2230" xr:uid="{D2EC8AC8-5EA5-4C6A-8689-A698889FC8E1}"/>
    <cellStyle name="2x indented GHG Textfiels 3 3 2 3" xfId="1488" xr:uid="{5AFD33EB-D0C0-4215-B5F4-2CD745713EAB}"/>
    <cellStyle name="2x indented GHG Textfiels 3 3 2 4" xfId="1652" xr:uid="{51C24651-C465-45DB-ABED-4C9DE9200265}"/>
    <cellStyle name="2x indented GHG Textfiels 3 3 2 5" xfId="2024" xr:uid="{818D6FEF-5008-4E6A-A7B2-BBCD39790456}"/>
    <cellStyle name="2x indented GHG Textfiels 3 3 3" xfId="670" xr:uid="{BB628A7B-56BA-42B9-A63B-5B999C8C146A}"/>
    <cellStyle name="2x indented GHG Textfiels 3 3 3 2" xfId="885" xr:uid="{EC3494C2-56B7-437C-B9CF-09C38719AC18}"/>
    <cellStyle name="2x indented GHG Textfiels 3 3 3 2 2" xfId="1313" xr:uid="{6628C9E3-DABC-45C2-9707-8A850AEB1D07}"/>
    <cellStyle name="2x indented GHG Textfiels 3 3 3 2 3" xfId="1861" xr:uid="{23AA6064-5758-4ABA-925D-6BA23CF55446}"/>
    <cellStyle name="2x indented GHG Textfiels 3 3 3 2 4" xfId="2232" xr:uid="{E06F1CC9-96DC-4F44-A7CE-30E4E1686F27}"/>
    <cellStyle name="2x indented GHG Textfiels 3 3 3 3" xfId="953" xr:uid="{CE7AD9AE-9B88-4C80-A134-F91346F90970}"/>
    <cellStyle name="2x indented GHG Textfiels 3 3 3 4" xfId="1654" xr:uid="{BFFB9A3C-1051-4B23-B675-4D0BDCF7C142}"/>
    <cellStyle name="2x indented GHG Textfiels 3 3 3 5" xfId="2026" xr:uid="{A4A671A0-7869-49B2-A6CD-8506D08B7169}"/>
    <cellStyle name="2x indented GHG Textfiels 3 3 4" xfId="566" xr:uid="{63C810AD-90DF-4598-A4FD-BA1032D020BD}"/>
    <cellStyle name="2x indented GHG Textfiels 3 3 4 2" xfId="781" xr:uid="{0BFCEEAF-F07B-4B99-8E80-9C1858CF1456}"/>
    <cellStyle name="2x indented GHG Textfiels 3 3 4 2 2" xfId="1048" xr:uid="{0A6FEC70-487C-4848-A711-C44592820A4A}"/>
    <cellStyle name="2x indented GHG Textfiels 3 3 4 2 3" xfId="1757" xr:uid="{8AB043A5-2950-494A-8150-6EE91332C808}"/>
    <cellStyle name="2x indented GHG Textfiels 3 3 4 2 4" xfId="2128" xr:uid="{FD5D4E47-86E1-4A59-893C-B4E18C0C122E}"/>
    <cellStyle name="2x indented GHG Textfiels 3 3 4 3" xfId="1090" xr:uid="{8DB99737-7A57-4252-B93D-5C06898CAF62}"/>
    <cellStyle name="2x indented GHG Textfiels 3 3 4 4" xfId="1550" xr:uid="{D6C912B1-7CCE-4919-9D64-AB727022A79D}"/>
    <cellStyle name="2x indented GHG Textfiels 3 3 4 5" xfId="1922" xr:uid="{1BC01B78-DF87-478B-AB12-5302FAA4D987}"/>
    <cellStyle name="2x indented GHG Textfiels 3 3 5" xfId="1329" xr:uid="{AB311794-596F-48AE-83B3-56102B0502C0}"/>
    <cellStyle name="2x indented GHG Textfiels 3 3 6" xfId="1407" xr:uid="{27675F97-41AC-4820-90D9-2E694E4CBD41}"/>
    <cellStyle name="2x indented GHG Textfiels 3 3 7" xfId="1231" xr:uid="{5E2E77C2-FD27-473B-A653-E9D7D252133F}"/>
    <cellStyle name="2x indented GHG Textfiels 4" xfId="2448" xr:uid="{5493633F-8155-4689-9740-D65F8F3F47DC}"/>
    <cellStyle name="2x indented GHG Textfiels 5" xfId="2481" xr:uid="{E5E80AF6-DE20-4D53-8440-F121161BE022}"/>
    <cellStyle name="40 % - Akzent1" xfId="1449" hidden="1" xr:uid="{7FE5F317-7BB1-4E23-B5B0-D5FF3870D61D}"/>
    <cellStyle name="40 % - Akzent1" xfId="80" hidden="1" xr:uid="{F53F3372-C23E-4C19-A1AA-176FD319A326}"/>
    <cellStyle name="40 % - Akzent1" xfId="980" hidden="1" xr:uid="{32DFBFA5-5C44-42A7-A252-A426966A510F}"/>
    <cellStyle name="40 % - Akzent1" xfId="1028" hidden="1" xr:uid="{3A397C9B-70F7-48A2-8438-63AFAC6AAB31}"/>
    <cellStyle name="40 % - Akzent1" xfId="1383" hidden="1" xr:uid="{6618376E-510F-4FD6-B24B-F20A79BEA6AA}"/>
    <cellStyle name="40 % - Akzent1" xfId="1320" hidden="1" xr:uid="{C8155D21-75B0-458A-A1B0-7D4A0CAD7C06}"/>
    <cellStyle name="40 % - Akzent1 2" xfId="412" xr:uid="{2566F1C0-9050-46B6-B668-6F95CC2872EA}"/>
    <cellStyle name="40 % - Akzent1 3" xfId="281" xr:uid="{C773C958-121B-42F5-B781-CBF76D29BE43}"/>
    <cellStyle name="40 % - Akzent2" xfId="84" hidden="1" xr:uid="{7FAC7307-A6A2-45FC-8DDE-987FF9582A1A}"/>
    <cellStyle name="40 % - Akzent2" xfId="983" hidden="1" xr:uid="{D5971DAA-FEEB-4FB0-9DC2-6FEB6BCA2B06}"/>
    <cellStyle name="40 % - Akzent2" xfId="1425" hidden="1" xr:uid="{B898EC80-6BC9-446E-9B57-27EB04D1F223}"/>
    <cellStyle name="40 % - Akzent2" xfId="1174" hidden="1" xr:uid="{3C283BFB-BDC6-48C5-8EE4-7C4834309CBC}"/>
    <cellStyle name="40 % - Akzent2" xfId="1475" hidden="1" xr:uid="{6B637EA9-D100-4730-BF78-C7F8F47EEEC2}"/>
    <cellStyle name="40 % - Akzent2" xfId="1013" hidden="1" xr:uid="{AD89CB20-B682-46EF-942F-F881DCCC094D}"/>
    <cellStyle name="40 % - Akzent2 2" xfId="413" xr:uid="{8402006C-9E14-4634-AC87-38F671E3C324}"/>
    <cellStyle name="40 % - Akzent2 3" xfId="282" xr:uid="{DFF271FB-D8F6-4F83-9ACA-B15295FE770F}"/>
    <cellStyle name="40 % - Akzent3" xfId="88" hidden="1" xr:uid="{FAAFD067-BACE-4220-9697-E55BAF45C330}"/>
    <cellStyle name="40 % - Akzent3" xfId="987" hidden="1" xr:uid="{097B5DB9-BBD6-4109-83D8-8B311E7255E2}"/>
    <cellStyle name="40 % - Akzent3" xfId="1375" hidden="1" xr:uid="{8B565D3F-33F9-4461-B295-56EBF0E4692E}"/>
    <cellStyle name="40 % - Akzent3" xfId="1212" hidden="1" xr:uid="{9A225B91-FA5A-4092-91DA-A9735190F5F7}"/>
    <cellStyle name="40 % - Akzent3" xfId="1349" hidden="1" xr:uid="{579B0109-DD26-42AC-AF7F-C3A98041569D}"/>
    <cellStyle name="40 % - Akzent3" xfId="1523" hidden="1" xr:uid="{8C3E7E48-BADA-41C2-B73C-4EDDA7243512}"/>
    <cellStyle name="40 % - Akzent3 2" xfId="414" xr:uid="{B2D612C2-E021-4B38-816E-E087DB29F2DF}"/>
    <cellStyle name="40 % - Akzent3 3" xfId="283" xr:uid="{C7CA5A2C-BD83-4E3E-9010-13360CDF221B}"/>
    <cellStyle name="40 % - Akzent4" xfId="92" hidden="1" xr:uid="{311A8F2D-AFB6-442D-8A01-AC58E27CCA57}"/>
    <cellStyle name="40 % - Akzent4" xfId="991" hidden="1" xr:uid="{13B51E09-BEBC-4D39-B64D-401B47EBDF22}"/>
    <cellStyle name="40 % - Akzent4" xfId="1314" hidden="1" xr:uid="{2B40D53C-70FC-4199-9313-820519ABC7BD}"/>
    <cellStyle name="40 % - Akzent4" xfId="1299" hidden="1" xr:uid="{6F1B5380-2FA8-432F-8A7A-4A172C9C58A1}"/>
    <cellStyle name="40 % - Akzent4" xfId="1184" hidden="1" xr:uid="{4ECFBAF6-2385-4E98-968B-B97433C3B15D}"/>
    <cellStyle name="40 % - Akzent4" xfId="1521" hidden="1" xr:uid="{CCF6A8D2-2B55-4A18-8723-3804DC1DB034}"/>
    <cellStyle name="40 % - Akzent4 2" xfId="415" xr:uid="{1E053C3C-D7B2-4E1A-A4AB-85F1176FCE52}"/>
    <cellStyle name="40 % - Akzent4 3" xfId="284" xr:uid="{EEF9C988-8CFA-428E-BCF9-91006DE6F79C}"/>
    <cellStyle name="40 % - Akzent5" xfId="96" hidden="1" xr:uid="{58E95902-3173-4E7A-BC3C-403E6C0A62CA}"/>
    <cellStyle name="40 % - Akzent5" xfId="995" hidden="1" xr:uid="{2159A6C7-DBDC-4E72-BE95-C4B91DCEA6EE}"/>
    <cellStyle name="40 % - Akzent5" xfId="1359" hidden="1" xr:uid="{D5BD7075-76A3-43F0-ABF0-264C81A4185B}"/>
    <cellStyle name="40 % - Akzent5" xfId="1316" hidden="1" xr:uid="{D89B9609-1303-4290-AC4E-2F9547244779}"/>
    <cellStyle name="40 % - Akzent5" xfId="1422" hidden="1" xr:uid="{ED27E935-24CD-4578-BC3E-D3F4E6C2FC3A}"/>
    <cellStyle name="40 % - Akzent5" xfId="1350" hidden="1" xr:uid="{D52D8AEF-4858-422B-9289-BA3AEA9AB9A2}"/>
    <cellStyle name="40 % - Akzent5 2" xfId="416" xr:uid="{C735DD0A-4268-45A7-AB90-F8666EFBEE42}"/>
    <cellStyle name="40 % - Akzent5 3" xfId="285" xr:uid="{0138DBB9-78DF-4746-9D85-38069719ADB7}"/>
    <cellStyle name="40 % - Akzent6" xfId="999" hidden="1" xr:uid="{10677B5E-DDFC-4DDA-9889-017C4E694B68}"/>
    <cellStyle name="40 % - Akzent6" xfId="1373" hidden="1" xr:uid="{0D69EAB1-F9B0-4FC7-A4F7-53A2D935AFA9}"/>
    <cellStyle name="40 % - Akzent6" xfId="1440" hidden="1" xr:uid="{2573F0CF-6FBA-49EE-9BE2-6FB8B291CA37}"/>
    <cellStyle name="40 % - Akzent6" xfId="99" hidden="1" xr:uid="{4CEFF2BC-CE1F-4D8B-8D6D-492128713531}"/>
    <cellStyle name="40 % - Akzent6" xfId="1308" hidden="1" xr:uid="{D5A9A760-42B7-4EA4-8FF8-0A32816B7039}"/>
    <cellStyle name="40 % - Akzent6" xfId="1518" hidden="1" xr:uid="{C5790CC2-094D-4174-A32D-3B765B5BC3E1}"/>
    <cellStyle name="40 % - Akzent6 2" xfId="417" xr:uid="{C21F8BCF-24CA-4678-B16D-1AF5F8741C39}"/>
    <cellStyle name="40 % - Akzent6 3" xfId="286" xr:uid="{F1D4AFDC-0F1A-4652-BA75-F57ECB86C46D}"/>
    <cellStyle name="40% - Accent1 2" xfId="121" xr:uid="{5DD2CAE3-4346-4C44-9C8C-A4901A8A7990}"/>
    <cellStyle name="40% - Accent1 3" xfId="238" xr:uid="{CE4B13C3-8941-4592-A63F-3CB2F8710B84}"/>
    <cellStyle name="40% - Accent2 2" xfId="122" xr:uid="{E411C0B6-37DF-47BD-8846-4151E8AF826E}"/>
    <cellStyle name="40% - Accent2 3" xfId="239" xr:uid="{03099A47-61BC-41AA-9C42-6E4B6E82F127}"/>
    <cellStyle name="40% - Accent3 2" xfId="123" xr:uid="{A3394EBF-2167-4E83-9952-ECB75CC8B991}"/>
    <cellStyle name="40% - Accent3 3" xfId="240" xr:uid="{08679D1F-E7BB-4544-A2BB-74CA0F2ABCE7}"/>
    <cellStyle name="40% - Accent4 2" xfId="124" xr:uid="{C4F57BD3-ED34-40C5-AE3A-7E23C79310F2}"/>
    <cellStyle name="40% - Accent4 3" xfId="241" xr:uid="{C79DD2EA-9FBD-4B1B-8433-A7BF47506309}"/>
    <cellStyle name="40% - Accent5 2" xfId="125" xr:uid="{E12DC4C7-0DEB-4827-86BD-F04C1C023D9A}"/>
    <cellStyle name="40% - Accent5 3" xfId="242" xr:uid="{61145C56-470B-41CC-A4BE-FB6525F01163}"/>
    <cellStyle name="40% - Accent6 2" xfId="126" xr:uid="{5C35EE70-7869-40CE-B198-015A3BC64A8D}"/>
    <cellStyle name="40% - Accent6 3" xfId="243" xr:uid="{6DCB9A06-6A85-47A5-A70B-5981B966568E}"/>
    <cellStyle name="5x indented GHG Textfiels" xfId="15" xr:uid="{CEA07820-3E37-4833-AD2D-1CB70C9CCC35}"/>
    <cellStyle name="5x indented GHG Textfiels 2" xfId="127" xr:uid="{C823A8F3-BFC1-4429-AB52-0D5430162640}"/>
    <cellStyle name="5x indented GHG Textfiels 2 2" xfId="128" xr:uid="{7D43F8AD-6C6C-45B4-9972-C721B7C832BA}"/>
    <cellStyle name="5x indented GHG Textfiels 3" xfId="129" xr:uid="{9E3D0619-33C9-458D-AB4A-7B665E1EA398}"/>
    <cellStyle name="5x indented GHG Textfiels 3 2" xfId="434" xr:uid="{9FBD89D5-6F6F-4523-8432-A98BE82B311B}"/>
    <cellStyle name="5x indented GHG Textfiels 3 3" xfId="382" xr:uid="{072CAA1F-6927-4F99-A621-E3565B49460B}"/>
    <cellStyle name="5x indented GHG Textfiels 3 3 2" xfId="669" xr:uid="{FB761513-FD39-4C3D-AB63-3FCF3C382EA7}"/>
    <cellStyle name="5x indented GHG Textfiels 3 3 2 2" xfId="884" xr:uid="{D7CE8501-8FB9-41DF-9409-35BDCC37988D}"/>
    <cellStyle name="5x indented GHG Textfiels 3 3 2 2 2" xfId="1264" xr:uid="{E7A77F26-F992-402D-8BA3-38834659F482}"/>
    <cellStyle name="5x indented GHG Textfiels 3 3 2 2 3" xfId="1860" xr:uid="{60EF018C-AF68-46E8-A666-74635A46CD27}"/>
    <cellStyle name="5x indented GHG Textfiels 3 3 2 2 4" xfId="2231" xr:uid="{BA46A289-1227-4D53-8EB6-2AD041DEB531}"/>
    <cellStyle name="5x indented GHG Textfiels 3 3 2 3" xfId="1214" xr:uid="{7BA50719-7369-42C8-AF9E-3190FD809EBD}"/>
    <cellStyle name="5x indented GHG Textfiels 3 3 2 4" xfId="1653" xr:uid="{31A39935-3AAE-4F41-979C-2B804E577CF3}"/>
    <cellStyle name="5x indented GHG Textfiels 3 3 2 5" xfId="2025" xr:uid="{6D1170AC-4A8D-45EB-A6F7-D8B931AA78FB}"/>
    <cellStyle name="5x indented GHG Textfiels 3 3 3" xfId="616" xr:uid="{7A2E6B35-9445-4A98-BAB7-4C21D4527B33}"/>
    <cellStyle name="5x indented GHG Textfiels 3 3 3 2" xfId="831" xr:uid="{EB0B3991-1756-44BD-841C-40A8261957ED}"/>
    <cellStyle name="5x indented GHG Textfiels 3 3 3 2 2" xfId="1221" xr:uid="{6FAEB55C-B225-4099-B3A3-ED09BFAD9187}"/>
    <cellStyle name="5x indented GHG Textfiels 3 3 3 2 3" xfId="1807" xr:uid="{BEB44198-215A-4A42-BDBF-7CEBBA37FBDB}"/>
    <cellStyle name="5x indented GHG Textfiels 3 3 3 2 4" xfId="2178" xr:uid="{CA528CEF-3316-46B9-B2B8-19AC2DD76092}"/>
    <cellStyle name="5x indented GHG Textfiels 3 3 3 3" xfId="1145" xr:uid="{AE800B7C-5C46-4D76-B277-76579CC99A8D}"/>
    <cellStyle name="5x indented GHG Textfiels 3 3 3 4" xfId="1600" xr:uid="{137D10F5-6F32-4120-B39B-4C9155AF33E0}"/>
    <cellStyle name="5x indented GHG Textfiels 3 3 3 5" xfId="1972" xr:uid="{E44C0870-356A-4542-A4B6-86030D1C4FC6}"/>
    <cellStyle name="5x indented GHG Textfiels 3 3 4" xfId="700" xr:uid="{D4E1404D-49C8-4B02-AA88-610605FA0624}"/>
    <cellStyle name="5x indented GHG Textfiels 3 3 4 2" xfId="915" xr:uid="{46D40126-3389-466A-9396-B87B838530C7}"/>
    <cellStyle name="5x indented GHG Textfiels 3 3 4 2 2" xfId="1507" xr:uid="{734A932F-A7D4-4AAF-BD4A-0C8A01B28032}"/>
    <cellStyle name="5x indented GHG Textfiels 3 3 4 2 3" xfId="1891" xr:uid="{E2226E90-DE98-4A09-8820-CC9111F2E87B}"/>
    <cellStyle name="5x indented GHG Textfiels 3 3 4 2 4" xfId="2262" xr:uid="{E7C7EAC7-3CF0-47E7-9F8D-C67FF3F1AE7C}"/>
    <cellStyle name="5x indented GHG Textfiels 3 3 4 3" xfId="948" xr:uid="{3243C1E3-A993-4FE3-BEFD-074907A4AAC4}"/>
    <cellStyle name="5x indented GHG Textfiels 3 3 4 4" xfId="1684" xr:uid="{3D0DF304-E935-4344-B504-B3A2187FC383}"/>
    <cellStyle name="5x indented GHG Textfiels 3 3 4 5" xfId="2056" xr:uid="{1B110593-4ADB-4AB1-838F-A36C0975D01F}"/>
    <cellStyle name="5x indented GHG Textfiels 3 3 5" xfId="737" xr:uid="{94EA9C8D-415F-4590-AFAE-40F30FE6782A}"/>
    <cellStyle name="5x indented GHG Textfiels 3 3 6" xfId="74" xr:uid="{85098B97-9561-4F4E-9D4C-6FD082CA23C1}"/>
    <cellStyle name="5x indented GHG Textfiels 3 3 7" xfId="1366" xr:uid="{3F5AD7E2-E823-4133-ABD8-0C077B948B13}"/>
    <cellStyle name="5x indented GHG Textfiels 3 3 8" xfId="1079" xr:uid="{EF6561FF-35C7-4340-BD38-CEB338363F1F}"/>
    <cellStyle name="5x indented GHG Textfiels 4" xfId="2452" xr:uid="{B054D283-2FE1-4A20-B841-CFE750824E17}"/>
    <cellStyle name="5x indented GHG Textfiels 5" xfId="2482" xr:uid="{26FB7B5C-52DE-4AA8-A383-2DC7862F093F}"/>
    <cellStyle name="5x indented GHG Textfiels_Table 4(II)" xfId="224" xr:uid="{6F1406F4-EDEA-47E1-A22F-05787E206B3A}"/>
    <cellStyle name="60 % - Akzent1" xfId="1336" hidden="1" xr:uid="{6F20C6FF-3450-4216-A7EC-4FC847547784}"/>
    <cellStyle name="60 % - Akzent1" xfId="81" hidden="1" xr:uid="{9D7758CE-8875-496E-B51A-2D5F1F335514}"/>
    <cellStyle name="60 % - Akzent1" xfId="981" hidden="1" xr:uid="{E49AB9B6-8202-415C-A473-C14528E187EF}"/>
    <cellStyle name="60 % - Akzent1" xfId="1270" hidden="1" xr:uid="{A37A5E3D-DB56-4A51-8129-50FBC7F49915}"/>
    <cellStyle name="60 % - Akzent1" xfId="1031" hidden="1" xr:uid="{BF8D9103-1B82-4C8D-AD86-969073CFE863}"/>
    <cellStyle name="60 % - Akzent1" xfId="1370" hidden="1" xr:uid="{A58DC0AF-671B-4CAA-A075-9DCD2D7288BE}"/>
    <cellStyle name="60 % - Akzent1 2" xfId="418" xr:uid="{BA02AA72-BDCC-4DA6-BE53-AEC071618E7F}"/>
    <cellStyle name="60 % - Akzent1 3" xfId="287" xr:uid="{F2A7FCCF-5BA6-49CE-8BCE-0060BF41282A}"/>
    <cellStyle name="60 % - Akzent2" xfId="1305" hidden="1" xr:uid="{27A4B934-8B0D-4BB0-9E66-F72C674C73AD}"/>
    <cellStyle name="60 % - Akzent2" xfId="85" hidden="1" xr:uid="{2C6074C4-A2FB-4DCD-A2C5-8C4E8FC8E913}"/>
    <cellStyle name="60 % - Akzent2" xfId="984" hidden="1" xr:uid="{F0778F89-E4B6-4310-901C-8BCA538F2700}"/>
    <cellStyle name="60 % - Akzent2" xfId="1524" hidden="1" xr:uid="{BEA56DD6-4856-4BDB-BCB6-0FDEBE972C82}"/>
    <cellStyle name="60 % - Akzent2" xfId="1472" hidden="1" xr:uid="{C08FD134-A404-43A7-BC64-CE5E4DDCE9AC}"/>
    <cellStyle name="60 % - Akzent2" xfId="1460" hidden="1" xr:uid="{E02903BB-9D8C-4E12-AD5E-A8ADCECD0B74}"/>
    <cellStyle name="60 % - Akzent2 2" xfId="419" xr:uid="{61ACEDBC-3CFE-487D-96CB-DC38A3F86ECF}"/>
    <cellStyle name="60 % - Akzent2 3" xfId="288" xr:uid="{79D1F0AD-E4EA-4DFB-B1D7-4D65651578A7}"/>
    <cellStyle name="60 % - Akzent3" xfId="1462" hidden="1" xr:uid="{192AE991-1CE5-4F73-B68F-C6ECD6F540FD}"/>
    <cellStyle name="60 % - Akzent3" xfId="89" hidden="1" xr:uid="{CDC2FE1A-45AE-46EC-A5E5-F9FA14B5D606}"/>
    <cellStyle name="60 % - Akzent3" xfId="988" hidden="1" xr:uid="{E58826B5-126E-4E23-9CFD-0B4F70E2073A}"/>
    <cellStyle name="60 % - Akzent3" xfId="1099" hidden="1" xr:uid="{95A42B6D-CE85-4509-B1ED-544976F5709D}"/>
    <cellStyle name="60 % - Akzent3" xfId="1197" hidden="1" xr:uid="{E3173634-2984-441F-83BE-ACCA71CCAC99}"/>
    <cellStyle name="60 % - Akzent3" xfId="1096" hidden="1" xr:uid="{590BFDAE-0D76-43FE-A39A-DE3E55B3DAC5}"/>
    <cellStyle name="60 % - Akzent3 2" xfId="420" xr:uid="{05E43AA3-2F56-43B0-A8CE-60A5850D9DE1}"/>
    <cellStyle name="60 % - Akzent3 3" xfId="289" xr:uid="{A9C219BB-010D-42D3-A507-904AD1A3650E}"/>
    <cellStyle name="60 % - Akzent4" xfId="1110" hidden="1" xr:uid="{27B8DF3E-BC85-4729-9A70-FA8093FD8F4E}"/>
    <cellStyle name="60 % - Akzent4" xfId="93" hidden="1" xr:uid="{F38AD95E-092A-4C7F-8ECC-E20F3EB531DE}"/>
    <cellStyle name="60 % - Akzent4" xfId="992" hidden="1" xr:uid="{93AFB5CD-3148-4BF4-9DA6-B21835476DBD}"/>
    <cellStyle name="60 % - Akzent4" xfId="966" hidden="1" xr:uid="{8F32B811-B0BF-4B3C-BCA4-A452E4E6BFDA}"/>
    <cellStyle name="60 % - Akzent4" xfId="1249" hidden="1" xr:uid="{2529E816-5032-4329-B798-C24930085E4B}"/>
    <cellStyle name="60 % - Akzent4" xfId="1480" hidden="1" xr:uid="{F3E587E6-B7D8-4C39-97DB-B7922E7D024B}"/>
    <cellStyle name="60 % - Akzent4 2" xfId="421" xr:uid="{93874E5B-6ED9-42EE-9BD9-281A730B0C8F}"/>
    <cellStyle name="60 % - Akzent4 3" xfId="290" xr:uid="{3129B9EE-F4FD-4327-9E40-F288084B2D3A}"/>
    <cellStyle name="60 % - Akzent5" xfId="1420" hidden="1" xr:uid="{51D3B9DF-E7F8-4AE1-9BE3-B48BCA983093}"/>
    <cellStyle name="60 % - Akzent5" xfId="996" hidden="1" xr:uid="{A7EA69A6-8F4A-4B0C-8D45-D1BA777E424D}"/>
    <cellStyle name="60 % - Akzent5" xfId="97" hidden="1" xr:uid="{629BA659-817A-4386-9C1C-9D8E762289D2}"/>
    <cellStyle name="60 % - Akzent5" xfId="1360" hidden="1" xr:uid="{9A8BC23B-2F48-4232-B885-72E282043FD6}"/>
    <cellStyle name="60 % - Akzent5" xfId="1127" hidden="1" xr:uid="{A67DDDA5-27ED-48E6-A0B4-BFC387FC4F01}"/>
    <cellStyle name="60 % - Akzent5" xfId="997" hidden="1" xr:uid="{251593B8-FE8D-42AF-BE0F-6625C7C7C4B2}"/>
    <cellStyle name="60 % - Akzent5 2" xfId="422" xr:uid="{F6634AB6-2C21-4F33-B36B-0E2FF9851678}"/>
    <cellStyle name="60 % - Akzent5 3" xfId="291" xr:uid="{D393A69A-97C5-4484-8C96-129270EC4651}"/>
    <cellStyle name="60 % - Akzent6" xfId="100" hidden="1" xr:uid="{59EF7B71-5B97-4CA6-B1C6-9E373FD3AB7D}"/>
    <cellStyle name="60 % - Akzent6" xfId="1000" hidden="1" xr:uid="{C309DE0F-4994-4368-A070-FBE3BBB3D7D6}"/>
    <cellStyle name="60 % - Akzent6" xfId="1437" hidden="1" xr:uid="{F54C93EA-D95A-4CAA-96F3-9D50D432698C}"/>
    <cellStyle name="60 % - Akzent6" xfId="1088" hidden="1" xr:uid="{3A87A03A-51B9-460E-B516-52246C512B57}"/>
    <cellStyle name="60 % - Akzent6" xfId="1020" hidden="1" xr:uid="{B001B264-87E6-4156-AE31-7C69E30A645A}"/>
    <cellStyle name="60 % - Akzent6" xfId="1343" hidden="1" xr:uid="{C22E5BAC-E391-42CB-B223-F8670A6EF049}"/>
    <cellStyle name="60 % - Akzent6 2" xfId="423" xr:uid="{813946C3-4C31-48F0-97AA-EA32108C663C}"/>
    <cellStyle name="60 % - Akzent6 3" xfId="292" xr:uid="{C3086A51-1BB3-4889-9104-D38CF861C22D}"/>
    <cellStyle name="60% - Accent1 2" xfId="130" xr:uid="{4CE9C742-FF56-4341-BAAC-F4937558F933}"/>
    <cellStyle name="60% - Accent1 3" xfId="244" xr:uid="{EA75C631-6246-410F-A4FC-6CBF525C32E3}"/>
    <cellStyle name="60% - Accent2 2" xfId="131" xr:uid="{606CDA22-7EED-43CE-AB51-5326DFAAE008}"/>
    <cellStyle name="60% - Accent2 3" xfId="245" xr:uid="{D4F47A64-D756-4E4A-B42E-2CDE1795A473}"/>
    <cellStyle name="60% - Accent3 2" xfId="132" xr:uid="{317578C9-D4DA-402D-B1BA-6CCC7D79F974}"/>
    <cellStyle name="60% - Accent3 3" xfId="246" xr:uid="{BD5472CF-B599-47E6-BD7A-F57932F24244}"/>
    <cellStyle name="60% - Accent4 2" xfId="133" xr:uid="{8887A3C2-F8B8-42EB-B69A-E9FC68DDDCB3}"/>
    <cellStyle name="60% - Accent4 3" xfId="247" xr:uid="{7E576E6A-9493-4718-AB32-15ED7B985D9A}"/>
    <cellStyle name="60% - Accent5 2" xfId="134" xr:uid="{0D299495-0C12-4897-AA76-A957F6A5498F}"/>
    <cellStyle name="60% - Accent5 3" xfId="248" xr:uid="{755EE0CE-1B31-44C9-8450-FA19B57BE5A5}"/>
    <cellStyle name="60% - Accent6 2" xfId="135" xr:uid="{2F566CBD-04CB-4A7E-B74D-8821F0F880F6}"/>
    <cellStyle name="60% - Accent6 3" xfId="249" xr:uid="{BD766DBE-C6A0-409A-B3EE-36EFEB3007C2}"/>
    <cellStyle name="Accent1 2" xfId="136" xr:uid="{C3C61439-A1DA-4A6F-AA9B-830AEBB8AF4A}"/>
    <cellStyle name="Accent1 3" xfId="250" xr:uid="{029D4088-4884-42DC-8071-D37DC154BF5F}"/>
    <cellStyle name="Accent1 4" xfId="383" xr:uid="{BCAAD469-622E-4060-A73E-B777DCA3F4C4}"/>
    <cellStyle name="Accent2 2" xfId="137" xr:uid="{4ABEA6BC-6E67-4BB1-8737-2ECC37736EF5}"/>
    <cellStyle name="Accent2 3" xfId="251" xr:uid="{FD11C961-573D-4D52-8168-BBAA11349DAE}"/>
    <cellStyle name="Accent2 4" xfId="384" xr:uid="{14A92181-02C2-466F-9FF3-E788974504BB}"/>
    <cellStyle name="Accent3 2" xfId="138" xr:uid="{A33FB452-6FA6-4D1C-9A07-DDC9C07D08E1}"/>
    <cellStyle name="Accent3 3" xfId="252" xr:uid="{9ABC926C-9007-47DE-9626-1F45B4AA297C}"/>
    <cellStyle name="Accent3 4" xfId="385" xr:uid="{C8AE5C66-D614-445B-B98F-D66B8EC00A55}"/>
    <cellStyle name="Accent4 2" xfId="139" xr:uid="{5C7EEB6D-900B-4542-8D8E-82CDA2B8A5D9}"/>
    <cellStyle name="Accent4 3" xfId="253" xr:uid="{381507D1-6DD5-4C65-9601-6535ACD41093}"/>
    <cellStyle name="Accent4 4" xfId="386" xr:uid="{A3489DFE-6D57-40FA-9E00-CC18CD34327A}"/>
    <cellStyle name="Accent5 2" xfId="140" xr:uid="{9717D0D3-A65D-4008-A4EC-9278893452A0}"/>
    <cellStyle name="Accent5 3" xfId="254" xr:uid="{937F41EA-D8E8-4FF6-A2CF-3021660E0270}"/>
    <cellStyle name="Accent5 4" xfId="387" xr:uid="{28B3DB5F-DBA6-42E0-AAD2-059FB5834CEB}"/>
    <cellStyle name="Accent6 2" xfId="141" xr:uid="{5E70A6F2-531B-4D5D-BF49-90F2E95D1C0C}"/>
    <cellStyle name="Accent6 3" xfId="255" xr:uid="{FC25CFEA-62E9-48E8-A65F-2625ED18B212}"/>
    <cellStyle name="Accent6 4" xfId="388" xr:uid="{C40135AA-FDAE-48A3-A253-917C64A1796D}"/>
    <cellStyle name="AggblueBoldCels" xfId="142" xr:uid="{5A3DF743-ADD0-452D-8E9A-9C6006961B8E}"/>
    <cellStyle name="AggblueBoldCels 2" xfId="143" xr:uid="{191374FE-0B43-41B5-B3A2-05EAC364E911}"/>
    <cellStyle name="AggblueCels" xfId="54" xr:uid="{5DAEE6D7-CE3E-4991-B14C-BB838497653B}"/>
    <cellStyle name="AggblueCels 2" xfId="144" xr:uid="{3DFD2CC2-12D5-4923-927A-9C7908A341A7}"/>
    <cellStyle name="AggblueCels 3" xfId="2467" xr:uid="{020904CE-BA53-4157-AA81-5358010EFAB8}"/>
    <cellStyle name="AggblueCels 4" xfId="2487" xr:uid="{908FA60C-CD01-4B7D-B261-6BCF78E133C2}"/>
    <cellStyle name="AggblueCels_1x" xfId="53" xr:uid="{1BF7B860-7EE8-4B1B-80A3-B92CF4417958}"/>
    <cellStyle name="AggBoldCells" xfId="26" xr:uid="{DDD0C2B4-7E73-44EC-BB91-59B451F0F9E7}"/>
    <cellStyle name="AggBoldCells 2" xfId="145" xr:uid="{02998A3C-C032-4EAB-A41E-E9681CBC36C9}"/>
    <cellStyle name="AggBoldCells 3" xfId="225" xr:uid="{525BC162-C42C-4107-817A-1D6C5D814C6B}"/>
    <cellStyle name="AggBoldCells 4" xfId="377" xr:uid="{5582B29B-AEE8-460C-9E9E-E147DD1D8F5C}"/>
    <cellStyle name="AggBoldCells 5" xfId="2447" xr:uid="{A2A3C67D-ED30-43C7-98ED-DCA407A6B519}"/>
    <cellStyle name="AggBoldCells 6" xfId="2480" xr:uid="{700A3922-2B79-4968-B663-F94EFA89CD38}"/>
    <cellStyle name="AggCels" xfId="29" xr:uid="{178A09F5-A30D-4048-8822-360EAAE62CA7}"/>
    <cellStyle name="AggCels 2" xfId="146" xr:uid="{10ADFBD9-6413-48FE-99C8-A9E095911AB5}"/>
    <cellStyle name="AggCels 3" xfId="226" xr:uid="{C027386D-A295-4AB3-B718-0BA7C401DE28}"/>
    <cellStyle name="AggCels 4" xfId="378" xr:uid="{A7FE75C0-3B96-482B-BB4C-352C1CFF8EEE}"/>
    <cellStyle name="AggCels 5" xfId="2449" xr:uid="{52A6894F-F90B-4B11-9507-5DFF9EF1B260}"/>
    <cellStyle name="AggCels 6" xfId="2470" xr:uid="{AFB2FE60-D4DA-443E-97C1-8F816A1BB23F}"/>
    <cellStyle name="AggCels_T(2)" xfId="27" xr:uid="{4F107CE3-B6FF-4DDF-9104-E686C194F889}"/>
    <cellStyle name="AggGreen" xfId="44" xr:uid="{B7375D7E-6B90-49A7-892E-8378320B7508}"/>
    <cellStyle name="AggGreen 2" xfId="147" xr:uid="{8CACBFE3-3111-4CBE-A061-904DDF695365}"/>
    <cellStyle name="AggGreen 2 2" xfId="436" xr:uid="{09D54AC6-3B34-45E3-9FD7-3CBF01368FA2}"/>
    <cellStyle name="AggGreen 2 2 2" xfId="613" xr:uid="{459A0160-5179-4011-9802-30341E3D9D92}"/>
    <cellStyle name="AggGreen 2 2 2 2" xfId="828" xr:uid="{905F47E3-D8EF-4D46-8998-92FFBF85116A}"/>
    <cellStyle name="AggGreen 2 2 2 2 2" xfId="1133" xr:uid="{DB4E0480-9842-4C02-AA7E-AAD5F3795B12}"/>
    <cellStyle name="AggGreen 2 2 2 2 3" xfId="1804" xr:uid="{EB8D60FE-2A9B-4AF6-88DF-D4EAE44EBDCC}"/>
    <cellStyle name="AggGreen 2 2 2 2 4" xfId="2175" xr:uid="{D7858307-65C0-453E-B178-7E21967A0FAC}"/>
    <cellStyle name="AggGreen 2 2 2 3" xfId="1389" xr:uid="{FDD42188-8EFD-45D7-BD4B-A0C83B91D548}"/>
    <cellStyle name="AggGreen 2 2 2 4" xfId="1597" xr:uid="{7D12496C-7360-420F-AE75-2F500BF1AC3B}"/>
    <cellStyle name="AggGreen 2 2 2 5" xfId="1969" xr:uid="{4CDF260A-712D-443B-834C-DFBE6065E010}"/>
    <cellStyle name="AggGreen 2 2 3" xfId="743" xr:uid="{8DCD6113-E13E-4A3E-940C-05D69BB5089F}"/>
    <cellStyle name="AggGreen 2 2 3 2" xfId="1211" xr:uid="{896FEE7E-41F9-4E49-8BB9-8880B89AE508}"/>
    <cellStyle name="AggGreen 2 2 3 3" xfId="1719" xr:uid="{BCAB08FD-A420-457F-8AC5-230ECC0499DA}"/>
    <cellStyle name="AggGreen 2 2 3 4" xfId="2090" xr:uid="{05457BE3-0F75-4E47-BA0C-D22978D3B595}"/>
    <cellStyle name="AggGreen 2 3" xfId="294" xr:uid="{4E91D060-B23F-4A67-AAD9-4684CD8B52F5}"/>
    <cellStyle name="AggGreen 2 3 2" xfId="633" xr:uid="{5AB075B4-7CDD-4A16-A5C6-632D3FBC9836}"/>
    <cellStyle name="AggGreen 2 3 2 2" xfId="848" xr:uid="{8B682A41-D619-4018-B60C-9F3975FD4E57}"/>
    <cellStyle name="AggGreen 2 3 2 2 2" xfId="1295" xr:uid="{947C40CF-834B-4A5A-9550-4ED7908DA8EF}"/>
    <cellStyle name="AggGreen 2 3 2 2 3" xfId="1824" xr:uid="{A42B3B5B-4BB0-441F-AF60-4DB5D4D87603}"/>
    <cellStyle name="AggGreen 2 3 2 2 4" xfId="2195" xr:uid="{E6936F84-3237-4DE4-B9BD-7126DED258EE}"/>
    <cellStyle name="AggGreen 2 3 2 3" xfId="944" xr:uid="{CED3D208-6AB2-478B-B8E7-BC106A7ED900}"/>
    <cellStyle name="AggGreen 2 3 2 4" xfId="1617" xr:uid="{E42F7407-D39B-461A-86CD-8F42837B85CA}"/>
    <cellStyle name="AggGreen 2 3 2 5" xfId="1989" xr:uid="{259CC3E6-6922-45DD-8DBC-4858C931F574}"/>
    <cellStyle name="AggGreen 2 3 3" xfId="702" xr:uid="{87CBE2DA-FCA6-4869-9090-F597553A3B98}"/>
    <cellStyle name="AggGreen 2 3 3 2" xfId="917" xr:uid="{0B1291FF-0BDA-4360-A92D-1A6BA1F497C3}"/>
    <cellStyle name="AggGreen 2 3 3 2 2" xfId="1509" xr:uid="{8A067207-A487-4EF4-A2C3-E55B4C09CCE6}"/>
    <cellStyle name="AggGreen 2 3 3 2 3" xfId="1893" xr:uid="{9A98BB19-68F7-44C9-9407-723F858196FB}"/>
    <cellStyle name="AggGreen 2 3 3 2 4" xfId="2264" xr:uid="{1201B664-B274-44BB-8C52-28422053C463}"/>
    <cellStyle name="AggGreen 2 3 3 3" xfId="1385" xr:uid="{49D8CC8F-56E4-48F0-A39D-68AC2AEDD6F8}"/>
    <cellStyle name="AggGreen 2 3 3 4" xfId="1686" xr:uid="{D5CDDE4E-E2FF-4E77-9D20-0F0E98A49616}"/>
    <cellStyle name="AggGreen 2 3 3 5" xfId="2058" xr:uid="{D06946CC-3B29-4FB1-9D7A-9025BC9CC95A}"/>
    <cellStyle name="AggGreen 2 3 4" xfId="698" xr:uid="{5F020E2D-AFDA-4FA5-93CD-4B8431AA0E96}"/>
    <cellStyle name="AggGreen 2 3 4 2" xfId="913" xr:uid="{A4876584-136A-411C-8D6A-815B7C69167E}"/>
    <cellStyle name="AggGreen 2 3 4 2 2" xfId="1505" xr:uid="{92B23C64-1814-4E8B-80AA-4194BE3A9C37}"/>
    <cellStyle name="AggGreen 2 3 4 2 3" xfId="1889" xr:uid="{DEB53262-67C7-4C16-B304-138CE4E3F654}"/>
    <cellStyle name="AggGreen 2 3 4 2 4" xfId="2260" xr:uid="{B667C487-B42C-4ABA-9ACD-17602C1E43D1}"/>
    <cellStyle name="AggGreen 2 3 4 3" xfId="1030" xr:uid="{C4185E1F-00DA-412C-A1A3-D3F3F63E4A0C}"/>
    <cellStyle name="AggGreen 2 3 4 4" xfId="1682" xr:uid="{79B8BD97-6914-4166-B271-29A2F5DA500C}"/>
    <cellStyle name="AggGreen 2 3 4 5" xfId="2054" xr:uid="{3AEFE5FA-35DB-48CB-9AB2-1EF891ED6D93}"/>
    <cellStyle name="AggGreen 2 3 5" xfId="956" xr:uid="{6B4A340F-6F02-4784-8D9A-48C1CC7164F9}"/>
    <cellStyle name="AggGreen 2 3 6" xfId="1194" xr:uid="{AE2C06A9-6646-4FA8-B35A-5C611B82211E}"/>
    <cellStyle name="AggGreen 2 3 7" xfId="1060" xr:uid="{3D203BC6-3E11-4187-957C-154C33D46754}"/>
    <cellStyle name="AggGreen 3" xfId="435" xr:uid="{C53C0277-1D2C-44F0-9770-B5DDBDC1ACCB}"/>
    <cellStyle name="AggGreen 3 2" xfId="562" xr:uid="{EE883938-2853-4EAF-9D3F-EC6BFDE53A55}"/>
    <cellStyle name="AggGreen 3 2 2" xfId="777" xr:uid="{79595B6C-D92E-4DCA-9242-43936C17868A}"/>
    <cellStyle name="AggGreen 3 2 2 2" xfId="1061" xr:uid="{D4B8CCFF-C4E0-4CB3-B4C9-8A331A3BFE0C}"/>
    <cellStyle name="AggGreen 3 2 2 3" xfId="1753" xr:uid="{187AF051-17A6-420A-A81C-2169BDD6F5C3}"/>
    <cellStyle name="AggGreen 3 2 2 4" xfId="2124" xr:uid="{85E4DC6A-AEC9-4C06-B9E1-B31374151C69}"/>
    <cellStyle name="AggGreen 3 2 3" xfId="1324" xr:uid="{73544E2A-E8D5-44AB-A335-8B80A0EE045C}"/>
    <cellStyle name="AggGreen 3 2 4" xfId="1546" xr:uid="{EBBE47FC-ADAC-4A18-843E-35F887FF7CD1}"/>
    <cellStyle name="AggGreen 3 2 5" xfId="1918" xr:uid="{57D9077F-936B-4CDF-B975-6564146DC5F0}"/>
    <cellStyle name="AggGreen 3 3" xfId="742" xr:uid="{0580BE26-00C9-4EF8-9492-24AB531D495C}"/>
    <cellStyle name="AggGreen 3 3 2" xfId="1438" xr:uid="{DE97CF3A-D931-46B8-802E-488A7D6EB594}"/>
    <cellStyle name="AggGreen 3 3 3" xfId="1718" xr:uid="{7251034F-162E-40B0-8B11-F4290F3C1766}"/>
    <cellStyle name="AggGreen 3 3 4" xfId="2089" xr:uid="{A832017A-63AF-4289-98F9-18122B1F3CE9}"/>
    <cellStyle name="AggGreen 4" xfId="293" xr:uid="{D1B42CD1-8F9D-4CE6-81CB-6DFD95CCAC8F}"/>
    <cellStyle name="AggGreen 4 2" xfId="632" xr:uid="{8D2FB9DA-8E16-4791-99EA-EF965E8BF20E}"/>
    <cellStyle name="AggGreen 4 2 2" xfId="847" xr:uid="{2CCF3942-C073-4505-ABED-8158986B73F1}"/>
    <cellStyle name="AggGreen 4 2 2 2" xfId="1262" xr:uid="{63A7C850-6176-46BC-B6E0-B424070294E7}"/>
    <cellStyle name="AggGreen 4 2 2 3" xfId="1823" xr:uid="{5B879C71-3A96-4FE5-84DE-3DE5789E0271}"/>
    <cellStyle name="AggGreen 4 2 2 4" xfId="2194" xr:uid="{DA54C77F-1E2B-49BA-95B0-10EA4DF32639}"/>
    <cellStyle name="AggGreen 4 2 3" xfId="1334" xr:uid="{4D0F59C0-7637-43FC-9DD8-3695E073A47D}"/>
    <cellStyle name="AggGreen 4 2 4" xfId="1616" xr:uid="{8D5F60CB-F0CA-41E7-A5DA-F4038A8E8654}"/>
    <cellStyle name="AggGreen 4 2 5" xfId="1988" xr:uid="{B1D2D530-4597-47E4-8D74-48BC99B3994B}"/>
    <cellStyle name="AggGreen 4 3" xfId="547" xr:uid="{F7EE20FB-FE8C-4796-AB34-2E1BCBEFDBFE}"/>
    <cellStyle name="AggGreen 4 3 2" xfId="762" xr:uid="{F8AEDF46-D37A-416D-8C71-2A824409F159}"/>
    <cellStyle name="AggGreen 4 3 2 2" xfId="1381" xr:uid="{7BBFC809-43DE-4DBF-9C34-22E01ADFFE51}"/>
    <cellStyle name="AggGreen 4 3 2 3" xfId="1738" xr:uid="{CAFBAD66-263C-4255-9940-89E08AB6197D}"/>
    <cellStyle name="AggGreen 4 3 2 4" xfId="2109" xr:uid="{CA3A6AE5-5844-4800-AD41-4C115552BBA4}"/>
    <cellStyle name="AggGreen 4 3 3" xfId="1352" xr:uid="{F9D85863-D676-4B76-BEDE-CB20DC31878A}"/>
    <cellStyle name="AggGreen 4 3 4" xfId="1531" xr:uid="{AED15140-AA86-49B1-9075-ECB83108EAC7}"/>
    <cellStyle name="AggGreen 4 3 5" xfId="1903" xr:uid="{E9498D11-6581-4A79-B927-75EFB7594C38}"/>
    <cellStyle name="AggGreen 4 4" xfId="665" xr:uid="{95FDDB32-97C1-4C0B-9E76-192A66016394}"/>
    <cellStyle name="AggGreen 4 4 2" xfId="880" xr:uid="{9E9CA4AB-E026-4F9F-8A67-81B2A1E7C4A8}"/>
    <cellStyle name="AggGreen 4 4 2 2" xfId="1263" xr:uid="{D05F2D99-5AFA-41AC-8247-05C4FB4BD4BA}"/>
    <cellStyle name="AggGreen 4 4 2 3" xfId="1856" xr:uid="{5B612A11-51E5-4453-8AF8-1AA57E161C83}"/>
    <cellStyle name="AggGreen 4 4 2 4" xfId="2227" xr:uid="{43DB0448-E3FB-44D9-9660-A06A8E651DB8}"/>
    <cellStyle name="AggGreen 4 4 3" xfId="1087" xr:uid="{08AFA6BB-4BD1-47BC-8A8E-EAC30F08A434}"/>
    <cellStyle name="AggGreen 4 4 4" xfId="1649" xr:uid="{EFA80DF6-1CE0-4833-8947-8F372962330C}"/>
    <cellStyle name="AggGreen 4 4 5" xfId="2021" xr:uid="{131D04F0-7540-4832-A09B-D3A539AE1EB1}"/>
    <cellStyle name="AggGreen 4 5" xfId="1039" xr:uid="{7CAADC22-8A21-4BA6-9B4A-5513E0B1D937}"/>
    <cellStyle name="AggGreen 4 6" xfId="1479" xr:uid="{B0634E9A-7F26-4755-865B-D5DB0F948CAA}"/>
    <cellStyle name="AggGreen 4 7" xfId="1527" xr:uid="{CB0D2F2E-EC7E-44A6-B5DC-215C46F44120}"/>
    <cellStyle name="AggGreen 5" xfId="109" xr:uid="{D81ED735-F246-40E6-B346-9820CC2C4E57}"/>
    <cellStyle name="AggGreen 6" xfId="2462" xr:uid="{6F7BDBA8-632D-4EDE-BEF5-16D772C863D3}"/>
    <cellStyle name="AggGreen 7" xfId="2478" xr:uid="{1C1315F9-0C6F-43A0-BDFE-10FA5A0468FF}"/>
    <cellStyle name="AggGreen_Bbdr" xfId="45" xr:uid="{C205EEFC-6B93-4E2B-A923-D6480C7527F3}"/>
    <cellStyle name="AggGreen12" xfId="42" xr:uid="{155C0F09-8BAA-4F8C-A3D6-F0021F94245D}"/>
    <cellStyle name="AggGreen12 2" xfId="148" xr:uid="{126D9A59-7ACE-47D2-940E-17FDBB39EE35}"/>
    <cellStyle name="AggGreen12 2 2" xfId="438" xr:uid="{E2773522-3ACD-458E-8994-D9E7AA77CD6E}"/>
    <cellStyle name="AggGreen12 2 2 2" xfId="631" xr:uid="{8944F871-C464-4137-BA86-2CB9A100B0B3}"/>
    <cellStyle name="AggGreen12 2 2 2 2" xfId="846" xr:uid="{51ADA974-8388-414B-8278-B1AA128D2D95}"/>
    <cellStyle name="AggGreen12 2 2 2 2 2" xfId="1067" xr:uid="{46C3539D-3182-4AC9-B7CE-3C6246282ED0}"/>
    <cellStyle name="AggGreen12 2 2 2 2 3" xfId="1822" xr:uid="{8D76C410-8912-4401-BF5C-E776B247CBF7}"/>
    <cellStyle name="AggGreen12 2 2 2 2 4" xfId="2193" xr:uid="{B417B64F-CC94-4C7F-BB7A-2033EFF97D38}"/>
    <cellStyle name="AggGreen12 2 2 2 3" xfId="1301" xr:uid="{689E0A07-BCBF-4AC3-9847-CCEC1B4E11D2}"/>
    <cellStyle name="AggGreen12 2 2 2 4" xfId="1615" xr:uid="{FA208A6A-2FB3-43A6-8D0F-D962EE52C4AC}"/>
    <cellStyle name="AggGreen12 2 2 2 5" xfId="1987" xr:uid="{44789AED-DE6A-4EA4-A9ED-4F0C76B4FD28}"/>
    <cellStyle name="AggGreen12 2 2 3" xfId="745" xr:uid="{3075755F-3615-4F61-9A94-C2439A1B6789}"/>
    <cellStyle name="AggGreen12 2 2 3 2" xfId="1086" xr:uid="{DCB8C609-9194-4F11-A27B-49C394DABD59}"/>
    <cellStyle name="AggGreen12 2 2 3 3" xfId="1721" xr:uid="{E954EB94-ABD5-4F07-B900-21D5869AD62F}"/>
    <cellStyle name="AggGreen12 2 2 3 4" xfId="2092" xr:uid="{BA65A48F-4BCD-454F-B0B4-704583FEB13C}"/>
    <cellStyle name="AggGreen12 2 3" xfId="296" xr:uid="{CA5007A0-4453-4139-80B8-A29B816B0FC9}"/>
    <cellStyle name="AggGreen12 2 3 2" xfId="635" xr:uid="{F7D15BB4-2DB1-452F-820F-ABC70AE61D5E}"/>
    <cellStyle name="AggGreen12 2 3 2 2" xfId="850" xr:uid="{977B76F3-E729-4AFB-B13F-C7DD1ADAF71B}"/>
    <cellStyle name="AggGreen12 2 3 2 2 2" xfId="1044" xr:uid="{5276AB88-0069-458A-9D8E-8705F47D6989}"/>
    <cellStyle name="AggGreen12 2 3 2 2 3" xfId="1826" xr:uid="{FEFAFA74-5BD6-4C16-AD64-8E738BD0BA35}"/>
    <cellStyle name="AggGreen12 2 3 2 2 4" xfId="2197" xr:uid="{097A770B-D2DE-4865-B37C-5E714BC380B8}"/>
    <cellStyle name="AggGreen12 2 3 2 3" xfId="1344" xr:uid="{63DBE412-0F2E-4420-A3C8-5E4ECE20AE79}"/>
    <cellStyle name="AggGreen12 2 3 2 4" xfId="1619" xr:uid="{479F5A86-D2A6-4B92-84EF-167A0050BC01}"/>
    <cellStyle name="AggGreen12 2 3 2 5" xfId="1991" xr:uid="{554AC5DE-4865-4844-83A2-A761CE8AFF83}"/>
    <cellStyle name="AggGreen12 2 3 3" xfId="584" xr:uid="{5627C56D-7F43-4E35-901B-493EB27E628F}"/>
    <cellStyle name="AggGreen12 2 3 3 2" xfId="799" xr:uid="{FDD0961F-B62E-4935-912C-1AB55C44CEC5}"/>
    <cellStyle name="AggGreen12 2 3 3 2 2" xfId="1250" xr:uid="{1BE2A7F5-E978-4AD5-B8E0-ADCCF933CF36}"/>
    <cellStyle name="AggGreen12 2 3 3 2 3" xfId="1775" xr:uid="{8CBF1465-0FDB-4F90-8DD4-26C048EB78B2}"/>
    <cellStyle name="AggGreen12 2 3 3 2 4" xfId="2146" xr:uid="{3387083D-43DE-4CA0-BB7F-115CDE698798}"/>
    <cellStyle name="AggGreen12 2 3 3 3" xfId="1029" xr:uid="{2794E91F-619A-4A14-AB2E-60708554CC43}"/>
    <cellStyle name="AggGreen12 2 3 3 4" xfId="1568" xr:uid="{0E3A2FCA-54CD-46AB-8016-4616ED1F9C32}"/>
    <cellStyle name="AggGreen12 2 3 3 5" xfId="1940" xr:uid="{607C5142-1B74-42E3-A91C-A2B9476EC725}"/>
    <cellStyle name="AggGreen12 2 3 4" xfId="664" xr:uid="{7724421F-10B8-4A03-B42F-86FD20B19441}"/>
    <cellStyle name="AggGreen12 2 3 4 2" xfId="879" xr:uid="{E0EFD496-A572-4F69-ABF9-4D2FDC467F17}"/>
    <cellStyle name="AggGreen12 2 3 4 2 2" xfId="1402" xr:uid="{59870BDE-C8B1-484A-BB59-BDBCA3D6436F}"/>
    <cellStyle name="AggGreen12 2 3 4 2 3" xfId="1855" xr:uid="{1BD43455-123E-4CA1-BF68-3675C2991A4B}"/>
    <cellStyle name="AggGreen12 2 3 4 2 4" xfId="2226" xr:uid="{ACD18955-1EDE-428F-A5D5-19FAE41131A3}"/>
    <cellStyle name="AggGreen12 2 3 4 3" xfId="1384" xr:uid="{945941CC-A34D-45BC-965B-496B7F9BBF18}"/>
    <cellStyle name="AggGreen12 2 3 4 4" xfId="1648" xr:uid="{28F3562E-A9A6-42E4-B326-88A6EC9E2B4A}"/>
    <cellStyle name="AggGreen12 2 3 4 5" xfId="2020" xr:uid="{B31A7BE7-8457-4D57-98C8-7E5D57AC2651}"/>
    <cellStyle name="AggGreen12 2 3 5" xfId="1310" xr:uid="{6A88F10F-8FA3-445F-84B6-59999D7035B9}"/>
    <cellStyle name="AggGreen12 2 3 6" xfId="1237" xr:uid="{83121CB9-40E8-498B-AD11-576785CC9B0A}"/>
    <cellStyle name="AggGreen12 2 3 7" xfId="1710" xr:uid="{8F290A18-DBD7-422F-88E8-D90735A7378C}"/>
    <cellStyle name="AggGreen12 3" xfId="437" xr:uid="{9EB4C05A-35CD-4370-8B92-5FC911DF6525}"/>
    <cellStyle name="AggGreen12 3 2" xfId="561" xr:uid="{0AE12670-57A6-4E66-A32A-D5B654BA38DA}"/>
    <cellStyle name="AggGreen12 3 2 2" xfId="776" xr:uid="{EF73739C-0F26-4FB1-8C76-2AEB50338152}"/>
    <cellStyle name="AggGreen12 3 2 2 2" xfId="1298" xr:uid="{661CA322-AF82-4370-B984-49D4EE88BDD0}"/>
    <cellStyle name="AggGreen12 3 2 2 3" xfId="1752" xr:uid="{5B2CCA6A-BD42-49AA-B71D-DE3727914752}"/>
    <cellStyle name="AggGreen12 3 2 2 4" xfId="2123" xr:uid="{AE552D04-549A-417B-AF78-96BC6A2BB94F}"/>
    <cellStyle name="AggGreen12 3 2 3" xfId="1483" xr:uid="{D0864309-D604-484C-A345-981E55DA4847}"/>
    <cellStyle name="AggGreen12 3 2 4" xfId="1545" xr:uid="{DA8425EB-7393-4F4E-9227-3B0F66622AA1}"/>
    <cellStyle name="AggGreen12 3 2 5" xfId="1917" xr:uid="{C4267EFE-BC04-42A8-B3E6-BF2420B1B6D8}"/>
    <cellStyle name="AggGreen12 3 3" xfId="744" xr:uid="{3D95877E-BD79-44DB-897A-CB2DEB3A43F2}"/>
    <cellStyle name="AggGreen12 3 3 2" xfId="1311" xr:uid="{56F57BF2-4B0A-4EC3-97D4-D3AEBFEAC634}"/>
    <cellStyle name="AggGreen12 3 3 3" xfId="1720" xr:uid="{E8A8FEAA-7C8E-4FA8-BDB7-BA3634075365}"/>
    <cellStyle name="AggGreen12 3 3 4" xfId="2091" xr:uid="{0C6DAA4A-6869-4F9A-BBD8-185F56A56962}"/>
    <cellStyle name="AggGreen12 4" xfId="295" xr:uid="{39EBB71E-5A9A-4A1E-86A8-B01218257DDB}"/>
    <cellStyle name="AggGreen12 4 2" xfId="634" xr:uid="{A113AEE4-DD3E-4826-B176-9FEC040A6431}"/>
    <cellStyle name="AggGreen12 4 2 2" xfId="849" xr:uid="{7A59778D-0F86-4FF8-893A-BC3173645430}"/>
    <cellStyle name="AggGreen12 4 2 2 2" xfId="1059" xr:uid="{9C849FAB-01A7-4062-85A4-7E75B65F31D5}"/>
    <cellStyle name="AggGreen12 4 2 2 3" xfId="1825" xr:uid="{55FC50A2-1ED2-4121-9CC4-C5CD61015061}"/>
    <cellStyle name="AggGreen12 4 2 2 4" xfId="2196" xr:uid="{34F8E36A-9FC0-4C97-9790-45208860D165}"/>
    <cellStyle name="AggGreen12 4 2 3" xfId="1416" xr:uid="{BE4777E9-D841-42D2-BF90-6468E5CB7BA0}"/>
    <cellStyle name="AggGreen12 4 2 4" xfId="1618" xr:uid="{35FEBAD8-896C-4731-94DE-DEDD31C8D20D}"/>
    <cellStyle name="AggGreen12 4 2 5" xfId="1990" xr:uid="{08744956-668C-49C4-9F10-14199F26F62A}"/>
    <cellStyle name="AggGreen12 4 3" xfId="686" xr:uid="{216C3024-F529-4283-BAF5-FD5629FC7FE8}"/>
    <cellStyle name="AggGreen12 4 3 2" xfId="901" xr:uid="{F77EB706-C797-4D2C-BDCF-27C4E8466194}"/>
    <cellStyle name="AggGreen12 4 3 2 2" xfId="1396" xr:uid="{2DD37E5F-A1D7-48EA-BC33-C2AB03ADAE2D}"/>
    <cellStyle name="AggGreen12 4 3 2 3" xfId="1877" xr:uid="{2FB53B3D-69FD-444E-9EE6-EC9A66BF759E}"/>
    <cellStyle name="AggGreen12 4 3 2 4" xfId="2248" xr:uid="{D1995E61-9136-48EF-AE98-E2DC272E7324}"/>
    <cellStyle name="AggGreen12 4 3 3" xfId="1192" xr:uid="{9EACF181-606C-40F7-9B0F-DEEF4177BD0B}"/>
    <cellStyle name="AggGreen12 4 3 4" xfId="1670" xr:uid="{E3ABF04E-AC45-4F35-BE6D-78044AD7A67A}"/>
    <cellStyle name="AggGreen12 4 3 5" xfId="2042" xr:uid="{6188196B-3C94-4C3C-8402-518BD6193BC4}"/>
    <cellStyle name="AggGreen12 4 4" xfId="697" xr:uid="{EDE79AC6-9FE3-4046-9E51-9A3766421FDB}"/>
    <cellStyle name="AggGreen12 4 4 2" xfId="912" xr:uid="{5699A08E-47B7-400B-A194-C3B451852AC3}"/>
    <cellStyle name="AggGreen12 4 4 2 2" xfId="1504" xr:uid="{DA94E4C1-5196-4A6B-B30E-7C73D0FF446D}"/>
    <cellStyle name="AggGreen12 4 4 2 3" xfId="1888" xr:uid="{2EAA1AD4-6336-47B7-8867-C54D93910614}"/>
    <cellStyle name="AggGreen12 4 4 2 4" xfId="2259" xr:uid="{71B4DAA8-9C5C-4F71-88E6-259993D3659F}"/>
    <cellStyle name="AggGreen12 4 4 3" xfId="1115" xr:uid="{7A921113-5F49-4CFF-B156-38C08FF7FFEE}"/>
    <cellStyle name="AggGreen12 4 4 4" xfId="1681" xr:uid="{3BCCF765-A365-4BE4-BACD-129B4E6FE4F9}"/>
    <cellStyle name="AggGreen12 4 4 5" xfId="2053" xr:uid="{6E28A342-317B-4185-ADDE-F15BF2BA206C}"/>
    <cellStyle name="AggGreen12 4 5" xfId="950" xr:uid="{E80FADE7-86E8-4FEE-8BB3-0ED8D8A9DD61}"/>
    <cellStyle name="AggGreen12 4 6" xfId="967" xr:uid="{556ADF92-B0A9-47B8-8018-6E49780B1301}"/>
    <cellStyle name="AggGreen12 4 7" xfId="1140" xr:uid="{D851084F-8665-4C87-80BA-9587D1272BD0}"/>
    <cellStyle name="AggGreen12 5" xfId="107" xr:uid="{5BB45D88-4CC5-460A-9B0E-03B2CCBE9569}"/>
    <cellStyle name="AggGreen12 6" xfId="2460" xr:uid="{A2498D8E-1B47-4489-AAD7-C291A63F9C14}"/>
    <cellStyle name="AggGreen12 7" xfId="2486" xr:uid="{F6340489-0C0A-42F4-8443-508D8B8551FE}"/>
    <cellStyle name="AggOrange" xfId="37" xr:uid="{4FCC05BB-B43D-4994-8795-E27CD7600401}"/>
    <cellStyle name="AggOrange 2" xfId="149" xr:uid="{E05277FF-0EB4-40E6-8C12-BBEEDCAF4D82}"/>
    <cellStyle name="AggOrange 2 2" xfId="440" xr:uid="{F155EA7D-0687-43C7-8E98-8D2F4156818A}"/>
    <cellStyle name="AggOrange 2 2 2" xfId="560" xr:uid="{527E5DC6-FB3A-4C0E-A47B-3CF878A5A6DE}"/>
    <cellStyle name="AggOrange 2 2 2 2" xfId="775" xr:uid="{7B96CB33-054B-493D-AAC1-168EC7B8C01D}"/>
    <cellStyle name="AggOrange 2 2 2 2 2" xfId="1071" xr:uid="{DB6B07F4-6E02-4028-B4A4-6825B392D715}"/>
    <cellStyle name="AggOrange 2 2 2 2 3" xfId="1751" xr:uid="{EA77BC1E-2778-4595-94CB-35290D1A82B3}"/>
    <cellStyle name="AggOrange 2 2 2 2 4" xfId="2122" xr:uid="{AF85E7E1-D218-4604-82F8-04E5BE451304}"/>
    <cellStyle name="AggOrange 2 2 2 3" xfId="1130" xr:uid="{4B5CB4FF-408C-47CE-98FC-92B97D16C2C6}"/>
    <cellStyle name="AggOrange 2 2 2 4" xfId="1544" xr:uid="{3F53207B-CE31-4C91-BF19-571E9CCD6399}"/>
    <cellStyle name="AggOrange 2 2 2 5" xfId="1916" xr:uid="{BDD23D61-30CB-4642-A2AD-5F8B49267717}"/>
    <cellStyle name="AggOrange 2 2 3" xfId="747" xr:uid="{5FBDBE9F-9BF3-4436-A492-120E4D4CB639}"/>
    <cellStyle name="AggOrange 2 2 3 2" xfId="1242" xr:uid="{182F8744-FE53-4201-9ADD-8C7F4E4512DA}"/>
    <cellStyle name="AggOrange 2 2 3 3" xfId="1723" xr:uid="{2B3C3A93-35E0-42F1-AABF-5823DE19172B}"/>
    <cellStyle name="AggOrange 2 2 3 4" xfId="2094" xr:uid="{96C6243B-E9F3-462F-B86F-46243E12ECD2}"/>
    <cellStyle name="AggOrange 2 3" xfId="298" xr:uid="{56C4110D-8E8F-48BE-B20F-9C092080D90C}"/>
    <cellStyle name="AggOrange 2 3 2" xfId="637" xr:uid="{B1F9B587-C656-4EFE-8531-5D20EB721B8F}"/>
    <cellStyle name="AggOrange 2 3 2 2" xfId="852" xr:uid="{9236379D-4F94-4E68-AA10-6F6A69B144EB}"/>
    <cellStyle name="AggOrange 2 3 2 2 2" xfId="1103" xr:uid="{7B402EF2-EB2B-46A9-B749-B5F0F4D727EC}"/>
    <cellStyle name="AggOrange 2 3 2 2 3" xfId="1828" xr:uid="{BDF7BCF9-F7E2-4B05-B64C-83124028A3A1}"/>
    <cellStyle name="AggOrange 2 3 2 2 4" xfId="2199" xr:uid="{67A2F98F-3630-4280-9234-9693F3B8173C}"/>
    <cellStyle name="AggOrange 2 3 2 3" xfId="1034" xr:uid="{A7B9F4F0-D7DA-41A2-A852-AA541B06770D}"/>
    <cellStyle name="AggOrange 2 3 2 4" xfId="1621" xr:uid="{9641775E-28AF-4BD4-9D97-9B6BC77810DD}"/>
    <cellStyle name="AggOrange 2 3 2 5" xfId="1993" xr:uid="{3AEBB90F-6877-4A3C-935D-4CE4BD3720D8}"/>
    <cellStyle name="AggOrange 2 3 3" xfId="544" xr:uid="{9106CC7E-9B3F-4153-995A-B24E742AB4AC}"/>
    <cellStyle name="AggOrange 2 3 3 2" xfId="759" xr:uid="{467EBD60-8628-4C9B-AD88-67FE1CA1EB0E}"/>
    <cellStyle name="AggOrange 2 3 3 2 2" xfId="1398" xr:uid="{7C81ED11-E63C-4EEA-8F20-5AA6C9DF3496}"/>
    <cellStyle name="AggOrange 2 3 3 2 3" xfId="1735" xr:uid="{95389624-1D7B-4CAF-BE2F-73A7A7AEB44A}"/>
    <cellStyle name="AggOrange 2 3 3 2 4" xfId="2106" xr:uid="{D1914573-70FD-4826-B08D-7C541CC62F88}"/>
    <cellStyle name="AggOrange 2 3 3 3" xfId="1125" xr:uid="{9D003C1C-F62C-4736-A9BD-5D160641F65D}"/>
    <cellStyle name="AggOrange 2 3 3 4" xfId="1528" xr:uid="{951F25C8-BBB6-4EAB-9E86-F9FC6B2BAD1A}"/>
    <cellStyle name="AggOrange 2 3 3 5" xfId="1900" xr:uid="{1DD2891D-6A5A-4946-A477-3244D750083C}"/>
    <cellStyle name="AggOrange 2 3 4" xfId="559" xr:uid="{4A24122B-20B9-49FA-ACB7-9AC701070A58}"/>
    <cellStyle name="AggOrange 2 3 4 2" xfId="774" xr:uid="{4485AB6D-507C-443A-A4D4-41411E76F28E}"/>
    <cellStyle name="AggOrange 2 3 4 2 2" xfId="1269" xr:uid="{E6FD6A0E-E011-4030-8581-E98DD4D19B48}"/>
    <cellStyle name="AggOrange 2 3 4 2 3" xfId="1750" xr:uid="{493A8F11-EBF8-4FF7-AE54-2D84D4B0F39E}"/>
    <cellStyle name="AggOrange 2 3 4 2 4" xfId="2121" xr:uid="{916A54BD-BCE8-4D83-9F2C-1A031B83F2CD}"/>
    <cellStyle name="AggOrange 2 3 4 3" xfId="1492" xr:uid="{12084443-05DF-4AF3-89CA-4A08D8911EFD}"/>
    <cellStyle name="AggOrange 2 3 4 4" xfId="1543" xr:uid="{A46BFF8B-C1E7-41D1-BEB8-8A5A37B4CF22}"/>
    <cellStyle name="AggOrange 2 3 4 5" xfId="1915" xr:uid="{ED1645BF-5E97-4738-80EE-6EA4391A48EC}"/>
    <cellStyle name="AggOrange 2 3 5" xfId="1107" xr:uid="{26C64B65-76B3-4900-8E56-794B91BCD9A6}"/>
    <cellStyle name="AggOrange 2 3 6" xfId="1445" xr:uid="{C96AD43B-D21A-4FB0-8DA4-3982DFD2B47A}"/>
    <cellStyle name="AggOrange 2 3 7" xfId="1380" xr:uid="{C4B9266F-A186-4148-85AE-6094648D43DA}"/>
    <cellStyle name="AggOrange 3" xfId="439" xr:uid="{FE7A566E-9744-420B-8BE9-625B830DA360}"/>
    <cellStyle name="AggOrange 3 2" xfId="679" xr:uid="{C6D7A7C2-4B7D-4946-8DD1-67B6395277EB}"/>
    <cellStyle name="AggOrange 3 2 2" xfId="894" xr:uid="{BDC57467-9D9F-49D9-993E-6B7ADFF174D6}"/>
    <cellStyle name="AggOrange 3 2 2 2" xfId="1246" xr:uid="{E288DF2C-CCF1-462F-B5F6-C4707F38E3CE}"/>
    <cellStyle name="AggOrange 3 2 2 3" xfId="1870" xr:uid="{85042139-009C-4199-B726-6CB50E63B1D7}"/>
    <cellStyle name="AggOrange 3 2 2 4" xfId="2241" xr:uid="{F0676322-33BD-4D56-AB7B-C004E607E19D}"/>
    <cellStyle name="AggOrange 3 2 3" xfId="1283" xr:uid="{79F13C6D-D280-4F9B-BB5E-F79253913563}"/>
    <cellStyle name="AggOrange 3 2 4" xfId="1663" xr:uid="{9E337426-43D4-44C8-BC88-5D377C4D709E}"/>
    <cellStyle name="AggOrange 3 2 5" xfId="2035" xr:uid="{2B946CB6-6FD8-41C4-9515-77C4BD68E3BE}"/>
    <cellStyle name="AggOrange 3 3" xfId="746" xr:uid="{5DD8E925-3811-4804-BE7D-AD53CEB07977}"/>
    <cellStyle name="AggOrange 3 3 2" xfId="1032" xr:uid="{CB329C0D-423B-4F9E-A278-1F8438D76884}"/>
    <cellStyle name="AggOrange 3 3 3" xfId="1722" xr:uid="{0AB92725-A1E1-45EC-A75D-892EBDFAB541}"/>
    <cellStyle name="AggOrange 3 3 4" xfId="2093" xr:uid="{3FAF46AC-E408-411A-8C04-1B0052A2601C}"/>
    <cellStyle name="AggOrange 4" xfId="297" xr:uid="{9264F6DF-AD34-4310-A150-45554B5DA23A}"/>
    <cellStyle name="AggOrange 4 2" xfId="636" xr:uid="{92B40C69-80C7-489B-8C9E-06013E0B971D}"/>
    <cellStyle name="AggOrange 4 2 2" xfId="851" xr:uid="{75DCF04E-35AC-4D47-84F8-C00FF2241CB6}"/>
    <cellStyle name="AggOrange 4 2 2 2" xfId="1223" xr:uid="{C669EDC4-33EE-4D6C-80DF-C49CFF611E1B}"/>
    <cellStyle name="AggOrange 4 2 2 3" xfId="1827" xr:uid="{04C587D4-0C8E-452C-A962-743BF7D7542E}"/>
    <cellStyle name="AggOrange 4 2 2 4" xfId="2198" xr:uid="{4A4F727E-BE37-4E22-B0CE-34FAA736D064}"/>
    <cellStyle name="AggOrange 4 2 3" xfId="1203" xr:uid="{90D8E413-2C11-4B32-B016-EC022B2DD4D0}"/>
    <cellStyle name="AggOrange 4 2 4" xfId="1620" xr:uid="{284A764B-070A-4C42-A2AE-5009F0F15140}"/>
    <cellStyle name="AggOrange 4 2 5" xfId="1992" xr:uid="{F6D625B6-630B-41D9-94C9-A5A73ABC98F4}"/>
    <cellStyle name="AggOrange 4 3" xfId="625" xr:uid="{AAC437F7-5B0B-4558-81CF-9E3350B5A46F}"/>
    <cellStyle name="AggOrange 4 3 2" xfId="840" xr:uid="{110A30CE-4BA5-4D86-AEF0-6B8C32B0DB6F}"/>
    <cellStyle name="AggOrange 4 3 2 2" xfId="937" xr:uid="{C8461EF0-2DCD-4CAB-973D-CAF253CA3F6B}"/>
    <cellStyle name="AggOrange 4 3 2 3" xfId="1816" xr:uid="{01E094BF-B202-423F-B268-F28339056C5C}"/>
    <cellStyle name="AggOrange 4 3 2 4" xfId="2187" xr:uid="{D3EFF419-AC26-49AD-8A39-AABCCF3B2AE1}"/>
    <cellStyle name="AggOrange 4 3 3" xfId="963" xr:uid="{C0F86F71-D081-45D2-A5E7-A93C34F37C67}"/>
    <cellStyle name="AggOrange 4 3 4" xfId="1609" xr:uid="{487FFC5D-E00F-4075-88B9-1060C6BBC7B4}"/>
    <cellStyle name="AggOrange 4 3 5" xfId="1981" xr:uid="{26AF91FD-EB44-4F8A-8828-7EE2B9A47A12}"/>
    <cellStyle name="AggOrange 4 4" xfId="599" xr:uid="{FEB22B86-AB5E-4379-A8F7-56097F63F9B8}"/>
    <cellStyle name="AggOrange 4 4 2" xfId="814" xr:uid="{03D84A98-ACEC-46C7-B054-C6CBE9ACCB8B}"/>
    <cellStyle name="AggOrange 4 4 2 2" xfId="1181" xr:uid="{0095AAAE-C341-475D-A4F1-74266ED26ADD}"/>
    <cellStyle name="AggOrange 4 4 2 3" xfId="1790" xr:uid="{A06DA237-3C18-435F-9CD4-BCFEC2977322}"/>
    <cellStyle name="AggOrange 4 4 2 4" xfId="2161" xr:uid="{07170336-A8E4-47E0-A297-D0395133626D}"/>
    <cellStyle name="AggOrange 4 4 3" xfId="184" xr:uid="{0DD6AB2D-E01F-48F1-9E30-EC001146F24E}"/>
    <cellStyle name="AggOrange 4 4 4" xfId="1583" xr:uid="{B9EF05C2-2056-44FA-9F17-83F614BD9923}"/>
    <cellStyle name="AggOrange 4 4 5" xfId="1955" xr:uid="{854226D7-B7A4-4031-BCC6-F209F2CE736E}"/>
    <cellStyle name="AggOrange 4 5" xfId="1135" xr:uid="{E9839948-1494-4EB5-8E53-2D55D8B6F41A}"/>
    <cellStyle name="AggOrange 4 6" xfId="1386" xr:uid="{5EE7A5F6-3736-4BEC-81E3-7879AF1C99C0}"/>
    <cellStyle name="AggOrange 4 7" xfId="1526" xr:uid="{3072050D-97BD-4011-B47E-BB62CA4DBA8D}"/>
    <cellStyle name="AggOrange 5" xfId="103" xr:uid="{DBD75404-71EF-465B-9040-56B710F66A58}"/>
    <cellStyle name="AggOrange 6" xfId="2455" xr:uid="{F560F30B-5335-4893-A7AF-135F9D27D17E}"/>
    <cellStyle name="AggOrange 7" xfId="2475" xr:uid="{C80618BF-1881-43E8-8C39-77CC1639B061}"/>
    <cellStyle name="AggOrange_B_border" xfId="49" xr:uid="{E15320BA-4720-45A2-BB64-A1F5BD6FF701}"/>
    <cellStyle name="AggOrange9" xfId="36" xr:uid="{2374663A-C202-4087-B51D-B49F66B1F722}"/>
    <cellStyle name="AggOrange9 2" xfId="150" xr:uid="{603FB98E-FA34-4F8E-BA0E-510D17B4DE7B}"/>
    <cellStyle name="AggOrange9 2 2" xfId="442" xr:uid="{60241ACB-4596-4B8B-89C6-B4FA5AF1012D}"/>
    <cellStyle name="AggOrange9 2 2 2" xfId="678" xr:uid="{E9B6B743-CE5D-4E3E-B6F0-19C079FF0F8F}"/>
    <cellStyle name="AggOrange9 2 2 2 2" xfId="893" xr:uid="{5969AF5A-4B3D-4CB4-A55D-517855B3503A}"/>
    <cellStyle name="AggOrange9 2 2 2 2 2" xfId="1190" xr:uid="{4A0CC885-1D70-42CB-877F-3DE5D006A82D}"/>
    <cellStyle name="AggOrange9 2 2 2 2 3" xfId="1869" xr:uid="{2157F8B3-D4C3-4631-BA8D-110F68F149AD}"/>
    <cellStyle name="AggOrange9 2 2 2 2 4" xfId="2240" xr:uid="{936262AB-135C-42D8-AD8E-DD7CC33440C6}"/>
    <cellStyle name="AggOrange9 2 2 2 3" xfId="1337" xr:uid="{4B89A4F9-0B0F-4BD0-A406-FC83C7C42660}"/>
    <cellStyle name="AggOrange9 2 2 2 4" xfId="1662" xr:uid="{7D525A2C-A6C0-4A88-B03B-FDC39E9468F5}"/>
    <cellStyle name="AggOrange9 2 2 2 5" xfId="2034" xr:uid="{E3B4CE7A-2A83-4341-A526-2D1C83DDC8A8}"/>
    <cellStyle name="AggOrange9 2 2 3" xfId="749" xr:uid="{01E93C3F-FDFC-4FCE-9E57-CAE203880A08}"/>
    <cellStyle name="AggOrange9 2 2 3 2" xfId="1027" xr:uid="{109074AE-1232-4D50-8BE0-E555FAD3D162}"/>
    <cellStyle name="AggOrange9 2 2 3 3" xfId="1725" xr:uid="{3C193121-4391-47A8-83EC-C428EBDD4358}"/>
    <cellStyle name="AggOrange9 2 2 3 4" xfId="2096" xr:uid="{7D0B25C2-671E-4FF3-8089-34C97FF48F3A}"/>
    <cellStyle name="AggOrange9 2 3" xfId="300" xr:uid="{563D7D62-A7AC-47E7-BC3D-9F1CB504EF60}"/>
    <cellStyle name="AggOrange9 2 3 2" xfId="639" xr:uid="{467835B9-BD0B-48BD-A9EF-BEF76ADE3E47}"/>
    <cellStyle name="AggOrange9 2 3 2 2" xfId="854" xr:uid="{0025C5B5-A0EC-4F1B-BC09-76AEC9512EAD}"/>
    <cellStyle name="AggOrange9 2 3 2 2 2" xfId="1188" xr:uid="{849854F3-B35C-4101-B366-3E1F93BC2621}"/>
    <cellStyle name="AggOrange9 2 3 2 2 3" xfId="1830" xr:uid="{49B6BBFA-3BA4-4F27-B4BC-AA0DB512ADBB}"/>
    <cellStyle name="AggOrange9 2 3 2 2 4" xfId="2201" xr:uid="{B43E7B99-74CC-4FBB-950B-A9F8FF28864D}"/>
    <cellStyle name="AggOrange9 2 3 2 3" xfId="1098" xr:uid="{C94294A6-38F8-4D5F-A8E6-2208CC0A9869}"/>
    <cellStyle name="AggOrange9 2 3 2 4" xfId="1623" xr:uid="{B24073D8-1EFB-4A10-B814-CF4CF9104BC5}"/>
    <cellStyle name="AggOrange9 2 3 2 5" xfId="1995" xr:uid="{9231A20B-B20D-4C25-9DCB-9DA5D95EC407}"/>
    <cellStyle name="AggOrange9 2 3 3" xfId="685" xr:uid="{ABB99BBB-CD87-4F00-8B4B-32B2DC99BB16}"/>
    <cellStyle name="AggOrange9 2 3 3 2" xfId="900" xr:uid="{15DE3FAC-1607-4CFF-ADD9-DEA400767010}"/>
    <cellStyle name="AggOrange9 2 3 3 2 2" xfId="1271" xr:uid="{A6C05170-85F6-426B-A0BE-F381EC3900B6}"/>
    <cellStyle name="AggOrange9 2 3 3 2 3" xfId="1876" xr:uid="{9DDD5208-A0AF-4C33-8446-2233EB15AA26}"/>
    <cellStyle name="AggOrange9 2 3 3 2 4" xfId="2247" xr:uid="{0D8C8343-DD53-440E-B7C6-1C25E7F5FAFA}"/>
    <cellStyle name="AggOrange9 2 3 3 3" xfId="1400" xr:uid="{B1D5FADB-67D9-4DDE-A280-28EB98E15A63}"/>
    <cellStyle name="AggOrange9 2 3 3 4" xfId="1669" xr:uid="{4E7109FD-C0B5-4AF4-8845-2744AEFEE63C}"/>
    <cellStyle name="AggOrange9 2 3 3 5" xfId="2041" xr:uid="{31D7EA71-EA96-4A37-9253-54E53F67BBBD}"/>
    <cellStyle name="AggOrange9 2 3 4" xfId="699" xr:uid="{0DBB9906-A575-4B28-A1C1-35CBEB571334}"/>
    <cellStyle name="AggOrange9 2 3 4 2" xfId="914" xr:uid="{1848B1DB-95E7-42FF-856D-4ECB4A84653E}"/>
    <cellStyle name="AggOrange9 2 3 4 2 2" xfId="1506" xr:uid="{5C1D0E76-48B2-4132-B712-CABB2CBB35A8}"/>
    <cellStyle name="AggOrange9 2 3 4 2 3" xfId="1890" xr:uid="{D8E09A96-EC5A-48AF-B4D5-4BB7980818FC}"/>
    <cellStyle name="AggOrange9 2 3 4 2 4" xfId="2261" xr:uid="{02B54FF5-BEBD-4F66-B8E6-03C7C0F1C67C}"/>
    <cellStyle name="AggOrange9 2 3 4 3" xfId="1408" xr:uid="{04B655A9-E471-4CFA-98E3-84589104C5FF}"/>
    <cellStyle name="AggOrange9 2 3 4 4" xfId="1683" xr:uid="{A412819B-7475-44B9-A116-04AB6999D01F}"/>
    <cellStyle name="AggOrange9 2 3 4 5" xfId="2055" xr:uid="{A267985A-5CA4-44EA-858D-98DE20413BE8}"/>
    <cellStyle name="AggOrange9 2 3 5" xfId="1331" xr:uid="{4BBCD02A-5E16-4657-95B1-45D50ED05700}"/>
    <cellStyle name="AggOrange9 2 3 6" xfId="1461" xr:uid="{4BABEC0C-49AC-4FDF-B3E6-EDF8706BAF5A}"/>
    <cellStyle name="AggOrange9 2 3 7" xfId="968" xr:uid="{F00177BF-83C0-40A5-9EFD-F07C32DBFDFC}"/>
    <cellStyle name="AggOrange9 3" xfId="441" xr:uid="{59FAFDA1-BA3B-4A4E-85FC-8F76DA59E543}"/>
    <cellStyle name="AggOrange9 3 2" xfId="630" xr:uid="{014FA9AC-9480-4697-BE7D-33CA4AF40B67}"/>
    <cellStyle name="AggOrange9 3 2 2" xfId="845" xr:uid="{8E4618DE-F0FB-4C79-AE9B-9878815B54F6}"/>
    <cellStyle name="AggOrange9 3 2 2 2" xfId="1171" xr:uid="{D32A28E1-15C4-45C9-BF66-1A5E3D7B8509}"/>
    <cellStyle name="AggOrange9 3 2 2 3" xfId="1821" xr:uid="{F91D5401-A393-496C-8D75-80458C11420E}"/>
    <cellStyle name="AggOrange9 3 2 2 4" xfId="2192" xr:uid="{3A15434C-8F99-4FF6-94AF-FCFB8A5BBD43}"/>
    <cellStyle name="AggOrange9 3 2 3" xfId="1371" xr:uid="{F58B819D-2A5B-491C-8F47-39B06D2C32C9}"/>
    <cellStyle name="AggOrange9 3 2 4" xfId="1614" xr:uid="{82C6ADAB-5036-4D21-9B16-EC378044DDB5}"/>
    <cellStyle name="AggOrange9 3 2 5" xfId="1986" xr:uid="{F6902B7A-E059-4AE2-B642-792886BE1754}"/>
    <cellStyle name="AggOrange9 3 3" xfId="748" xr:uid="{242B4DA3-8A53-4C97-89A1-C2D1291926BF}"/>
    <cellStyle name="AggOrange9 3 3 2" xfId="1345" xr:uid="{90FF341E-D26B-441B-A190-36914527CCB0}"/>
    <cellStyle name="AggOrange9 3 3 3" xfId="1724" xr:uid="{72048D57-4E68-4D9E-BA1E-1BE81C609C90}"/>
    <cellStyle name="AggOrange9 3 3 4" xfId="2095" xr:uid="{BF80DBDC-A386-4EFD-BED5-09DA372A7826}"/>
    <cellStyle name="AggOrange9 4" xfId="299" xr:uid="{BBC456BB-93CE-4D31-AF49-A0CC1FDB5229}"/>
    <cellStyle name="AggOrange9 4 2" xfId="638" xr:uid="{0CFBA1CF-4401-494C-84D8-42491BE4BB90}"/>
    <cellStyle name="AggOrange9 4 2 2" xfId="853" xr:uid="{FE99EC86-818C-4924-964D-E222907C81B1}"/>
    <cellStyle name="AggOrange9 4 2 2 2" xfId="1245" xr:uid="{C1AB77E2-A00D-4902-AEE8-6D3D4406E1A2}"/>
    <cellStyle name="AggOrange9 4 2 2 3" xfId="1829" xr:uid="{48E05E4D-9C9B-4F5A-A54B-8EFBA60B8153}"/>
    <cellStyle name="AggOrange9 4 2 2 4" xfId="2200" xr:uid="{D103D04B-A995-43C0-BE36-8C18672D02A5}"/>
    <cellStyle name="AggOrange9 4 2 3" xfId="1093" xr:uid="{2C93DEB7-3168-48E7-9273-A0C889941C36}"/>
    <cellStyle name="AggOrange9 4 2 4" xfId="1622" xr:uid="{8255F7B4-115E-45D5-AA5D-EF7D062449F7}"/>
    <cellStyle name="AggOrange9 4 2 5" xfId="1994" xr:uid="{D10C8203-5305-4CA9-BE86-F2C37F8DA1B6}"/>
    <cellStyle name="AggOrange9 4 3" xfId="583" xr:uid="{E9795F8C-EA5B-471B-B8C8-1D7D69D7AA3B}"/>
    <cellStyle name="AggOrange9 4 3 2" xfId="798" xr:uid="{DCBDC8E3-CA44-4699-BB7E-1C6F99C6AFBC}"/>
    <cellStyle name="AggOrange9 4 3 2 2" xfId="1227" xr:uid="{3B5D33E9-4B45-43B1-8D7A-A7A1829A686D}"/>
    <cellStyle name="AggOrange9 4 3 2 3" xfId="1774" xr:uid="{BE9BA349-04A6-4377-90E0-3474BD070201}"/>
    <cellStyle name="AggOrange9 4 3 2 4" xfId="2145" xr:uid="{E481100E-01B3-4CBF-A7EF-FEA63E65A049}"/>
    <cellStyle name="AggOrange9 4 3 3" xfId="1417" xr:uid="{C51A9AB8-CE0B-4B74-AE37-6FB536C677E2}"/>
    <cellStyle name="AggOrange9 4 3 4" xfId="1567" xr:uid="{3817DE51-0866-4BF3-9833-EDB135C8CEF7}"/>
    <cellStyle name="AggOrange9 4 3 5" xfId="1939" xr:uid="{A22B6F7F-E232-43E8-8BAA-B3E2BF0587E4}"/>
    <cellStyle name="AggOrange9 4 4" xfId="629" xr:uid="{A51ADE7E-C75E-4003-80F9-44DE51CFA146}"/>
    <cellStyle name="AggOrange9 4 4 2" xfId="844" xr:uid="{37FDD23F-04EF-4194-AF2C-8369AF16FC04}"/>
    <cellStyle name="AggOrange9 4 4 2 2" xfId="959" xr:uid="{04C2071E-9851-45FE-BCB5-BE8C36373E87}"/>
    <cellStyle name="AggOrange9 4 4 2 3" xfId="1820" xr:uid="{E0D46DA4-508D-4EC8-B081-3CFE904EECBB}"/>
    <cellStyle name="AggOrange9 4 4 2 4" xfId="2191" xr:uid="{0993FC8F-3186-410F-902D-26E00676253C}"/>
    <cellStyle name="AggOrange9 4 4 3" xfId="76" xr:uid="{9FAFF499-D3AA-46ED-A1B2-9290D61FB6FA}"/>
    <cellStyle name="AggOrange9 4 4 4" xfId="1613" xr:uid="{13ABAF1C-902F-4A18-B37E-165E9B7E41D2}"/>
    <cellStyle name="AggOrange9 4 4 5" xfId="1985" xr:uid="{690B1EB6-BE91-432A-90BA-27074CAB091D}"/>
    <cellStyle name="AggOrange9 4 5" xfId="1446" xr:uid="{FC03BE67-869D-4261-B162-01314F1DF8DF}"/>
    <cellStyle name="AggOrange9 4 6" xfId="1477" xr:uid="{77D44748-37A5-44D5-9789-F6A31D77BCBF}"/>
    <cellStyle name="AggOrange9 4 7" xfId="1406" xr:uid="{10009146-CB3B-4079-8BA6-FFD8A11960EF}"/>
    <cellStyle name="AggOrange9 5" xfId="102" xr:uid="{AA02E4E7-76B9-4DD2-ACCA-E85B4405EFF4}"/>
    <cellStyle name="AggOrange9 6" xfId="2454" xr:uid="{D646669F-FC8E-4E7B-81ED-8C3AFE5942CD}"/>
    <cellStyle name="AggOrange9 7" xfId="2474" xr:uid="{E5F7B825-9152-4F73-B253-E9F293106863}"/>
    <cellStyle name="AggOrangeLB_2x" xfId="48" xr:uid="{7DF595DE-2150-4462-8AA8-30296E6EE412}"/>
    <cellStyle name="AggOrangeLBorder" xfId="50" xr:uid="{0B299D36-E61B-46F1-BC62-BD7A01AAF738}"/>
    <cellStyle name="AggOrangeLBorder 2" xfId="151" xr:uid="{D3A619F3-4D08-422A-90E3-76E5C41931A0}"/>
    <cellStyle name="AggOrangeLBorder 2 2" xfId="444" xr:uid="{5CF99B45-30CD-4422-87E7-5CCDAD23452C}"/>
    <cellStyle name="AggOrangeLBorder 2 3" xfId="302" xr:uid="{FBC5DF84-A6A3-4FA3-87D5-5A5A08D70B1D}"/>
    <cellStyle name="AggOrangeLBorder 2 3 2" xfId="641" xr:uid="{17BAC487-B103-485C-A341-9937F3456434}"/>
    <cellStyle name="AggOrangeLBorder 2 3 2 2" xfId="856" xr:uid="{B37F8B91-09DB-4A6C-867E-DA7674FEF9C8}"/>
    <cellStyle name="AggOrangeLBorder 2 3 2 2 2" xfId="1045" xr:uid="{387F6311-BA27-44BE-BCCC-F4071F8AA864}"/>
    <cellStyle name="AggOrangeLBorder 2 3 2 2 3" xfId="1832" xr:uid="{620EDF80-E2D7-43F3-8EB0-CAC215100F7A}"/>
    <cellStyle name="AggOrangeLBorder 2 3 2 2 4" xfId="2203" xr:uid="{28D455A7-B049-4B60-841C-22B69A47EDB5}"/>
    <cellStyle name="AggOrangeLBorder 2 3 2 3" xfId="1444" xr:uid="{27E7C667-A1B7-4D56-AD42-EF1FE000D142}"/>
    <cellStyle name="AggOrangeLBorder 2 3 2 4" xfId="1625" xr:uid="{414E4828-A914-4106-9018-55E60CB5A09F}"/>
    <cellStyle name="AggOrangeLBorder 2 3 2 5" xfId="1997" xr:uid="{6999D2C5-FE9B-4699-AE5C-1A368F6EAA77}"/>
    <cellStyle name="AggOrangeLBorder 2 3 3" xfId="581" xr:uid="{BBBB8A5A-3DED-4474-BEA4-0D2FA8A57D1E}"/>
    <cellStyle name="AggOrangeLBorder 2 3 3 2" xfId="796" xr:uid="{1FFF6007-B16C-4613-84ED-6607DA846077}"/>
    <cellStyle name="AggOrangeLBorder 2 3 3 2 2" xfId="1050" xr:uid="{1D85F458-5B71-448A-A79F-480D9D514A97}"/>
    <cellStyle name="AggOrangeLBorder 2 3 3 2 3" xfId="1772" xr:uid="{43596D4F-0C0E-4B62-8FE5-8538FBDDC73D}"/>
    <cellStyle name="AggOrangeLBorder 2 3 3 2 4" xfId="2143" xr:uid="{CE94E9E5-585F-4CF3-A373-B8C2BE2A949E}"/>
    <cellStyle name="AggOrangeLBorder 2 3 3 3" xfId="1433" xr:uid="{D38DE1D0-1E3A-4634-A059-4D3E511B4CF2}"/>
    <cellStyle name="AggOrangeLBorder 2 3 3 4" xfId="1565" xr:uid="{7A78A5E3-D57C-4266-B051-E54681582089}"/>
    <cellStyle name="AggOrangeLBorder 2 3 3 5" xfId="1937" xr:uid="{2FB0F01B-EF81-42BA-8D31-205B1F47A67B}"/>
    <cellStyle name="AggOrangeLBorder 2 3 4" xfId="607" xr:uid="{614EEE34-B8FD-4C71-AB04-01CC72DAC6DD}"/>
    <cellStyle name="AggOrangeLBorder 2 3 4 2" xfId="822" xr:uid="{9F926E52-5217-4701-A004-F043923E6CA9}"/>
    <cellStyle name="AggOrangeLBorder 2 3 4 2 2" xfId="1187" xr:uid="{794C96A0-5AED-40BE-B716-2EB1A948CA4F}"/>
    <cellStyle name="AggOrangeLBorder 2 3 4 2 3" xfId="1798" xr:uid="{B560D935-DBB2-4C12-B3BF-62086947B4BB}"/>
    <cellStyle name="AggOrangeLBorder 2 3 4 2 4" xfId="2169" xr:uid="{916B7039-4646-4DDE-AA00-D62BA084D5CE}"/>
    <cellStyle name="AggOrangeLBorder 2 3 4 3" xfId="1342" xr:uid="{538869AA-E0A0-4EEE-AFAA-B74F9C32F550}"/>
    <cellStyle name="AggOrangeLBorder 2 3 4 4" xfId="1591" xr:uid="{DC2487C4-5681-4F55-B8B0-0510E26CB1D8}"/>
    <cellStyle name="AggOrangeLBorder 2 3 4 5" xfId="1963" xr:uid="{9289AC3C-6C45-4869-B20E-6A1F8BC1682B}"/>
    <cellStyle name="AggOrangeLBorder 2 3 5" xfId="727" xr:uid="{71743BE1-5380-4E30-AEA3-47194F508BD7}"/>
    <cellStyle name="AggOrangeLBorder 2 3 6" xfId="1056" xr:uid="{1A5ABE1C-03FF-43F9-A1F6-542A54C6CFA9}"/>
    <cellStyle name="AggOrangeLBorder 2 3 7" xfId="1432" xr:uid="{C8394893-DC52-4C39-BFB1-153C5D6A2523}"/>
    <cellStyle name="AggOrangeLBorder 2 3 8" xfId="1326" xr:uid="{709B4347-AEDB-41B5-90A1-A8A374E42BDE}"/>
    <cellStyle name="AggOrangeLBorder 3" xfId="443" xr:uid="{7C7824A4-CF92-42D0-B8EB-FFCD83649D37}"/>
    <cellStyle name="AggOrangeLBorder 4" xfId="301" xr:uid="{C99BC778-0547-4FEE-8396-69D6A8FF5766}"/>
    <cellStyle name="AggOrangeLBorder 4 2" xfId="640" xr:uid="{65AEDE57-EECB-4D0B-806F-106DF44B82D4}"/>
    <cellStyle name="AggOrangeLBorder 4 2 2" xfId="855" xr:uid="{48011B5A-5560-4D05-8342-49E8B7FAA43F}"/>
    <cellStyle name="AggOrangeLBorder 4 2 2 2" xfId="1244" xr:uid="{4E1D4A18-FA8D-417C-8E0E-AB336B51E921}"/>
    <cellStyle name="AggOrangeLBorder 4 2 2 3" xfId="1831" xr:uid="{F778558F-DA80-457B-ABA0-6AA77FFC7A9C}"/>
    <cellStyle name="AggOrangeLBorder 4 2 2 4" xfId="2202" xr:uid="{425D2635-02D6-417F-8EC9-32C5B6A0ADF6}"/>
    <cellStyle name="AggOrangeLBorder 4 2 3" xfId="1121" xr:uid="{74D03373-0B51-46C7-B046-D37C36BDC7B7}"/>
    <cellStyle name="AggOrangeLBorder 4 2 4" xfId="1624" xr:uid="{E58F304F-BCD1-47FC-A779-451B80F36AE7}"/>
    <cellStyle name="AggOrangeLBorder 4 2 5" xfId="1996" xr:uid="{DF28257C-021E-4460-AAEB-A673BD744D09}"/>
    <cellStyle name="AggOrangeLBorder 4 3" xfId="582" xr:uid="{24CFFEA2-458E-40EC-A2F1-5957880ABCDB}"/>
    <cellStyle name="AggOrangeLBorder 4 3 2" xfId="797" xr:uid="{B425CEA1-A7EC-42B7-98AF-C2ECAFA0960F}"/>
    <cellStyle name="AggOrangeLBorder 4 3 2 2" xfId="1256" xr:uid="{D12E3F38-54DA-418A-96A9-149DBD8F0B55}"/>
    <cellStyle name="AggOrangeLBorder 4 3 2 3" xfId="1773" xr:uid="{A32D9F6F-8CD9-41D1-9973-C867E3E1F127}"/>
    <cellStyle name="AggOrangeLBorder 4 3 2 4" xfId="2144" xr:uid="{AB9B578D-5865-4019-8EA9-43C261059536}"/>
    <cellStyle name="AggOrangeLBorder 4 3 3" xfId="1251" xr:uid="{519DBBF7-ACBA-475B-9A2B-5F67CE67940A}"/>
    <cellStyle name="AggOrangeLBorder 4 3 4" xfId="1566" xr:uid="{A9CD8269-8609-41EE-ABB6-9B9C27EF29E1}"/>
    <cellStyle name="AggOrangeLBorder 4 3 5" xfId="1938" xr:uid="{600F951F-2600-4183-82E8-EDC1C5317B09}"/>
    <cellStyle name="AggOrangeLBorder 4 4" xfId="603" xr:uid="{68A9B76C-1D9D-42D4-A959-F10B43C6E345}"/>
    <cellStyle name="AggOrangeLBorder 4 4 2" xfId="818" xr:uid="{94882BC2-DF1B-4409-8F50-20CFD9351362}"/>
    <cellStyle name="AggOrangeLBorder 4 4 2 2" xfId="1043" xr:uid="{32FAB5D6-06FA-45DD-9DF2-E18738CC1C9B}"/>
    <cellStyle name="AggOrangeLBorder 4 4 2 3" xfId="1794" xr:uid="{04ED4E56-5886-4E12-818A-B61F9D4CDD94}"/>
    <cellStyle name="AggOrangeLBorder 4 4 2 4" xfId="2165" xr:uid="{B248335E-3123-4C25-9128-F260329AA880}"/>
    <cellStyle name="AggOrangeLBorder 4 4 3" xfId="1306" xr:uid="{018AA749-29B6-4CB6-8DCC-E2822E3A4E5F}"/>
    <cellStyle name="AggOrangeLBorder 4 4 4" xfId="1587" xr:uid="{9766F59D-F934-41F1-965F-38BC60EDAF5B}"/>
    <cellStyle name="AggOrangeLBorder 4 4 5" xfId="1959" xr:uid="{DCC8C764-3922-4793-8A5F-977A73EC8988}"/>
    <cellStyle name="AggOrangeLBorder 4 5" xfId="726" xr:uid="{0D05B241-FDE9-466E-AA37-7418E63935E7}"/>
    <cellStyle name="AggOrangeLBorder 4 6" xfId="1052" xr:uid="{9563C30B-2E42-4AF1-9BD1-EBEB156BE6AA}"/>
    <cellStyle name="AggOrangeLBorder 4 7" xfId="1394" xr:uid="{64A659FA-0EE4-4CCA-B1AC-D72A5472A4E7}"/>
    <cellStyle name="AggOrangeLBorder 4 8" xfId="1322" xr:uid="{8B5FDD08-2363-4BDB-9F9F-E100EE3FF1B9}"/>
    <cellStyle name="AggOrangeLBorder 5" xfId="110" xr:uid="{13BDAFC3-4F71-4DE2-9F17-EAE6EE9CC5A8}"/>
    <cellStyle name="AggOrangeLBorder 6" xfId="2463" xr:uid="{3AB2B4BA-0BCC-4348-8E9A-3379899BA263}"/>
    <cellStyle name="AggOrangeRBorder" xfId="39" xr:uid="{63D346A9-4E02-402F-9BF3-6A8AC8AC34BC}"/>
    <cellStyle name="AggOrangeRBorder 2" xfId="152" xr:uid="{1B138899-A85A-49F3-8756-35C8609C9AEA}"/>
    <cellStyle name="AggOrangeRBorder 2 2" xfId="446" xr:uid="{4CDD8BB2-57C7-4550-BE5F-797C5DC41DFB}"/>
    <cellStyle name="AggOrangeRBorder 2 2 2" xfId="558" xr:uid="{3628B899-1A22-40BE-B8E7-600CF02B65E3}"/>
    <cellStyle name="AggOrangeRBorder 2 2 2 2" xfId="773" xr:uid="{3408FFFC-BAF8-45A0-874E-A56219A1932F}"/>
    <cellStyle name="AggOrangeRBorder 2 2 2 2 2" xfId="975" xr:uid="{A47D56FF-3FCE-4C07-A9D7-41B4B392CA40}"/>
    <cellStyle name="AggOrangeRBorder 2 2 2 2 3" xfId="1749" xr:uid="{668FB006-C0D8-4650-8FC8-BED6C65F8754}"/>
    <cellStyle name="AggOrangeRBorder 2 2 2 2 4" xfId="2120" xr:uid="{7FD3B091-2151-41C0-B11A-FDEF872EAA09}"/>
    <cellStyle name="AggOrangeRBorder 2 2 2 3" xfId="24" xr:uid="{CE274A1F-F118-4994-831B-2566ADB7771A}"/>
    <cellStyle name="AggOrangeRBorder 2 2 2 4" xfId="1542" xr:uid="{112AA9C3-6747-4750-A630-F5282A9B9762}"/>
    <cellStyle name="AggOrangeRBorder 2 2 2 5" xfId="1914" xr:uid="{F3A44F59-556C-4D52-A4EB-E6CD2C870491}"/>
    <cellStyle name="AggOrangeRBorder 2 3" xfId="304" xr:uid="{95F99C34-9048-4C2D-BBDA-DD36BA674732}"/>
    <cellStyle name="AggOrangeRBorder 2 3 2" xfId="643" xr:uid="{D80A4713-F899-4D8D-AADB-18CB24853444}"/>
    <cellStyle name="AggOrangeRBorder 2 3 2 2" xfId="858" xr:uid="{C28B2187-ED0B-4AA0-9AF5-78931465CA75}"/>
    <cellStyle name="AggOrangeRBorder 2 3 2 2 2" xfId="1104" xr:uid="{7DB83E96-91CA-4282-AB3A-E5F6D0DD2B05}"/>
    <cellStyle name="AggOrangeRBorder 2 3 2 2 3" xfId="1834" xr:uid="{1216B9DC-B640-4F3A-B507-6AD5763201B0}"/>
    <cellStyle name="AggOrangeRBorder 2 3 2 2 4" xfId="2205" xr:uid="{5C082C29-35B0-4140-819D-ED08523B70DE}"/>
    <cellStyle name="AggOrangeRBorder 2 3 2 3" xfId="1141" xr:uid="{E240A342-3651-40F7-B7A9-41FEE82955CC}"/>
    <cellStyle name="AggOrangeRBorder 2 3 2 4" xfId="1627" xr:uid="{8798C136-4E7B-4AE1-AE74-0D0F7665D19E}"/>
    <cellStyle name="AggOrangeRBorder 2 3 2 5" xfId="1999" xr:uid="{A4A06C16-BDB1-49C3-AC18-348D981961A7}"/>
    <cellStyle name="AggOrangeRBorder 2 3 3" xfId="619" xr:uid="{E3CB2E91-316B-485B-8BB8-AA07FBB8E4DB}"/>
    <cellStyle name="AggOrangeRBorder 2 3 3 2" xfId="834" xr:uid="{B976D016-71DF-4618-AD63-D728C36AB4FB}"/>
    <cellStyle name="AggOrangeRBorder 2 3 3 2 2" xfId="951" xr:uid="{DD87A34B-361B-43C5-83A4-FDB5F3E75187}"/>
    <cellStyle name="AggOrangeRBorder 2 3 3 2 3" xfId="1810" xr:uid="{5BDF4952-BF69-4F20-82CC-34450104DFBD}"/>
    <cellStyle name="AggOrangeRBorder 2 3 3 2 4" xfId="2181" xr:uid="{0BE0F414-E71E-4C1C-A478-3299572D7046}"/>
    <cellStyle name="AggOrangeRBorder 2 3 3 3" xfId="1464" xr:uid="{6451C513-54F7-4BA3-AC29-18EB8D1427B7}"/>
    <cellStyle name="AggOrangeRBorder 2 3 3 4" xfId="1603" xr:uid="{0F43F230-6F25-443A-BE98-35906CB6660F}"/>
    <cellStyle name="AggOrangeRBorder 2 3 3 5" xfId="1975" xr:uid="{2768BDBF-4C0C-459C-A820-B1D773213538}"/>
    <cellStyle name="AggOrangeRBorder 2 3 4" xfId="601" xr:uid="{5AB0C29F-883C-4A96-AA71-274987B698E4}"/>
    <cellStyle name="AggOrangeRBorder 2 3 4 2" xfId="816" xr:uid="{BE02C523-86AD-4266-8BB8-03D32F6A22FC}"/>
    <cellStyle name="AggOrangeRBorder 2 3 4 2 2" xfId="1042" xr:uid="{D1765B91-DB3E-4B80-B854-B79E12D4CDDA}"/>
    <cellStyle name="AggOrangeRBorder 2 3 4 2 3" xfId="1792" xr:uid="{F34DC0FA-24D0-4022-90A8-1AC0FA20FCCE}"/>
    <cellStyle name="AggOrangeRBorder 2 3 4 2 4" xfId="2163" xr:uid="{72D644BE-1A9D-4792-A699-5112EA6939F3}"/>
    <cellStyle name="AggOrangeRBorder 2 3 4 3" xfId="67" xr:uid="{14DD4C0F-D616-4731-9A2C-64FAB5191ED9}"/>
    <cellStyle name="AggOrangeRBorder 2 3 4 4" xfId="1585" xr:uid="{54172B8C-F873-4A0F-B34F-FBC783A6BA27}"/>
    <cellStyle name="AggOrangeRBorder 2 3 4 5" xfId="1957" xr:uid="{9DB41D68-EF71-4E38-9CA0-D74A87AF668A}"/>
    <cellStyle name="AggOrangeRBorder 2 3 5" xfId="729" xr:uid="{10E3D8CA-1DFF-48F3-8665-C32D93DAF8A7}"/>
    <cellStyle name="AggOrangeRBorder 2 3 6" xfId="1358" xr:uid="{24B3EA90-EEF8-4B2E-93DD-4A6F92CA7087}"/>
    <cellStyle name="AggOrangeRBorder 2 3 7" xfId="1443" xr:uid="{E5D41D7E-762E-4049-A976-01F60B2BCB62}"/>
    <cellStyle name="AggOrangeRBorder 2 3 8" xfId="1348" xr:uid="{208EF0EB-CD91-446A-9434-EC7C8D4667D2}"/>
    <cellStyle name="AggOrangeRBorder 3" xfId="445" xr:uid="{E790E5AF-9CAF-4D43-9E92-878552D2DF58}"/>
    <cellStyle name="AggOrangeRBorder 3 2" xfId="66" xr:uid="{02F8FA01-02A8-4A6B-BEEA-3B318CEDE00E}"/>
    <cellStyle name="AggOrangeRBorder 3 2 2" xfId="677" xr:uid="{5C453EE3-6C0D-437E-B1FA-4A56066B3904}"/>
    <cellStyle name="AggOrangeRBorder 3 2 2 2" xfId="1215" xr:uid="{B6689C03-551A-477E-83EE-79B17FDC492E}"/>
    <cellStyle name="AggOrangeRBorder 3 2 2 3" xfId="1661" xr:uid="{F63850A7-35A3-439D-ABD7-B9CC75A93246}"/>
    <cellStyle name="AggOrangeRBorder 3 2 2 4" xfId="2033" xr:uid="{EFF12E45-6B5E-4E0A-90B0-280DC43D36C9}"/>
    <cellStyle name="AggOrangeRBorder 3 2 3" xfId="892" xr:uid="{B0A69EC5-791E-4733-B69B-A2B71CED4121}"/>
    <cellStyle name="AggOrangeRBorder 3 2 3 2" xfId="1247" xr:uid="{77F07C5C-4917-4F5B-9A10-0CF43A83AA38}"/>
    <cellStyle name="AggOrangeRBorder 3 2 3 3" xfId="1868" xr:uid="{6E834D56-BCDD-4F57-B34A-D511C95C7A34}"/>
    <cellStyle name="AggOrangeRBorder 3 2 3 4" xfId="2239" xr:uid="{2A9C04B2-E314-46DC-8296-B1ABE7B15B7F}"/>
    <cellStyle name="AggOrangeRBorder 4" xfId="303" xr:uid="{9E549395-770B-4E26-87A8-43C3F9505824}"/>
    <cellStyle name="AggOrangeRBorder 4 2" xfId="642" xr:uid="{13323998-CBC9-4450-BB38-2047DDEDD6AA}"/>
    <cellStyle name="AggOrangeRBorder 4 2 2" xfId="857" xr:uid="{246CF923-F042-47FF-92EB-6DA40B928326}"/>
    <cellStyle name="AggOrangeRBorder 4 2 2 2" xfId="1143" xr:uid="{7D155E8C-1629-4F1E-A890-4BDE02305A33}"/>
    <cellStyle name="AggOrangeRBorder 4 2 2 3" xfId="1833" xr:uid="{19C563C9-4BFC-4898-9B97-DE00B542671B}"/>
    <cellStyle name="AggOrangeRBorder 4 2 2 4" xfId="2204" xr:uid="{FFBF4125-E8CD-49A8-9E2B-D5DF89CD2C49}"/>
    <cellStyle name="AggOrangeRBorder 4 2 3" xfId="1162" xr:uid="{61287958-A4F2-4A55-A39C-67EA08B2BE6D}"/>
    <cellStyle name="AggOrangeRBorder 4 2 4" xfId="1626" xr:uid="{82711BBB-B640-46F1-A8A1-B3913B97FC44}"/>
    <cellStyle name="AggOrangeRBorder 4 2 5" xfId="1998" xr:uid="{A6ED82D4-2994-40CB-8FD9-AE7736A33E75}"/>
    <cellStyle name="AggOrangeRBorder 4 3" xfId="675" xr:uid="{53C44457-D445-4162-9171-8F2283707512}"/>
    <cellStyle name="AggOrangeRBorder 4 3 2" xfId="890" xr:uid="{12819406-CF09-423D-8FD1-9EB65F6B4E40}"/>
    <cellStyle name="AggOrangeRBorder 4 3 2 2" xfId="1166" xr:uid="{27BCCF4A-5D65-4A57-8293-18E450368AD6}"/>
    <cellStyle name="AggOrangeRBorder 4 3 2 3" xfId="1866" xr:uid="{51F66F34-72CF-4BA5-A308-08B8F1C84FCB}"/>
    <cellStyle name="AggOrangeRBorder 4 3 2 4" xfId="2237" xr:uid="{C4797AB3-1774-4163-8D9E-79D69D86EF22}"/>
    <cellStyle name="AggOrangeRBorder 4 3 3" xfId="1405" xr:uid="{71D47D5F-9AFA-4841-B5B2-E082B437EA4B}"/>
    <cellStyle name="AggOrangeRBorder 4 3 4" xfId="1659" xr:uid="{1C395FD0-F79F-417A-B14C-93BE4EA27AD1}"/>
    <cellStyle name="AggOrangeRBorder 4 3 5" xfId="2031" xr:uid="{77366F2C-EC54-4D4C-9A2B-A7065F8CAE30}"/>
    <cellStyle name="AggOrangeRBorder 4 4" xfId="696" xr:uid="{E7892EF9-C37F-4900-B1CE-AFD5FC73D148}"/>
    <cellStyle name="AggOrangeRBorder 4 4 2" xfId="911" xr:uid="{BEBED77F-2F3D-40E8-ACCD-2775D25D32C9}"/>
    <cellStyle name="AggOrangeRBorder 4 4 2 2" xfId="1503" xr:uid="{87E39291-BB16-4E23-BF91-47B960D1C983}"/>
    <cellStyle name="AggOrangeRBorder 4 4 2 3" xfId="1887" xr:uid="{C73FD211-B0AF-4055-8137-B547CA6D09BD}"/>
    <cellStyle name="AggOrangeRBorder 4 4 2 4" xfId="2258" xr:uid="{AE9C48E2-DDD4-4B80-A349-A2BF6ECF75E7}"/>
    <cellStyle name="AggOrangeRBorder 4 4 3" xfId="1321" xr:uid="{F0D91338-1DE6-4C73-BCD6-BC1D9488D1A5}"/>
    <cellStyle name="AggOrangeRBorder 4 4 4" xfId="1680" xr:uid="{EFDC2706-719E-4325-861C-B6D25BABE08F}"/>
    <cellStyle name="AggOrangeRBorder 4 4 5" xfId="2052" xr:uid="{EF761D6B-C639-4E35-8D91-4C7DC9BA360D}"/>
    <cellStyle name="AggOrangeRBorder 4 5" xfId="728" xr:uid="{10564D88-C237-4D11-A45F-35008D7AA40B}"/>
    <cellStyle name="AggOrangeRBorder 4 6" xfId="1058" xr:uid="{2240BD0D-E5D6-40AE-99BB-B745198DD545}"/>
    <cellStyle name="AggOrangeRBorder 4 7" xfId="1458" xr:uid="{20C9A811-D7AE-43E4-8904-6292AEA61810}"/>
    <cellStyle name="AggOrangeRBorder 4 8" xfId="1106" xr:uid="{9BCB3DBF-E65C-4D3F-9E0A-A80284F70274}"/>
    <cellStyle name="AggOrangeRBorder 5" xfId="105" xr:uid="{3A64D572-B7DE-46C9-9232-7BC16EFC20A7}"/>
    <cellStyle name="AggOrangeRBorder 6" xfId="2457" xr:uid="{C8E56B9A-D8D1-4DE5-AB9F-F04D790510EB}"/>
    <cellStyle name="AggOrangeRBorder_CRFReport-template" xfId="51" xr:uid="{AF3B4345-9940-4535-9C1A-F8BB6044089F}"/>
    <cellStyle name="Akzent1" xfId="153" xr:uid="{616AD696-FEF0-4ACF-A6B9-CBD2C9E1C62A}"/>
    <cellStyle name="Akzent2" xfId="154" xr:uid="{A21EE391-CD49-4312-83A9-3AE4D8C5A8C2}"/>
    <cellStyle name="Akzent3" xfId="155" xr:uid="{54E72227-DE9A-4F21-A274-D2DD0F51371F}"/>
    <cellStyle name="Akzent4" xfId="156" xr:uid="{70E7941A-500C-4B45-A3AA-B7FC887A16F4}"/>
    <cellStyle name="Akzent5" xfId="157" xr:uid="{56ADE016-F0AE-41FE-AA5E-4316A8D974AA}"/>
    <cellStyle name="Akzent6" xfId="158" xr:uid="{A70D9B75-72B0-4802-9FCF-3B768E653253}"/>
    <cellStyle name="Ausgabe" xfId="1070" hidden="1" xr:uid="{CD28E24B-7398-4C1F-9391-EA2F99E74EAF}"/>
    <cellStyle name="Ausgabe" xfId="72" hidden="1" xr:uid="{30259C79-F188-47E7-A0D0-8385A9701675}"/>
    <cellStyle name="Ausgabe" xfId="971" hidden="1" xr:uid="{92B52382-6FC2-4167-80A2-743DEFF1D0A7}"/>
    <cellStyle name="Ausgabe" xfId="1427" hidden="1" xr:uid="{BAF4C05F-3CED-41C0-9148-4CD1E4206C45}"/>
    <cellStyle name="Ausgabe" xfId="1265" hidden="1" xr:uid="{FFA66EEA-A009-4D14-9102-CD976AA3AC6C}"/>
    <cellStyle name="Ausgabe" xfId="1038" hidden="1" xr:uid="{268C5E6A-D590-41B7-838C-FA611C182701}"/>
    <cellStyle name="Ausgabe 2" xfId="424" xr:uid="{31579FC9-0E84-441E-893C-BC3C720F573E}"/>
    <cellStyle name="Ausgabe 2 2" xfId="680" xr:uid="{5DA2FDEC-FCF6-441D-965F-764CE211E0D6}"/>
    <cellStyle name="Ausgabe 2 2 2" xfId="895" xr:uid="{902159B5-2AD4-4E1D-9F0D-40598C153F96}"/>
    <cellStyle name="Ausgabe 2 2 2 2" xfId="90" xr:uid="{F4C2A75A-7EDD-4088-A9F6-40FDD177818B}"/>
    <cellStyle name="Ausgabe 2 2 2 3" xfId="1871" xr:uid="{85843FA2-142C-40DF-BBF0-4F15412F8ED3}"/>
    <cellStyle name="Ausgabe 2 2 2 4" xfId="2242" xr:uid="{23463190-C679-4E94-AD79-38CDFC508EBD}"/>
    <cellStyle name="Ausgabe 2 2 3" xfId="930" xr:uid="{834058B0-2DFA-407D-A708-0E8C4CC828C8}"/>
    <cellStyle name="Ausgabe 2 2 4" xfId="1664" xr:uid="{9F2E2C60-D2D9-4C9C-B33C-7531548504ED}"/>
    <cellStyle name="Ausgabe 2 2 5" xfId="2036" xr:uid="{2173F18D-1089-4262-ABA9-C8A6B6E673B6}"/>
    <cellStyle name="Ausgabe 2 3" xfId="565" xr:uid="{BF183D50-9852-4322-B959-120B4B324999}"/>
    <cellStyle name="Ausgabe 2 3 2" xfId="780" xr:uid="{C7346E64-6BEA-43BA-B3BE-34D0CFC622DB}"/>
    <cellStyle name="Ausgabe 2 3 2 2" xfId="1063" xr:uid="{03295056-DE26-4880-90A2-4EF5F7A71384}"/>
    <cellStyle name="Ausgabe 2 3 2 3" xfId="1756" xr:uid="{FEE0FEA3-A881-4585-9827-2F826079C0BA}"/>
    <cellStyle name="Ausgabe 2 3 2 4" xfId="2127" xr:uid="{93BFFEB7-9A00-4B23-96A8-15C5C196BE0A}"/>
    <cellStyle name="Ausgabe 2 3 3" xfId="1323" xr:uid="{BCCFC634-0E7C-48DB-A38B-D5C515611C9D}"/>
    <cellStyle name="Ausgabe 2 3 4" xfId="1549" xr:uid="{65D7BE79-203D-45CF-B526-139621A9B8D3}"/>
    <cellStyle name="Ausgabe 2 3 5" xfId="1921" xr:uid="{45CF233E-6CBE-403F-B6FB-AE1E65AC101E}"/>
    <cellStyle name="Ausgabe 2 4" xfId="738" xr:uid="{FDD44879-12A0-4971-8F5D-7298D6C7D442}"/>
    <cellStyle name="Ausgabe 2 4 2" xfId="1075" xr:uid="{85EEA28C-8AA8-4492-90F4-CCE68E616EE2}"/>
    <cellStyle name="Ausgabe 2 4 3" xfId="1714" xr:uid="{37D7237F-FBEF-459E-96F1-545C2A01CB70}"/>
    <cellStyle name="Ausgabe 2 4 4" xfId="2085" xr:uid="{080F1172-9CF2-4508-A907-8B578F47E5B7}"/>
    <cellStyle name="Ausgabe 2 5" xfId="1225" xr:uid="{DC784E8B-D9A5-4AF7-B879-AF740D9C5249}"/>
    <cellStyle name="Ausgabe 2 6" xfId="1076" xr:uid="{C2FC0A93-B4F1-4AF5-8BA5-178DB4923F42}"/>
    <cellStyle name="Ausgabe 3" xfId="315" xr:uid="{5ADA572A-9308-431B-8342-9ACA1D317889}"/>
    <cellStyle name="Ausgabe 3 2" xfId="652" xr:uid="{B8538F55-9074-446C-981B-36544CB31A50}"/>
    <cellStyle name="Ausgabe 3 2 2" xfId="867" xr:uid="{BF358638-C51E-408F-B5C3-2730C5A373F4}"/>
    <cellStyle name="Ausgabe 3 2 2 2" xfId="1317" xr:uid="{C04BDF65-822F-42C2-99A1-51F129EB49C9}"/>
    <cellStyle name="Ausgabe 3 2 2 3" xfId="1843" xr:uid="{4E7CE8C0-72CC-441A-BD7C-7B5C95948336}"/>
    <cellStyle name="Ausgabe 3 2 2 4" xfId="2214" xr:uid="{826FEC52-0BA4-49FB-AA11-095458383F7C}"/>
    <cellStyle name="Ausgabe 3 2 3" xfId="1382" xr:uid="{F3303548-6EC3-4139-BF10-AC6CE4C2767E}"/>
    <cellStyle name="Ausgabe 3 2 4" xfId="1636" xr:uid="{7D213612-2E14-4B8F-A381-9A4518088944}"/>
    <cellStyle name="Ausgabe 3 2 5" xfId="2008" xr:uid="{9334110C-4C08-4E38-86A0-B374D6D94575}"/>
    <cellStyle name="Ausgabe 3 3" xfId="571" xr:uid="{45892CCF-4592-4951-8550-998D406D172A}"/>
    <cellStyle name="Ausgabe 3 3 2" xfId="786" xr:uid="{D718DBD8-03A7-488C-AF40-01DFF7875F76}"/>
    <cellStyle name="Ausgabe 3 3 2 2" xfId="1185" xr:uid="{D54AFA87-3AE4-45C3-9642-7C966AAABA7D}"/>
    <cellStyle name="Ausgabe 3 3 2 3" xfId="1762" xr:uid="{66D024F2-048C-4ED2-B623-EAA5F0341DB9}"/>
    <cellStyle name="Ausgabe 3 3 2 4" xfId="2133" xr:uid="{D7A12A00-D758-423B-8FAA-9B7AE807BFF3}"/>
    <cellStyle name="Ausgabe 3 3 3" xfId="1377" xr:uid="{D8080C5A-F3E7-4C8A-8FAE-E65F144E9551}"/>
    <cellStyle name="Ausgabe 3 3 4" xfId="1555" xr:uid="{8C582571-E9AA-4E10-B503-B1C3D9EC3EB5}"/>
    <cellStyle name="Ausgabe 3 3 5" xfId="1927" xr:uid="{AA947DCD-0C3D-45C6-81A7-A421C59D42AB}"/>
    <cellStyle name="Ausgabe 3 4" xfId="735" xr:uid="{A376FF85-CC92-4DAF-99D3-1F556016400C}"/>
    <cellStyle name="Ausgabe 3 4 2" xfId="1297" xr:uid="{68BF8257-E451-4A20-A134-1C2F37C6788D}"/>
    <cellStyle name="Ausgabe 3 4 3" xfId="1712" xr:uid="{748D5697-2C85-498C-9861-BB9B984DFB4A}"/>
    <cellStyle name="Ausgabe 3 4 4" xfId="2083" xr:uid="{48D0450F-3CE7-418A-99CB-B62E67900DAA}"/>
    <cellStyle name="Ausgabe 3 5" xfId="1108" xr:uid="{4B53C6A2-7A59-4FE8-A092-48024F1770AA}"/>
    <cellStyle name="Ausgabe 3 6" xfId="1362" xr:uid="{570FB193-9C1C-4811-A30F-EBC48CC04564}"/>
    <cellStyle name="Ausgabe 4" xfId="576" xr:uid="{066A0A5C-63EF-499C-8DF7-F551E78BD959}"/>
    <cellStyle name="Ausgabe 4 2" xfId="791" xr:uid="{ADF553B8-48F5-48C5-A87D-5368B8F8D253}"/>
    <cellStyle name="Ausgabe 4 2 2" xfId="1254" xr:uid="{8073ED7F-C311-4AEC-9A28-6F0EDBFB94B1}"/>
    <cellStyle name="Ausgabe 4 2 3" xfId="1767" xr:uid="{FEDD104A-CA4F-4F1B-BF47-96A1A367DFE7}"/>
    <cellStyle name="Ausgabe 4 2 4" xfId="2138" xr:uid="{0696CC8D-D17F-4904-8A68-CF33310DDD9A}"/>
    <cellStyle name="Ausgabe 4 3" xfId="1307" xr:uid="{BF61DAE6-ECAD-4E9B-8DB3-AB10512816F6}"/>
    <cellStyle name="Ausgabe 4 4" xfId="1560" xr:uid="{D0E15D55-DF33-48D3-B7A5-E614D85D2DF0}"/>
    <cellStyle name="Ausgabe 4 5" xfId="1932" xr:uid="{4EB1C426-1ED7-4274-9EC5-9FE802E0151A}"/>
    <cellStyle name="Ausgabe 5" xfId="695" xr:uid="{7057CDE7-72CB-4DB1-ACD3-AE561A44483F}"/>
    <cellStyle name="Ausgabe 5 2" xfId="910" xr:uid="{80D082B4-E98C-4977-9A3E-FC1FB952D3F4}"/>
    <cellStyle name="Ausgabe 5 2 2" xfId="1502" xr:uid="{3179D948-E3DA-4E43-8D63-EF1383316E36}"/>
    <cellStyle name="Ausgabe 5 2 3" xfId="1886" xr:uid="{A5E10AAE-BE12-4602-836C-790220C214D0}"/>
    <cellStyle name="Ausgabe 5 2 4" xfId="2257" xr:uid="{7343E365-1002-4CB2-87F3-AFB013E61079}"/>
    <cellStyle name="Ausgabe 5 3" xfId="1240" xr:uid="{85A821F7-A6DE-4AB6-BBC9-4DE730425C74}"/>
    <cellStyle name="Ausgabe 5 4" xfId="1679" xr:uid="{AD49F04C-C767-4A0C-94CC-39A0DC072EB9}"/>
    <cellStyle name="Ausgabe 5 5" xfId="2051" xr:uid="{D25AD2CA-AF99-430A-A43C-BFA549675C6E}"/>
    <cellStyle name="Ausgabe 6" xfId="711" xr:uid="{A7DD8696-D91C-4CF2-8D31-37783CC88EFE}"/>
    <cellStyle name="Ausgabe 6 2" xfId="1409" xr:uid="{3A9CAF25-4421-4174-AE69-75EB27402E90}"/>
    <cellStyle name="Ausgabe 6 3" xfId="1694" xr:uid="{2D85F8E1-0701-4968-98A7-38762D721F7B}"/>
    <cellStyle name="Ausgabe 6 4" xfId="2066" xr:uid="{135A308F-5715-493C-9902-CC4546309723}"/>
    <cellStyle name="Bad 2" xfId="159" xr:uid="{70EC9623-573B-4142-B810-253ED88C7CF6}"/>
    <cellStyle name="Bad 3" xfId="256" xr:uid="{37F113E3-858A-45C7-897B-EDFA7AF4A401}"/>
    <cellStyle name="Bad 4" xfId="396" xr:uid="{A6087649-AE9F-4C65-96F3-36EA9B336801}"/>
    <cellStyle name="Berechnung" xfId="928" hidden="1" xr:uid="{7C1D1784-3073-444E-B320-05E3BBEB296D}"/>
    <cellStyle name="Berechnung" xfId="73" hidden="1" xr:uid="{DDD7AF8B-A653-4295-AB40-CBDDB3A24F0F}"/>
    <cellStyle name="Berechnung" xfId="972" hidden="1" xr:uid="{605139B5-E503-4EA4-8B42-FF627D11ACBB}"/>
    <cellStyle name="Berechnung" xfId="1285" hidden="1" xr:uid="{2DCEA1D4-AAC9-4CED-A154-E0DC2BA4144E}"/>
    <cellStyle name="Berechnung" xfId="1112" hidden="1" xr:uid="{071265E2-7976-4F21-948F-9F58092116C2}"/>
    <cellStyle name="Berechnung" xfId="1357" hidden="1" xr:uid="{B51B81C9-32AC-4CD5-A546-1732D79AA683}"/>
    <cellStyle name="Berechnung 2" xfId="425" xr:uid="{466E2501-F730-4189-BF15-0D04D8C55738}"/>
    <cellStyle name="Berechnung 2 2" xfId="681" xr:uid="{67B78F50-2C21-4D01-BA06-66546800F4FC}"/>
    <cellStyle name="Berechnung 2 2 2" xfId="896" xr:uid="{5B4B1C62-A18D-4FA2-B248-9F1E7E266F0B}"/>
    <cellStyle name="Berechnung 2 2 2 2" xfId="1165" xr:uid="{B3B4BD30-FCA9-4DCE-A44C-059AE4CD8717}"/>
    <cellStyle name="Berechnung 2 2 2 3" xfId="1872" xr:uid="{A34604FE-C490-4D99-967D-1A10AACC6572}"/>
    <cellStyle name="Berechnung 2 2 2 4" xfId="2243" xr:uid="{501E7423-9960-4A2E-A1CB-6AD89E502654}"/>
    <cellStyle name="Berechnung 2 2 3" xfId="1274" xr:uid="{F8501051-01FB-459E-956E-5017309B5E70}"/>
    <cellStyle name="Berechnung 2 2 4" xfId="1665" xr:uid="{43431591-6B23-4F66-941C-7357DBC9F946}"/>
    <cellStyle name="Berechnung 2 2 5" xfId="2037" xr:uid="{89BFF1F5-B692-4129-8F89-B14762A8BFA0}"/>
    <cellStyle name="Berechnung 2 3" xfId="546" xr:uid="{04A87F44-9A9E-4555-802B-5F924AF65DE9}"/>
    <cellStyle name="Berechnung 2 3 2" xfId="761" xr:uid="{80BED556-A96A-4C86-91DC-F073D0FC6AF1}"/>
    <cellStyle name="Berechnung 2 3 2 2" xfId="1351" xr:uid="{59FD50EC-FFAC-4F95-BECD-7DF90172525A}"/>
    <cellStyle name="Berechnung 2 3 2 3" xfId="1737" xr:uid="{7CEC4182-E02A-4024-A5DD-4DAB7DD9D65D}"/>
    <cellStyle name="Berechnung 2 3 2 4" xfId="2108" xr:uid="{25B3166F-39D4-40EE-AFE1-F6543447E3B1}"/>
    <cellStyle name="Berechnung 2 3 3" xfId="1018" xr:uid="{2BE81ADD-676F-4ED0-88E0-E295EC513316}"/>
    <cellStyle name="Berechnung 2 3 4" xfId="1530" xr:uid="{8FC1632F-10CB-4C6D-9C0E-CAEAE247F8EB}"/>
    <cellStyle name="Berechnung 2 3 5" xfId="1902" xr:uid="{F988979A-A8AC-48E6-906B-484E2E9CAEA0}"/>
    <cellStyle name="Berechnung 2 4" xfId="602" xr:uid="{6333BC88-587E-4ADE-9099-68A47480C6A7}"/>
    <cellStyle name="Berechnung 2 4 2" xfId="817" xr:uid="{EA987C54-2234-4615-9413-538809A8C28B}"/>
    <cellStyle name="Berechnung 2 4 2 2" xfId="1182" xr:uid="{FD8406B2-540E-4636-8735-A0260C027BF3}"/>
    <cellStyle name="Berechnung 2 4 2 3" xfId="1793" xr:uid="{53C667C1-843F-4471-9FA9-E52BC6C10548}"/>
    <cellStyle name="Berechnung 2 4 2 4" xfId="2164" xr:uid="{8C2FA5EB-9B11-4307-B2C1-92B63AB3F876}"/>
    <cellStyle name="Berechnung 2 4 3" xfId="1226" xr:uid="{87F931E6-CEF8-4839-ACC9-31F2B2DE83BE}"/>
    <cellStyle name="Berechnung 2 4 4" xfId="1586" xr:uid="{6B80E81B-A7B4-4ED1-9F8B-5957EFBBC2A5}"/>
    <cellStyle name="Berechnung 2 4 5" xfId="1958" xr:uid="{B7F1B573-9A5D-49BF-BB1A-5B4399CAE8D9}"/>
    <cellStyle name="Berechnung 2 5" xfId="739" xr:uid="{E9EAA837-AA6C-4576-8448-BB229E3524AC}"/>
    <cellStyle name="Berechnung 2 5 2" xfId="1073" xr:uid="{4238E600-0AED-4CCC-ABE8-2A5B7DF5D7BF}"/>
    <cellStyle name="Berechnung 2 5 3" xfId="1715" xr:uid="{53EE8D2A-38FB-4E40-8663-2A568487E138}"/>
    <cellStyle name="Berechnung 2 5 4" xfId="2086" xr:uid="{254FAD7B-B606-4A90-8C55-8E54D5AE2341}"/>
    <cellStyle name="Berechnung 2 6" xfId="1252" xr:uid="{644E69C3-1387-4F7B-98BD-836BA45633C6}"/>
    <cellStyle name="Berechnung 2 7" xfId="1092" xr:uid="{0509A720-285E-48A9-8A8F-32C367F393FB}"/>
    <cellStyle name="Berechnung 2 8" xfId="64" xr:uid="{632D8D34-A96D-4ADD-9047-60A68043D10A}"/>
    <cellStyle name="Berechnung 3" xfId="305" xr:uid="{EF71C98E-116A-4493-9B6C-BD11A737C747}"/>
    <cellStyle name="Berechnung 3 2" xfId="644" xr:uid="{A12D1CCD-7946-4679-8F31-DBB2805C85BF}"/>
    <cellStyle name="Berechnung 3 2 2" xfId="859" xr:uid="{EAC0DEB7-330D-4B63-B2BD-06AEEA75E0E4}"/>
    <cellStyle name="Berechnung 3 2 2 2" xfId="1148" xr:uid="{B13DC556-7019-46B8-BA21-F9FCA12AB9F1}"/>
    <cellStyle name="Berechnung 3 2 2 3" xfId="1835" xr:uid="{953B4336-BDEB-4971-8CA6-CA3D055D6954}"/>
    <cellStyle name="Berechnung 3 2 2 4" xfId="2206" xr:uid="{41541910-B4AF-4057-9A53-D334ECCAB752}"/>
    <cellStyle name="Berechnung 3 2 3" xfId="1413" xr:uid="{CAD8F9D7-74EE-4317-91CF-9253917DD983}"/>
    <cellStyle name="Berechnung 3 2 4" xfId="1628" xr:uid="{01151005-2E3B-450A-9C92-6F8919D11455}"/>
    <cellStyle name="Berechnung 3 2 5" xfId="2000" xr:uid="{8B0A1C35-737C-494E-B5BE-07804A6A461D}"/>
    <cellStyle name="Berechnung 3 3" xfId="580" xr:uid="{AE392EFD-39E4-4C9B-86CF-F82B4D8D4B60}"/>
    <cellStyle name="Berechnung 3 3 2" xfId="795" xr:uid="{FA43C83A-99A4-4D0A-A1DF-B2E4189048C1}"/>
    <cellStyle name="Berechnung 3 3 2 2" xfId="1066" xr:uid="{C7CA0401-E1E8-4CBD-A3DA-388F19CB88BA}"/>
    <cellStyle name="Berechnung 3 3 2 3" xfId="1771" xr:uid="{AD3D68BE-AE7D-4657-AC45-114BC8A94950}"/>
    <cellStyle name="Berechnung 3 3 2 4" xfId="2142" xr:uid="{43AEE9BA-9EAA-4323-97CE-73E64AED9495}"/>
    <cellStyle name="Berechnung 3 3 3" xfId="1100" xr:uid="{C0FD5BCF-4E97-450C-8971-2466AC63B9F3}"/>
    <cellStyle name="Berechnung 3 3 4" xfId="1564" xr:uid="{52B4A560-7985-47CE-9922-E72D6725402D}"/>
    <cellStyle name="Berechnung 3 3 5" xfId="1936" xr:uid="{B154C745-29F5-413E-B398-C026B54E4EA1}"/>
    <cellStyle name="Berechnung 3 4" xfId="592" xr:uid="{D7DDE1A8-EA5E-4341-A81B-8376A15755DA}"/>
    <cellStyle name="Berechnung 3 4 2" xfId="807" xr:uid="{C10DA0E1-1F86-4CBB-ADDD-64D3D7611909}"/>
    <cellStyle name="Berechnung 3 4 2 2" xfId="1259" xr:uid="{8E06C819-D7B0-439F-B0AE-1ADA4007C718}"/>
    <cellStyle name="Berechnung 3 4 2 3" xfId="1783" xr:uid="{51ED25D4-ADE4-4462-BA87-8E7CEBD62085}"/>
    <cellStyle name="Berechnung 3 4 2 4" xfId="2154" xr:uid="{B0754232-EA23-4D4C-A19E-B937D8F638DA}"/>
    <cellStyle name="Berechnung 3 4 3" xfId="1176" xr:uid="{2FE9D19C-5704-47CC-BE57-36327585CBF2}"/>
    <cellStyle name="Berechnung 3 4 4" xfId="1576" xr:uid="{9F5ED67D-9DE8-4B85-8F72-5396BA944402}"/>
    <cellStyle name="Berechnung 3 4 5" xfId="1948" xr:uid="{80E8F290-BDC5-4B9A-8F3C-D2F2A846AECA}"/>
    <cellStyle name="Berechnung 3 5" xfId="730" xr:uid="{72921CB0-6C4A-4B28-A753-C804DF1E5BC6}"/>
    <cellStyle name="Berechnung 3 5 2" xfId="1376" xr:uid="{93504B52-0D9A-4FB2-A60F-7D50DA1D7D86}"/>
    <cellStyle name="Berechnung 3 5 3" xfId="1709" xr:uid="{EF7BBBDE-9CC4-4B84-B9A8-3EE817076954}"/>
    <cellStyle name="Berechnung 3 5 4" xfId="2081" xr:uid="{616888C7-DBC2-475C-A75C-6DD5B21D0029}"/>
    <cellStyle name="Berechnung 3 6" xfId="1430" xr:uid="{DFFA4F89-43F5-4098-9898-F00B7249CD1E}"/>
    <cellStyle name="Berechnung 3 7" xfId="1006" xr:uid="{6B11D248-1D8C-4EAB-8E35-AE0A37D3317D}"/>
    <cellStyle name="Berechnung 3 8" xfId="1303" xr:uid="{DD989543-8516-49A3-A219-B011CC6A0447}"/>
    <cellStyle name="Berechnung 4" xfId="577" xr:uid="{40DA6C11-038A-4E46-8812-81C741CF5559}"/>
    <cellStyle name="Berechnung 4 2" xfId="792" xr:uid="{B2FA2580-6521-4FC9-B98F-00DD7A04454C}"/>
    <cellStyle name="Berechnung 4 2 2" xfId="1065" xr:uid="{863AC02B-CE42-4AC6-B958-1A5B8C8C760F}"/>
    <cellStyle name="Berechnung 4 2 3" xfId="1768" xr:uid="{E0E315A0-0CD1-480F-A7A3-01CE81EB71BF}"/>
    <cellStyle name="Berechnung 4 2 4" xfId="2139" xr:uid="{8716F89A-AF58-495D-95E1-600BF64F7CAC}"/>
    <cellStyle name="Berechnung 4 3" xfId="1431" xr:uid="{19527443-3809-4112-9522-59137FFE10E2}"/>
    <cellStyle name="Berechnung 4 4" xfId="1561" xr:uid="{2A00715E-59E5-4BC7-93B7-E7FD5320010E}"/>
    <cellStyle name="Berechnung 4 5" xfId="1933" xr:uid="{D1C2A20F-04F3-43BC-B2B5-900BDF903506}"/>
    <cellStyle name="Berechnung 5" xfId="694" xr:uid="{196D1146-856D-4B85-BDFE-BC5D7C817B29}"/>
    <cellStyle name="Berechnung 5 2" xfId="909" xr:uid="{A2C166BE-B09B-43F0-9FD1-163BE7206FBF}"/>
    <cellStyle name="Berechnung 5 2 2" xfId="1501" xr:uid="{C1425373-09DF-4529-83B3-310E0A75E81B}"/>
    <cellStyle name="Berechnung 5 2 3" xfId="1885" xr:uid="{8018D42F-0ACE-476B-AD8C-EA411816870A}"/>
    <cellStyle name="Berechnung 5 2 4" xfId="2256" xr:uid="{D4882505-BD05-4811-AEA0-FF5DF9C237CB}"/>
    <cellStyle name="Berechnung 5 3" xfId="1423" xr:uid="{A56644B5-7BF5-4FB6-9BED-AE9367D75C7C}"/>
    <cellStyle name="Berechnung 5 4" xfId="1678" xr:uid="{5160594E-B997-4E6D-92CB-9A6194B7AC7A}"/>
    <cellStyle name="Berechnung 5 5" xfId="2050" xr:uid="{146C2E83-22EC-4BCD-A75F-1DEA47B71585}"/>
    <cellStyle name="Berechnung 6" xfId="706" xr:uid="{BC737815-3D97-41A7-86A9-B960165645F2}"/>
    <cellStyle name="Berechnung 6 2" xfId="920" xr:uid="{C1BB0E2A-D084-419A-89C4-4810406F4171}"/>
    <cellStyle name="Berechnung 6 2 2" xfId="1512" xr:uid="{B78FA652-E5BD-4C21-AEA5-B88D66F69646}"/>
    <cellStyle name="Berechnung 6 2 3" xfId="1896" xr:uid="{52A20295-3C82-4B57-A9F3-668C15093C83}"/>
    <cellStyle name="Berechnung 6 2 4" xfId="2267" xr:uid="{FD495315-24CC-4348-9475-E60475D886C1}"/>
    <cellStyle name="Berechnung 6 3" xfId="1161" xr:uid="{EDDCFC01-B9D5-4DEA-BB1C-BA63AC13CF29}"/>
    <cellStyle name="Berechnung 6 4" xfId="1689" xr:uid="{0CB0F1FF-8B88-4D9C-838E-090FCF7E806D}"/>
    <cellStyle name="Berechnung 6 5" xfId="2061" xr:uid="{1C72DD34-4B52-4BA7-9D40-46E68134ABA3}"/>
    <cellStyle name="Berechnung 7" xfId="712" xr:uid="{C1D777E2-5B44-45CA-B05E-D728AFD5AD5E}"/>
    <cellStyle name="Berechnung 7 2" xfId="929" xr:uid="{CCA654C7-29B1-4FEC-BE61-84980019C587}"/>
    <cellStyle name="Berechnung 7 3" xfId="1695" xr:uid="{77759BF4-DEAE-477F-BA52-A9B42130646F}"/>
    <cellStyle name="Berechnung 7 4" xfId="2067" xr:uid="{0B89FDD9-A9F2-42E2-B8F5-ABB7387D456A}"/>
    <cellStyle name="Bold GHG Numbers (0.00)" xfId="160" xr:uid="{3FEB66A2-F924-47FA-B122-223A0F7216D1}"/>
    <cellStyle name="Calc Currency (0)" xfId="2285" xr:uid="{937E7240-BB96-4D2F-B099-07CAC13EA7E0}"/>
    <cellStyle name="Calc Currency (2)" xfId="2286" xr:uid="{AE09BAAC-D03C-4448-B335-6C6B8E5E893F}"/>
    <cellStyle name="Calc Percent (0)" xfId="2287" xr:uid="{37D8CEE5-67B6-4DA5-A1B0-63D591C60FDD}"/>
    <cellStyle name="Calc Percent (1)" xfId="2288" xr:uid="{4E2BB494-3F62-444C-A39A-849B0C72468E}"/>
    <cellStyle name="Calc Percent (2)" xfId="2289" xr:uid="{284E4765-F291-47FE-9408-64A162B480A8}"/>
    <cellStyle name="Calc Units (0)" xfId="2290" xr:uid="{D8E4D7C0-45B3-47B5-8FB5-39FBC1195D6A}"/>
    <cellStyle name="Calc Units (1)" xfId="2291" xr:uid="{B298010E-FC0F-488F-919F-D4194F1D9220}"/>
    <cellStyle name="Calc Units (2)" xfId="2292" xr:uid="{036ECF76-1508-44F2-B0DB-16D6EAEC277D}"/>
    <cellStyle name="Calculation 2" xfId="161" xr:uid="{4CDA0B0A-92C2-429A-B6C2-63DD3227C4A8}"/>
    <cellStyle name="Calculation 2 2" xfId="579" xr:uid="{071053A7-6ADB-4424-9A4A-CD39E8B0D68A}"/>
    <cellStyle name="Calculation 2 2 2" xfId="794" xr:uid="{95A04BAE-D65B-4E02-828B-9E435A0F78AF}"/>
    <cellStyle name="Calculation 2 2 2 2" xfId="1167" xr:uid="{744DB1D4-957C-4A00-B2EE-5BBC02CFC7F1}"/>
    <cellStyle name="Calculation 2 2 2 3" xfId="1770" xr:uid="{FCBDE3F8-1266-4BE1-98A4-0A0947AEC860}"/>
    <cellStyle name="Calculation 2 2 2 4" xfId="2141" xr:uid="{93620864-64AD-4701-B064-DFC572161215}"/>
    <cellStyle name="Calculation 2 2 3" xfId="941" xr:uid="{D24C508A-9050-4E19-8AEC-AA669BD07371}"/>
    <cellStyle name="Calculation 2 2 4" xfId="1563" xr:uid="{7BEA0726-D6DF-4E6B-BEE8-D437262F0A5E}"/>
    <cellStyle name="Calculation 2 2 5" xfId="1935" xr:uid="{9A0D2106-4BEF-4FD2-9D1E-F4A74726B5D3}"/>
    <cellStyle name="Calculation 2 3" xfId="663" xr:uid="{3E388F13-7BBE-486C-ACD2-0D08091F2A77}"/>
    <cellStyle name="Calculation 2 3 2" xfId="878" xr:uid="{A5B39AE9-9D6F-4140-8332-A15296CBB11A}"/>
    <cellStyle name="Calculation 2 3 2 2" xfId="1164" xr:uid="{54C4B6DA-9751-4881-91D9-14E1C188EA49}"/>
    <cellStyle name="Calculation 2 3 2 3" xfId="1854" xr:uid="{811EAD72-E00E-45A7-8CC3-06425F5A9634}"/>
    <cellStyle name="Calculation 2 3 2 4" xfId="2225" xr:uid="{6552BEDE-98F8-46FD-8D07-058A7640C71B}"/>
    <cellStyle name="Calculation 2 3 3" xfId="1238" xr:uid="{B8386B0F-DCD7-4A28-9E04-924184A2D6F3}"/>
    <cellStyle name="Calculation 2 3 4" xfId="1647" xr:uid="{90E696E0-0132-4F31-97FA-50AD24CFC984}"/>
    <cellStyle name="Calculation 2 3 5" xfId="2019" xr:uid="{48A5E686-9B60-46EF-8759-4D3559BE38EF}"/>
    <cellStyle name="Calculation 2 4" xfId="569" xr:uid="{B6FA0EF7-73B3-49BD-9CDC-A52496E39F69}"/>
    <cellStyle name="Calculation 2 4 2" xfId="784" xr:uid="{4DEC392C-AFA7-4E20-8BBF-510BAE15711F}"/>
    <cellStyle name="Calculation 2 4 2 2" xfId="1078" xr:uid="{0CC7E0D5-624B-4C31-818A-1C037FB751F9}"/>
    <cellStyle name="Calculation 2 4 2 3" xfId="1760" xr:uid="{574A4D2A-88D2-4402-8080-1858218A5E5D}"/>
    <cellStyle name="Calculation 2 4 2 4" xfId="2131" xr:uid="{E92BCF18-7524-4491-B2F6-B22DFE11CD55}"/>
    <cellStyle name="Calculation 2 4 3" xfId="1206" xr:uid="{467A20C5-E16A-4FEA-BB07-A3F663C70F9A}"/>
    <cellStyle name="Calculation 2 4 4" xfId="1553" xr:uid="{E533936B-4932-4131-945B-79A3F7CE0F63}"/>
    <cellStyle name="Calculation 2 4 5" xfId="1925" xr:uid="{8013D02D-E361-4C47-A98A-B2D45B7A4183}"/>
    <cellStyle name="Calculation 2 5" xfId="713" xr:uid="{63DB3D99-9C66-4289-9FD0-4B6686A811D6}"/>
    <cellStyle name="Calculation 2 5 2" xfId="1374" xr:uid="{46FA2E84-5051-47B0-BDAB-539E7AA19427}"/>
    <cellStyle name="Calculation 2 5 3" xfId="1696" xr:uid="{EAFC3B79-F4A3-4891-874B-86C82614CE07}"/>
    <cellStyle name="Calculation 2 5 4" xfId="2068" xr:uid="{BFA0DE61-1CCF-4B84-A43B-A24ED61ACC74}"/>
    <cellStyle name="Calculation 2 6" xfId="1347" xr:uid="{E03A2D65-CE4A-479E-829E-ECF2DA72016A}"/>
    <cellStyle name="Calculation 2 7" xfId="1224" xr:uid="{F8806682-6180-4169-9F38-94AC56B27A03}"/>
    <cellStyle name="Calculation 2 8" xfId="1002" xr:uid="{00027F7F-5E0B-4605-8921-68D3CF57A284}"/>
    <cellStyle name="Calculation 3" xfId="257" xr:uid="{1EE7AAC6-21D6-46F1-86B4-5E0F8D111A83}"/>
    <cellStyle name="Calculation 3 2" xfId="618" xr:uid="{23409B14-EE2D-41AB-941A-0970241BAED7}"/>
    <cellStyle name="Calculation 3 2 2" xfId="833" xr:uid="{412B3A67-8E8D-4FD3-89AF-2A22E05AC8AE}"/>
    <cellStyle name="Calculation 3 2 2 2" xfId="960" xr:uid="{C7829994-5CBE-4DBC-A756-B8CCB1E250D8}"/>
    <cellStyle name="Calculation 3 2 2 3" xfId="1809" xr:uid="{35BF2247-C7DA-4B34-B402-9F2DAC1D4E6F}"/>
    <cellStyle name="Calculation 3 2 2 4" xfId="2180" xr:uid="{088392F9-B5CD-4590-8AE4-6683E8635515}"/>
    <cellStyle name="Calculation 3 2 3" xfId="1353" xr:uid="{9D02B812-D28E-4704-AA0A-E162734188C2}"/>
    <cellStyle name="Calculation 3 2 4" xfId="1602" xr:uid="{84B4F0A1-E6D6-4208-B78E-A4AB49B715BA}"/>
    <cellStyle name="Calculation 3 2 5" xfId="1974" xr:uid="{6DCE3773-8095-4E9D-BF51-FD7F48D7C26C}"/>
    <cellStyle name="Calculation 3 3" xfId="604" xr:uid="{E1E46AC5-F9CE-4AB3-8E5A-539BC29B74A4}"/>
    <cellStyle name="Calculation 3 3 2" xfId="819" xr:uid="{1AB31A17-EBD3-4BE2-A810-75F1013ED012}"/>
    <cellStyle name="Calculation 3 3 2 2" xfId="1232" xr:uid="{9D4F851D-2302-49E0-9782-14FC20DDDD1C}"/>
    <cellStyle name="Calculation 3 3 2 3" xfId="1795" xr:uid="{B774ACE2-6887-457D-8290-ABB87027B4AE}"/>
    <cellStyle name="Calculation 3 3 2 4" xfId="2166" xr:uid="{AEEB5C06-33A2-46A3-8F7F-97D12C95BDC6}"/>
    <cellStyle name="Calculation 3 3 3" xfId="1426" xr:uid="{C127CFB6-95B2-4AC6-B30B-DBF48FE79C0F}"/>
    <cellStyle name="Calculation 3 3 4" xfId="1588" xr:uid="{1574672B-A798-4E94-91A1-FA1641FBABC7}"/>
    <cellStyle name="Calculation 3 3 5" xfId="1960" xr:uid="{095FC8CC-0F7F-4111-A75D-28D943E43A26}"/>
    <cellStyle name="Calculation 3 4" xfId="688" xr:uid="{01761D4F-D470-4E87-8A0A-98646BF6D407}"/>
    <cellStyle name="Calculation 3 4 2" xfId="903" xr:uid="{47AE2EA7-72A5-44E6-B78C-6A0D1203371D}"/>
    <cellStyle name="Calculation 3 4 2 2" xfId="1495" xr:uid="{CF4807A2-1ADD-46E4-A64F-09A0FFA2E26F}"/>
    <cellStyle name="Calculation 3 4 2 3" xfId="1879" xr:uid="{62E1DDB5-245E-432C-A6C3-C740F31E73A4}"/>
    <cellStyle name="Calculation 3 4 2 4" xfId="2250" xr:uid="{02BA47D5-D57F-465D-AFBA-4EBB26AF076F}"/>
    <cellStyle name="Calculation 3 4 3" xfId="1338" xr:uid="{4FAA1B3B-5C8B-47F0-9BAA-2F328E9F49A8}"/>
    <cellStyle name="Calculation 3 4 4" xfId="1672" xr:uid="{CDC151E4-17C7-42F0-8849-187D45CEB6AF}"/>
    <cellStyle name="Calculation 3 4 5" xfId="2044" xr:uid="{3F4EFD16-7FA1-473A-BA66-CB21D977A3D6}"/>
    <cellStyle name="Calculation 3 5" xfId="721" xr:uid="{2919E0E6-AA44-4596-8AD0-C86060472339}"/>
    <cellStyle name="Calculation 3 5 2" xfId="1273" xr:uid="{CFD84216-077C-4083-A206-8050A1682AB6}"/>
    <cellStyle name="Calculation 3 5 3" xfId="1704" xr:uid="{9FE56217-0D53-441A-BC44-FA9B60E7CE20}"/>
    <cellStyle name="Calculation 3 5 4" xfId="2076" xr:uid="{E55647E2-5FF5-4416-89F3-3941E085614C}"/>
    <cellStyle name="Calculation 3 6" xfId="1369" xr:uid="{8E47245B-EA95-4EA2-9E1E-2383891E93A1}"/>
    <cellStyle name="Calculation 3 7" xfId="1228" xr:uid="{489DEBD3-0C8C-4A53-A72C-A73881D7731B}"/>
    <cellStyle name="Calculation 3 8" xfId="1147" xr:uid="{704FE998-EAE8-475B-8F86-FA8C5245C7EB}"/>
    <cellStyle name="Check Cell 2" xfId="162" xr:uid="{B5D32B62-BB36-4FB9-A7A0-D675F00BF46C}"/>
    <cellStyle name="Check Cell 3" xfId="258" xr:uid="{784AEC6C-D503-4EE0-B1A1-55F454467E2E}"/>
    <cellStyle name="Check Cell 4" xfId="402" xr:uid="{84D1E89F-5174-483E-97B0-33FCA31459F7}"/>
    <cellStyle name="Comma" xfId="19" builtinId="3"/>
    <cellStyle name="Comma [0] 2" xfId="1" xr:uid="{720AC5F4-E745-4D15-AC6B-57F0BB328BA6}"/>
    <cellStyle name="Comma [0] 2 2" xfId="9" xr:uid="{00000000-0005-0000-0000-000001000000}"/>
    <cellStyle name="Comma [0] 2 2 10" xfId="2379" xr:uid="{513E00D2-8427-4263-8C6E-823EDA5937B7}"/>
    <cellStyle name="Comma [0] 2 2 11" xfId="2340" xr:uid="{FB3FFDA3-4141-42BE-9DCD-789390203D37}"/>
    <cellStyle name="Comma [0] 2 2 2" xfId="2355" xr:uid="{DD156D93-4222-4C70-89A3-706FFF418693}"/>
    <cellStyle name="Comma [0] 2 2 3" xfId="2384" xr:uid="{D5DA7D12-53F9-446F-ABBE-8A53376D23CA}"/>
    <cellStyle name="Comma [0] 2 2 4" xfId="2387" xr:uid="{4A164D95-3F2A-4D24-B4D5-EB8CA47FFCA5}"/>
    <cellStyle name="Comma [0] 2 2 5" xfId="2394" xr:uid="{CB62198E-9234-4284-B58A-C4529EEC09AA}"/>
    <cellStyle name="Comma [0] 2 2 6" xfId="2399" xr:uid="{DE90B6ED-586F-4885-BF1B-5C5D09AACEC3}"/>
    <cellStyle name="Comma [0] 2 2 7" xfId="2410" xr:uid="{931D44F3-ABAF-4615-BAF6-4609A3C20BD0}"/>
    <cellStyle name="Comma [0] 2 2 8" xfId="2414" xr:uid="{5C84A5DB-6211-48C7-AFBE-94A906DD36F6}"/>
    <cellStyle name="Comma [0] 2 2 9" xfId="2421" xr:uid="{50A10C41-CAB7-455A-8F0D-3DF3F89F9478}"/>
    <cellStyle name="Comma [0] 2 3" xfId="12" xr:uid="{00000000-0005-0000-0000-000001000000}"/>
    <cellStyle name="Comma [0] 2 3 2" xfId="2328" xr:uid="{EC6A36B7-C479-4BCE-9C5A-1613FEE3DB65}"/>
    <cellStyle name="Comma [0] 2 4" xfId="2365" xr:uid="{107AF63D-75C6-4A14-B361-CBD3BBE5AF84}"/>
    <cellStyle name="Comma [0] 2 5" xfId="2281" xr:uid="{52F86779-8328-4DD3-9B1A-5F83C51204CA}"/>
    <cellStyle name="Comma [0] 2 6" xfId="2277" xr:uid="{610BDADD-955A-4C4F-8542-12C7A87060B5}"/>
    <cellStyle name="Comma [0] 3" xfId="8" xr:uid="{00000000-0005-0000-0000-000035000000}"/>
    <cellStyle name="Comma [0] 3 2" xfId="2279" xr:uid="{42FAB597-7841-4D25-B05B-644E5A2A57A8}"/>
    <cellStyle name="Comma [0] 3 2 2" xfId="2331" xr:uid="{3044FAB6-5F52-4AA3-B831-2933402F33C8}"/>
    <cellStyle name="Comma [0] 3 3" xfId="2367" xr:uid="{5DBA55D8-168E-46C4-B941-1AF4CF1F4210}"/>
    <cellStyle name="Comma [0] 3 4" xfId="2284" xr:uid="{1651F8CD-D111-4BD2-B11E-11D5699F8191}"/>
    <cellStyle name="Comma [0] 4" xfId="11" xr:uid="{00000000-0005-0000-0000-000038000000}"/>
    <cellStyle name="Comma [0] 4 2" xfId="2322" xr:uid="{4A6551F2-6C74-4E34-A17D-C6793FD098DE}"/>
    <cellStyle name="Comma [0] 5" xfId="2430" xr:uid="{6EA8FDDF-22D4-463D-B34E-A2948D7F6AB7}"/>
    <cellStyle name="Comma [0] 6" xfId="2276" xr:uid="{16B8CEFE-6042-4840-B14D-4BA751720539}"/>
    <cellStyle name="Comma [00]" xfId="2293" xr:uid="{06355C77-777E-4C2C-ABA2-B30347A4AC1D}"/>
    <cellStyle name="Comma 10" xfId="2353" xr:uid="{EDA9819C-CC29-40F2-AB83-042E19A8341C}"/>
    <cellStyle name="Comma 11" xfId="2350" xr:uid="{FAA5E247-ADAE-4229-912B-AAEEC514FFC2}"/>
    <cellStyle name="Comma 12" xfId="2383" xr:uid="{365CE5AC-D2E4-4741-939E-C108705CE724}"/>
    <cellStyle name="Comma 13" xfId="2381" xr:uid="{E3330A8D-EA5B-4123-8CD0-579B27965695}"/>
    <cellStyle name="Comma 14" xfId="2386" xr:uid="{BB9CD173-67B6-419C-809F-89989AE7F506}"/>
    <cellStyle name="Comma 15" xfId="2393" xr:uid="{8E848010-201A-47CA-A35D-41806E79615B}"/>
    <cellStyle name="Comma 16" xfId="2389" xr:uid="{8F6F7E20-0C74-4E3F-8743-F93F1738EDC7}"/>
    <cellStyle name="Comma 17" xfId="2392" xr:uid="{6201BE1A-AD0E-44E5-B0A3-A9282B4692D9}"/>
    <cellStyle name="Comma 18" xfId="2398" xr:uid="{4801C166-AA14-46B0-B60A-BD48C45D7FE6}"/>
    <cellStyle name="Comma 19" xfId="2396" xr:uid="{1A6405EE-32D4-4ED3-B719-EAE9DF63A602}"/>
    <cellStyle name="Comma 2" xfId="163" xr:uid="{3671973F-3DC1-486F-9065-F458F7E0EDFA}"/>
    <cellStyle name="Comma 2 2" xfId="164" xr:uid="{FC166547-2BF6-4E61-BB8B-3FEDA5BB87B1}"/>
    <cellStyle name="Comma 2 2 2" xfId="447" xr:uid="{EC1A88E1-B56F-4B03-9FC6-5534FB38814B}"/>
    <cellStyle name="Comma 2 3" xfId="2283" xr:uid="{58F98ECA-BE2A-4181-81C9-0CD7EF248E88}"/>
    <cellStyle name="Comma 20" xfId="2409" xr:uid="{889C429D-4681-474D-8D16-DEA470A3F91E}"/>
    <cellStyle name="Comma 21" xfId="2402" xr:uid="{318D07C9-B0D9-40AA-A39F-E4E3C25C35A6}"/>
    <cellStyle name="Comma 22" xfId="2408" xr:uid="{D1871292-E07F-4DBB-BC4E-A98D9D937479}"/>
    <cellStyle name="Comma 23" xfId="2405" xr:uid="{A02424BA-7D5F-4AB5-8E28-EBF123EB0E7C}"/>
    <cellStyle name="Comma 24" xfId="2404" xr:uid="{F91E93BC-A261-47E5-89C7-786E758107D9}"/>
    <cellStyle name="Comma 25" xfId="2412" xr:uid="{F9559FDE-4814-4A81-B56B-9687DFEC36A9}"/>
    <cellStyle name="Comma 26" xfId="2413" xr:uid="{DD645D90-2262-405B-ACAE-EC1E6FE1447B}"/>
    <cellStyle name="Comma 27" xfId="2420" xr:uid="{3DAE9808-7984-4B51-AD28-A740A0CEF170}"/>
    <cellStyle name="Comma 28" xfId="2422" xr:uid="{851EF0CD-2C30-404D-A672-87CD4D85646F}"/>
    <cellStyle name="Comma 29" xfId="2357" xr:uid="{811103EC-8418-4780-A77A-2FAB0700CAAB}"/>
    <cellStyle name="Comma 3" xfId="165" xr:uid="{1260E5FF-DDB8-4A95-A1A6-F42968CC2667}"/>
    <cellStyle name="Comma 3 2" xfId="2282" xr:uid="{6B1C5CC3-1D02-4083-8F01-C43D3B4BF8EE}"/>
    <cellStyle name="Comma 30" xfId="2360" xr:uid="{47C5FEEA-38D2-41C8-8E76-796E5C137F9B}"/>
    <cellStyle name="Comma 31" xfId="2424" xr:uid="{271543C1-E745-4E55-8DE4-6E171A06DDC6}"/>
    <cellStyle name="Comma 32" xfId="2426" xr:uid="{9DB215CC-E9A8-480D-BF99-EB645521E7D6}"/>
    <cellStyle name="Comma 33" xfId="2429" xr:uid="{E4348F55-C397-4E50-BF60-848C8F85530F}"/>
    <cellStyle name="Comma 4" xfId="2335" xr:uid="{369D0A20-C364-42EC-8862-72BB795EDE31}"/>
    <cellStyle name="Comma 5" xfId="2346" xr:uid="{17C8A48A-B8A9-4859-8A88-791E120678EB}"/>
    <cellStyle name="Comma 6" xfId="2342" xr:uid="{47408F00-7799-4424-8FA0-37A681CD6C5D}"/>
    <cellStyle name="Comma 7" xfId="2345" xr:uid="{F8ACD8E6-A61E-41E8-BA26-E2BEDFB58AD2}"/>
    <cellStyle name="Comma 8" xfId="2354" xr:uid="{B7BDA07E-CBF7-4FEB-AC1F-E065E7416C15}"/>
    <cellStyle name="Comma 9" xfId="2348" xr:uid="{7454994E-8423-4734-B996-3B99E1D02957}"/>
    <cellStyle name="Constants" xfId="23" xr:uid="{5A47AF08-1886-4688-9A15-09AB709BB81C}"/>
    <cellStyle name="Constants 2" xfId="2444" xr:uid="{BED926ED-4BB9-4474-987B-8C8CB668012B}"/>
    <cellStyle name="ContentsHyperlink" xfId="274" xr:uid="{2EA282B9-DD3F-48E4-B499-443F0FEBD5F0}"/>
    <cellStyle name="Currency [00]" xfId="2294" xr:uid="{A1AC3677-E698-427D-AF35-B46036BCAD69}"/>
    <cellStyle name="CustomCellsOrange" xfId="166" xr:uid="{59D47F6D-253D-4542-A90C-7D145E9B3352}"/>
    <cellStyle name="CustomCellsOrange 2" xfId="448" xr:uid="{50A0B01F-7858-452B-B05C-8C85D7070645}"/>
    <cellStyle name="CustomCellsOrange 2 2" xfId="471" xr:uid="{CFAC51F3-3240-43F1-832F-D157A2407383}"/>
    <cellStyle name="CustomCellsOrange 2 2 2" xfId="541" xr:uid="{F8D0C9A0-6FB4-4A56-A715-E97F68166F1D}"/>
    <cellStyle name="CustomCellsOrange 2 2 2 2" xfId="707" xr:uid="{FD599029-E441-4A57-87FC-EFA2582FA10A}"/>
    <cellStyle name="CustomCellsOrange 2 2 2 2 2" xfId="921" xr:uid="{644685E2-5181-4524-B913-BDBA22F36972}"/>
    <cellStyle name="CustomCellsOrange 2 2 2 2 2 2" xfId="1513" xr:uid="{580B9F35-C94E-4639-AAEC-338E282DC4D3}"/>
    <cellStyle name="CustomCellsOrange 2 2 2 2 2 3" xfId="1897" xr:uid="{65F78D5B-9316-470E-A4DF-AA0237164853}"/>
    <cellStyle name="CustomCellsOrange 2 2 2 2 2 4" xfId="2268" xr:uid="{A0600338-D958-4882-90A2-8CE4C55F2492}"/>
    <cellStyle name="CustomCellsOrange 2 2 2 2 3" xfId="1128" xr:uid="{15581DBE-7786-4915-9DE7-DF231BA857E7}"/>
    <cellStyle name="CustomCellsOrange 2 2 2 2 4" xfId="1690" xr:uid="{E4EBF225-BA71-4209-B29F-95FB73B64158}"/>
    <cellStyle name="CustomCellsOrange 2 2 2 2 5" xfId="2062" xr:uid="{D48993D2-9BA6-4021-99A7-0D2CE85CAC8F}"/>
    <cellStyle name="CustomCellsOrange 2 2 3" xfId="690" xr:uid="{63F0655F-8BE3-475D-90E6-8A77D71C7F27}"/>
    <cellStyle name="CustomCellsOrange 2 2 3 2" xfId="905" xr:uid="{3FBD9753-E5D3-459C-A3C3-0415DE842C9B}"/>
    <cellStyle name="CustomCellsOrange 2 2 3 2 2" xfId="1497" xr:uid="{3F5BAAB8-40D0-4C67-844E-E8C15CF96C4D}"/>
    <cellStyle name="CustomCellsOrange 2 2 3 2 3" xfId="1881" xr:uid="{F8399D8A-E13E-48C6-A026-FFBDC3734E8F}"/>
    <cellStyle name="CustomCellsOrange 2 2 3 2 4" xfId="2252" xr:uid="{2F766A6F-D57E-49B4-AE7B-8B9136F922FB}"/>
    <cellStyle name="CustomCellsOrange 2 2 3 3" xfId="1355" xr:uid="{CD92BB70-2108-469B-9B1D-5F914049E7DF}"/>
    <cellStyle name="CustomCellsOrange 2 2 3 4" xfId="1674" xr:uid="{646C4045-96BC-4B38-8A98-880DFA0BB608}"/>
    <cellStyle name="CustomCellsOrange 2 2 3 5" xfId="2046" xr:uid="{01202938-62C6-4389-B1D5-8EC36728B48C}"/>
    <cellStyle name="CustomCellsOrange 2 2 4" xfId="608" xr:uid="{B7D11993-9825-4CDA-ACF0-8F3AC3C308A5}"/>
    <cellStyle name="CustomCellsOrange 2 2 4 2" xfId="823" xr:uid="{42A0051E-33AD-4B3A-99CF-9421C367791F}"/>
    <cellStyle name="CustomCellsOrange 2 2 4 2 2" xfId="1172" xr:uid="{307CADE5-B9B3-4767-85FA-6BCE83734640}"/>
    <cellStyle name="CustomCellsOrange 2 2 4 2 3" xfId="1799" xr:uid="{EEE2A3AE-80F5-4635-A4D1-D49995B5484F}"/>
    <cellStyle name="CustomCellsOrange 2 2 4 2 4" xfId="2170" xr:uid="{5D2025FC-FB11-48EE-B109-91C273082E7F}"/>
    <cellStyle name="CustomCellsOrange 2 2 4 3" xfId="1296" xr:uid="{DF8034EA-4E6C-44BC-B6FD-C59ED8F90A33}"/>
    <cellStyle name="CustomCellsOrange 2 2 4 4" xfId="1592" xr:uid="{A954E42A-CD33-429B-9DFE-6DF3B26BBC8B}"/>
    <cellStyle name="CustomCellsOrange 2 2 4 5" xfId="1964" xr:uid="{42EB112D-E176-4AC1-8DBD-BE55A3892E33}"/>
    <cellStyle name="CustomCellsOrange 2 2 5" xfId="709" xr:uid="{9981D1FC-F649-4B78-B91D-79B319C341D2}"/>
    <cellStyle name="CustomCellsOrange 2 2 5 2" xfId="923" xr:uid="{0DF8D3CC-0EEC-4004-896A-979A5E5D3F56}"/>
    <cellStyle name="CustomCellsOrange 2 2 5 2 2" xfId="1515" xr:uid="{3CE45866-00C4-4FC6-9ABD-9408A0F816D4}"/>
    <cellStyle name="CustomCellsOrange 2 2 5 2 3" xfId="1899" xr:uid="{9D10E049-42BD-4462-95E5-F3CAEEFED56B}"/>
    <cellStyle name="CustomCellsOrange 2 2 5 2 4" xfId="2270" xr:uid="{83A72FF1-2DE2-4EA7-B6D3-AA9C84AA4B90}"/>
    <cellStyle name="CustomCellsOrange 2 2 5 3" xfId="1368" xr:uid="{DCEAD7AB-AE82-4B8C-B5A2-6558E4A178CD}"/>
    <cellStyle name="CustomCellsOrange 2 2 5 4" xfId="1692" xr:uid="{0FAE68AE-34D8-4BFC-930A-D8C1CDB1D7A9}"/>
    <cellStyle name="CustomCellsOrange 2 2 5 5" xfId="2064" xr:uid="{23D8C6E8-AE3B-4FD1-8B50-480869377E1A}"/>
    <cellStyle name="CustomCellsOrange 2 2 6" xfId="1097" xr:uid="{854BAC79-02BB-4A27-B301-ED28C01E20E9}"/>
    <cellStyle name="CustomCellsOrange 2 2 7" xfId="82" xr:uid="{41D55330-1459-4733-AD03-A7005F67C3C7}"/>
    <cellStyle name="CustomCellsOrange 2 2 8" xfId="1235" xr:uid="{C88E0635-50C7-4203-B0A2-9D54BBCEA55C}"/>
    <cellStyle name="CustomCellsOrange 3" xfId="306" xr:uid="{860F36C8-B33E-4870-9DF9-E101CEF381C5}"/>
    <cellStyle name="CustomCellsOrange 3 2" xfId="645" xr:uid="{C08CD969-1AF1-483A-A543-574B105C7453}"/>
    <cellStyle name="CustomCellsOrange 3 2 2" xfId="860" xr:uid="{45B4A282-E3A3-46D4-B61E-A7214D557691}"/>
    <cellStyle name="CustomCellsOrange 3 2 2 2" xfId="1189" xr:uid="{CC4543CA-EA54-44B5-875F-A1C33371F66A}"/>
    <cellStyle name="CustomCellsOrange 3 2 2 3" xfId="1836" xr:uid="{3E6758B2-8209-459F-B0D3-84ECD4F9F4C0}"/>
    <cellStyle name="CustomCellsOrange 3 2 2 4" xfId="2207" xr:uid="{8BB15A5F-D698-479C-ABAB-E6D64B52419D}"/>
    <cellStyle name="CustomCellsOrange 3 2 3" xfId="1202" xr:uid="{4DF97774-E69B-47FC-8FB3-1FD82B66F5EB}"/>
    <cellStyle name="CustomCellsOrange 3 2 4" xfId="1629" xr:uid="{779BA2AF-5FCE-412C-9B6B-1F89A82D3863}"/>
    <cellStyle name="CustomCellsOrange 3 2 5" xfId="2001" xr:uid="{AE02B9F7-799D-4D07-8CD0-64A7D766FA5A}"/>
    <cellStyle name="CustomCellsOrange 3 3" xfId="578" xr:uid="{E49AF2FE-F3E2-46D5-951D-81E5006E5480}"/>
    <cellStyle name="CustomCellsOrange 3 3 2" xfId="793" xr:uid="{7C3C8D71-9779-4E08-99D5-92EB64E72390}"/>
    <cellStyle name="CustomCellsOrange 3 3 2 2" xfId="926" xr:uid="{639C5934-A6DD-46A3-AC63-8B352093A9BE}"/>
    <cellStyle name="CustomCellsOrange 3 3 2 3" xfId="1769" xr:uid="{9C57D91F-5208-4A95-9545-A3A2A672F81E}"/>
    <cellStyle name="CustomCellsOrange 3 3 2 4" xfId="2140" xr:uid="{EC109F5A-0F48-4376-91B8-692573C1416B}"/>
    <cellStyle name="CustomCellsOrange 3 3 3" xfId="1114" xr:uid="{EC1F2799-6873-486B-9966-F5120757D21F}"/>
    <cellStyle name="CustomCellsOrange 3 3 4" xfId="1562" xr:uid="{69080A39-24DD-486C-864A-99112DAEA419}"/>
    <cellStyle name="CustomCellsOrange 3 3 5" xfId="1934" xr:uid="{D87681BA-7EDF-4882-A19C-34C50A12A29C}"/>
    <cellStyle name="CustomCellsOrange 3 4" xfId="591" xr:uid="{A907DCFB-E975-4376-B241-31A87A21C785}"/>
    <cellStyle name="CustomCellsOrange 3 4 2" xfId="806" xr:uid="{96733A4D-A56D-4940-A6E1-7A4437B55EDD}"/>
    <cellStyle name="CustomCellsOrange 3 4 2 2" xfId="934" xr:uid="{5A581A6C-F0FC-4890-9ADB-AAA1EDC7F417}"/>
    <cellStyle name="CustomCellsOrange 3 4 2 3" xfId="1782" xr:uid="{1A86E3C2-A3FB-4B69-8957-3C9F620245AB}"/>
    <cellStyle name="CustomCellsOrange 3 4 2 4" xfId="2153" xr:uid="{87F889FD-48D9-4F3A-A671-B327422B6EF5}"/>
    <cellStyle name="CustomCellsOrange 3 4 3" xfId="1330" xr:uid="{88181248-D28E-4EF4-9293-033060871A6A}"/>
    <cellStyle name="CustomCellsOrange 3 4 4" xfId="1575" xr:uid="{083B5ADA-EE09-433A-9A8A-B74BF76B5ADD}"/>
    <cellStyle name="CustomCellsOrange 3 4 5" xfId="1947" xr:uid="{68D7B6B5-A008-40AF-A432-C042BCC0BA26}"/>
    <cellStyle name="CustomCellsOrange 3 5" xfId="731" xr:uid="{500948F1-1060-4C22-8A49-386F652DD67F}"/>
    <cellStyle name="CustomCellsOrange 3 6" xfId="1367" xr:uid="{7DD77AF3-8BD7-42EF-A276-7E2F3649886B}"/>
    <cellStyle name="CustomCellsOrange 3 7" xfId="1482" xr:uid="{CDA31D1C-80D0-4B86-95F6-B99EE852F639}"/>
    <cellStyle name="CustomCellsOrange 3 8" xfId="1436" xr:uid="{0217D67F-D82B-45D6-8022-902A30A23B90}"/>
    <cellStyle name="CustomizationCells" xfId="38" xr:uid="{BA783A57-CB1C-4EFF-BDDD-AEA0BB17F773}"/>
    <cellStyle name="CustomizationCells 2" xfId="449" xr:uid="{824E3C1C-B0CE-4FC2-BDEB-8AE3718EC01C}"/>
    <cellStyle name="CustomizationCells 2 2" xfId="472" xr:uid="{654655DD-4741-4ADF-B2E9-72D898A537D3}"/>
    <cellStyle name="CustomizationCells 2 2 2" xfId="542" xr:uid="{24E3132B-12E3-4646-B3CE-EB1B591AFAA6}"/>
    <cellStyle name="CustomizationCells 2 2 2 2" xfId="708" xr:uid="{E459CF7A-114A-4ADF-AC61-C25982FC397D}"/>
    <cellStyle name="CustomizationCells 2 2 2 2 2" xfId="922" xr:uid="{B31913ED-1E90-4DCF-BA39-F76F8FCC8351}"/>
    <cellStyle name="CustomizationCells 2 2 2 2 2 2" xfId="1514" xr:uid="{63525D34-C268-4D5D-BAF8-1612BCC3BF53}"/>
    <cellStyle name="CustomizationCells 2 2 2 2 2 3" xfId="1898" xr:uid="{F9AAB58E-0AE1-49BC-A4FC-6168FC47D6C7}"/>
    <cellStyle name="CustomizationCells 2 2 2 2 2 4" xfId="2269" xr:uid="{C280EBD1-35D1-4E17-ACF0-65469F805C84}"/>
    <cellStyle name="CustomizationCells 2 2 2 2 3" xfId="947" xr:uid="{35AB1F76-9015-45A4-9336-CFBD5FB1BE1C}"/>
    <cellStyle name="CustomizationCells 2 2 2 2 4" xfId="1691" xr:uid="{C45E7A50-5F41-44DD-8F02-6A203667B88F}"/>
    <cellStyle name="CustomizationCells 2 2 2 2 5" xfId="2063" xr:uid="{6C607E52-05C6-446C-AD42-B6AF16A7A70C}"/>
    <cellStyle name="CustomizationCells 2 2 3" xfId="691" xr:uid="{8F49315F-FA60-460A-8DBF-1FA296E8D644}"/>
    <cellStyle name="CustomizationCells 2 2 3 2" xfId="906" xr:uid="{BC7471E0-974A-461F-8D21-255CDFAC7835}"/>
    <cellStyle name="CustomizationCells 2 2 3 2 2" xfId="1498" xr:uid="{08C0A1AB-9776-4CC6-AF49-6E2D360E0638}"/>
    <cellStyle name="CustomizationCells 2 2 3 2 3" xfId="1882" xr:uid="{A57A4D65-59B7-43C8-A7D4-A4623DC67411}"/>
    <cellStyle name="CustomizationCells 2 2 3 2 4" xfId="2253" xr:uid="{D25B006A-832E-4A1D-BD6C-E849A77EFF33}"/>
    <cellStyle name="CustomizationCells 2 2 3 3" xfId="1014" xr:uid="{2397850A-2410-48AF-AA2F-C7A0A4B91FDE}"/>
    <cellStyle name="CustomizationCells 2 2 3 4" xfId="1675" xr:uid="{8928C359-CAF5-4ED4-8DC9-5D0DBA8B1578}"/>
    <cellStyle name="CustomizationCells 2 2 3 5" xfId="2047" xr:uid="{FF20E7CA-6C16-4133-8948-6BCE904321BE}"/>
    <cellStyle name="CustomizationCells 2 2 4" xfId="554" xr:uid="{3400CA2B-AA0E-4EC9-8885-1EA40140FFF2}"/>
    <cellStyle name="CustomizationCells 2 2 4 2" xfId="769" xr:uid="{EE270880-F793-4A89-981C-7DAC35A96FC6}"/>
    <cellStyle name="CustomizationCells 2 2 4 2 2" xfId="969" xr:uid="{32E9527E-E259-479A-BB7E-D3F4794D4F58}"/>
    <cellStyle name="CustomizationCells 2 2 4 2 3" xfId="1745" xr:uid="{125902FA-AD1C-4CD1-A781-F3631403CF3F}"/>
    <cellStyle name="CustomizationCells 2 2 4 2 4" xfId="2116" xr:uid="{F394F386-F580-43F3-AF6C-E37A4A121041}"/>
    <cellStyle name="CustomizationCells 2 2 4 3" xfId="1094" xr:uid="{486D26E2-86D9-4A73-B019-15FB8D1BB353}"/>
    <cellStyle name="CustomizationCells 2 2 4 4" xfId="1538" xr:uid="{153A2B3A-41DC-4A3E-927F-1B848DE913CD}"/>
    <cellStyle name="CustomizationCells 2 2 4 5" xfId="1910" xr:uid="{5EADD8F4-57BE-4FB8-AA85-71DB7CFDEA84}"/>
    <cellStyle name="CustomizationCells 2 2 5" xfId="710" xr:uid="{F1DC11A3-CDD1-4025-8CD6-6EEE8B2DF325}"/>
    <cellStyle name="CustomizationCells 2 2 5 2" xfId="924" xr:uid="{98DB0CCF-CDE0-4CCE-9779-10B660DFDADF}"/>
    <cellStyle name="CustomizationCells 2 2 5 3" xfId="1282" xr:uid="{461AB4A2-CD54-4DA7-8EF4-EE4F7D48DFB6}"/>
    <cellStyle name="CustomizationCells 2 2 5 4" xfId="1693" xr:uid="{45163298-CE9A-4665-A87A-B4509260C399}"/>
    <cellStyle name="CustomizationCells 2 2 5 5" xfId="2065" xr:uid="{C6F2BE76-994E-4E2B-B9A6-B7C380BCD6B3}"/>
    <cellStyle name="CustomizationCells 2 2 6" xfId="1293" xr:uid="{E8244BB7-5A2B-40FB-81B6-2C5904718050}"/>
    <cellStyle name="CustomizationCells 2 2 7" xfId="1476" xr:uid="{CE89D80C-C250-43E6-8ABE-79D6184BE75B}"/>
    <cellStyle name="CustomizationCells 2 2 8" xfId="1219" xr:uid="{AEA031BD-E7F4-4B45-BE11-6940C29108A1}"/>
    <cellStyle name="CustomizationCells 3" xfId="307" xr:uid="{F0C17AB2-09F4-49E8-9EA6-0ABCECBADE9D}"/>
    <cellStyle name="CustomizationCells 3 2" xfId="646" xr:uid="{4F4FF20B-B81B-4114-B191-C703B44E0105}"/>
    <cellStyle name="CustomizationCells 3 2 2" xfId="861" xr:uid="{A5C485B3-C953-4756-8D5C-2F693DDE9090}"/>
    <cellStyle name="CustomizationCells 3 2 2 2" xfId="1180" xr:uid="{422D7744-DB28-46FD-8BB9-F458FE31658D}"/>
    <cellStyle name="CustomizationCells 3 2 2 3" xfId="1837" xr:uid="{25712CA5-9021-406A-BCAA-411F51472224}"/>
    <cellStyle name="CustomizationCells 3 2 2 4" xfId="2208" xr:uid="{7EA87B40-86BD-4111-917F-5642C97A2E2C}"/>
    <cellStyle name="CustomizationCells 3 2 3" xfId="943" xr:uid="{C8EF0007-0B4D-42BE-9A6D-8C6A71258E17}"/>
    <cellStyle name="CustomizationCells 3 2 4" xfId="1630" xr:uid="{56D5C8A2-08D4-4D5A-88CC-D533CFC80641}"/>
    <cellStyle name="CustomizationCells 3 2 5" xfId="2002" xr:uid="{D8BCD411-F0DE-4E8B-AA91-756F43F9CAB5}"/>
    <cellStyle name="CustomizationCells 3 3" xfId="673" xr:uid="{346CACEA-9DFE-4E4A-99AE-A2523CB5CD92}"/>
    <cellStyle name="CustomizationCells 3 3 2" xfId="888" xr:uid="{C32854C7-BF0B-4DC9-88F9-E0A14B81101D}"/>
    <cellStyle name="CustomizationCells 3 3 2 2" xfId="1155" xr:uid="{FFED3B57-7B92-4028-9C9B-AD7B039BA61F}"/>
    <cellStyle name="CustomizationCells 3 3 2 3" xfId="1864" xr:uid="{56D319D4-4782-45AE-84D0-6DB892D70499}"/>
    <cellStyle name="CustomizationCells 3 3 2 4" xfId="2235" xr:uid="{BB98B6D2-3010-43E2-A794-4B0174168AF3}"/>
    <cellStyle name="CustomizationCells 3 3 3" xfId="1287" xr:uid="{AF40AAC1-2CE3-4C9C-820D-AD9CBA9C686C}"/>
    <cellStyle name="CustomizationCells 3 3 4" xfId="1657" xr:uid="{8F87EAB3-35DC-409E-8238-0EFE06B39215}"/>
    <cellStyle name="CustomizationCells 3 3 5" xfId="2029" xr:uid="{E38D3369-68EE-4FC7-8C15-C9FB510E9C08}"/>
    <cellStyle name="CustomizationCells 3 4" xfId="593" xr:uid="{F77AA21A-3023-4387-B90A-98380CB0C7EC}"/>
    <cellStyle name="CustomizationCells 3 4 2" xfId="808" xr:uid="{E57E6BC7-A6BC-48E7-8771-5596DB14DA11}"/>
    <cellStyle name="CustomizationCells 3 4 2 2" xfId="954" xr:uid="{E8DDB2A5-505D-491E-A24D-719ACEEE106D}"/>
    <cellStyle name="CustomizationCells 3 4 2 3" xfId="1784" xr:uid="{A23A4205-6F66-490D-8B45-747F92F4C518}"/>
    <cellStyle name="CustomizationCells 3 4 2 4" xfId="2155" xr:uid="{DFE74696-1159-49C7-9E4C-FE8BE0FCCE9C}"/>
    <cellStyle name="CustomizationCells 3 4 3" xfId="1217" xr:uid="{FED73990-3DD8-41FC-92B5-4E4F65EBBCED}"/>
    <cellStyle name="CustomizationCells 3 4 4" xfId="1577" xr:uid="{DF0EFCB8-2C3E-4C40-8C68-2BD14E052C9E}"/>
    <cellStyle name="CustomizationCells 3 4 5" xfId="1949" xr:uid="{0BFA1ADD-3497-41CB-91F6-0FE32E81A4B6}"/>
    <cellStyle name="CustomizationCells 3 5" xfId="732" xr:uid="{09A93C7C-5ABF-4241-BF60-47390B080565}"/>
    <cellStyle name="CustomizationCells 3 6" xfId="1275" xr:uid="{02F3E77C-F0C5-4C28-9444-73C67AA6474E}"/>
    <cellStyle name="CustomizationCells 3 7" xfId="1399" xr:uid="{75F75C82-3FBC-4FDD-9C12-E1D3213333F3}"/>
    <cellStyle name="CustomizationCells 3 8" xfId="1457" xr:uid="{0926C78A-EE81-439B-8FEB-E82356DC81B7}"/>
    <cellStyle name="CustomizationCells 4" xfId="104" xr:uid="{AC441EC2-90B4-4AF3-B155-1521F291537C}"/>
    <cellStyle name="CustomizationCells 5" xfId="2456" xr:uid="{D19B5055-B947-4977-A5D1-8359049355E9}"/>
    <cellStyle name="CustomizationCells 6" xfId="2484" xr:uid="{CEAF4E81-425D-416E-8890-6D06A7611A45}"/>
    <cellStyle name="CustomizationGreenCells" xfId="167" xr:uid="{441BAF00-8C00-488B-AABD-E6324AD73619}"/>
    <cellStyle name="CustomizationGreenCells 2" xfId="450" xr:uid="{760B9816-EE5A-40D6-BBE4-6D2B0B619AA0}"/>
    <cellStyle name="CustomizationGreenCells 3" xfId="308" xr:uid="{B4D6179D-626B-4429-AA6E-3F8726543E81}"/>
    <cellStyle name="CustomizationGreenCells 3 2" xfId="647" xr:uid="{37CB6C12-114E-4406-88F1-10D8A9C1EDAB}"/>
    <cellStyle name="CustomizationGreenCells 3 2 2" xfId="862" xr:uid="{5BEF6375-DE0E-4C7C-A618-5BB05AEF8CC8}"/>
    <cellStyle name="CustomizationGreenCells 3 2 2 2" xfId="1418" xr:uid="{3AAB7B27-3CDF-4B04-92A2-71B5F1FC7BF3}"/>
    <cellStyle name="CustomizationGreenCells 3 2 2 3" xfId="1838" xr:uid="{40B4E6C5-D761-4763-9C71-C1C18FE3C33E}"/>
    <cellStyle name="CustomizationGreenCells 3 2 2 4" xfId="2209" xr:uid="{E4C56EF9-CDEE-4820-91ED-F507A867FF19}"/>
    <cellStyle name="CustomizationGreenCells 3 2 3" xfId="1178" xr:uid="{AE21149D-3CAB-4FCC-A17F-2B4AFBC54260}"/>
    <cellStyle name="CustomizationGreenCells 3 2 4" xfId="1631" xr:uid="{EDB99AC0-C4B2-446C-9EEF-16159A882DAC}"/>
    <cellStyle name="CustomizationGreenCells 3 2 5" xfId="2003" xr:uid="{4E628921-93A4-4A3A-8567-AEFBF22E5B43}"/>
    <cellStyle name="CustomizationGreenCells 3 3" xfId="617" xr:uid="{49CD369B-64E9-45A8-89D2-C316D2B3C042}"/>
    <cellStyle name="CustomizationGreenCells 3 3 2" xfId="832" xr:uid="{E23BE794-4CA9-43D1-8A06-C6BC98EA56F0}"/>
    <cellStyle name="CustomizationGreenCells 3 3 2 2" xfId="1414" xr:uid="{63D4EF8E-2669-43BF-A105-A1789D985CDD}"/>
    <cellStyle name="CustomizationGreenCells 3 3 2 3" xfId="1808" xr:uid="{F82DF5D7-72AB-425F-BFCC-F981BC8E127F}"/>
    <cellStyle name="CustomizationGreenCells 3 3 2 4" xfId="2179" xr:uid="{50062FD6-3A01-4E72-8424-1E770E0F11EA}"/>
    <cellStyle name="CustomizationGreenCells 3 3 3" xfId="1116" xr:uid="{35BF20A7-741D-47D5-9F24-3F45D6D3BF04}"/>
    <cellStyle name="CustomizationGreenCells 3 3 4" xfId="1601" xr:uid="{F3F60D5F-A64B-4D7B-BC9E-7A4334D0A8CD}"/>
    <cellStyle name="CustomizationGreenCells 3 3 5" xfId="1973" xr:uid="{5867DD8D-4623-4B49-B453-134077EBFA98}"/>
    <cellStyle name="CustomizationGreenCells 3 4" xfId="550" xr:uid="{2BA6B975-A362-4D4B-82C9-ECE86B8FE1E3}"/>
    <cellStyle name="CustomizationGreenCells 3 4 2" xfId="765" xr:uid="{D7371BF7-4892-4011-8F2C-5236A3C198F1}"/>
    <cellStyle name="CustomizationGreenCells 3 4 2 2" xfId="973" xr:uid="{5B4FE254-5AD3-49AB-9151-EF0E31B8E6BF}"/>
    <cellStyle name="CustomizationGreenCells 3 4 2 3" xfId="1741" xr:uid="{72D37070-D4ED-4E97-95E4-446A8965583D}"/>
    <cellStyle name="CustomizationGreenCells 3 4 2 4" xfId="2112" xr:uid="{32FC148B-2AF8-48C7-9441-FA45303D6690}"/>
    <cellStyle name="CustomizationGreenCells 3 4 3" xfId="1179" xr:uid="{8693D4A4-5338-4E5E-8F9A-3D21FDD0B547}"/>
    <cellStyle name="CustomizationGreenCells 3 4 4" xfId="1534" xr:uid="{6481FA47-7A46-4274-B5A0-B050922C5088}"/>
    <cellStyle name="CustomizationGreenCells 3 4 5" xfId="1906" xr:uid="{A6798E62-AC35-44FB-9739-9DCA15054AB6}"/>
    <cellStyle name="CustomizationGreenCells 3 5" xfId="733" xr:uid="{5B75A437-95E5-4791-AE5B-38023F8C9EBF}"/>
    <cellStyle name="CustomizationGreenCells 3 6" xfId="1054" xr:uid="{DB03C712-FC1F-49D1-ACEA-92CE0F851F00}"/>
    <cellStyle name="CustomizationGreenCells 3 7" xfId="1328" xr:uid="{D70A8A5F-56D3-4895-A530-D45259FDC3A2}"/>
    <cellStyle name="CustomizationGreenCells 3 8" xfId="1118" xr:uid="{C0B804F0-4931-4ABB-8449-A8065B9215D4}"/>
    <cellStyle name="Date" xfId="7" xr:uid="{50D1799A-A772-4217-A5E0-F0DDB456B1A4}"/>
    <cellStyle name="Date Short" xfId="2295" xr:uid="{87202DEC-9C56-4492-B088-B07CB482F418}"/>
    <cellStyle name="DocBox_EmptyRow" xfId="35" xr:uid="{364F7F53-6750-4715-850B-1539BB587074}"/>
    <cellStyle name="Eingabe" xfId="21" xr:uid="{398031ED-C6D7-4C61-8B7E-4A5664A53BAA}"/>
    <cellStyle name="Eingabe 2" xfId="405" xr:uid="{65BDE1C9-D441-45A1-9324-042D2E2FF67D}"/>
    <cellStyle name="Eingabe 3" xfId="451" xr:uid="{F3FFB3F4-B793-454D-8E9B-115B542002E8}"/>
    <cellStyle name="Eingabe 3 2" xfId="687" xr:uid="{91865D5D-E9C1-47EE-965E-3FFBDE6DE47B}"/>
    <cellStyle name="Eingabe 3 2 2" xfId="902" xr:uid="{16F210A8-7771-4313-ABA2-89CAA4AFEC03}"/>
    <cellStyle name="Eingabe 3 2 2 2" xfId="1494" xr:uid="{1E6670A7-7ED9-419E-9687-473F0684F040}"/>
    <cellStyle name="Eingabe 3 2 2 3" xfId="1878" xr:uid="{5745C8F7-ABBB-4E2D-9875-9126193C14D8}"/>
    <cellStyle name="Eingabe 3 2 2 4" xfId="2249" xr:uid="{B9256E29-BF63-49E1-AD99-68AE06D49326}"/>
    <cellStyle name="Eingabe 3 2 3" xfId="1415" xr:uid="{590D25F8-1B41-4508-A657-53F845941CAF}"/>
    <cellStyle name="Eingabe 3 2 4" xfId="1671" xr:uid="{30FBD618-CFC5-4502-9D59-A80D401F2895}"/>
    <cellStyle name="Eingabe 3 2 5" xfId="2043" xr:uid="{36F79D55-AC4F-4D61-81C1-13D820757BBE}"/>
    <cellStyle name="Eingabe 3 3" xfId="676" xr:uid="{874FAC7D-DB5E-448E-B296-623584585B56}"/>
    <cellStyle name="Eingabe 3 3 2" xfId="891" xr:uid="{3E8AE5E3-DE96-48B2-9FB0-DB047AD9054F}"/>
    <cellStyle name="Eingabe 3 3 2 2" xfId="1105" xr:uid="{1FD4CC04-E58F-4160-884C-AD3AA0C72E25}"/>
    <cellStyle name="Eingabe 3 3 2 3" xfId="1867" xr:uid="{B46C3131-0E94-4A05-966E-98A431CA9BD0}"/>
    <cellStyle name="Eingabe 3 3 2 4" xfId="2238" xr:uid="{DBDC8B52-6B3E-4DE4-AF6D-B275B4031AD7}"/>
    <cellStyle name="Eingabe 3 3 3" xfId="1196" xr:uid="{5A66EA59-652E-45D1-8235-1D27106F86DF}"/>
    <cellStyle name="Eingabe 3 3 4" xfId="1660" xr:uid="{2598121C-05BF-46CF-8908-0E1368355B0E}"/>
    <cellStyle name="Eingabe 3 3 5" xfId="2032" xr:uid="{773874C7-C531-4027-88DC-D3BB3AB50518}"/>
    <cellStyle name="Eingabe 3 4" xfId="567" xr:uid="{764126B1-A55B-4347-BC29-96C155C3CDF0}"/>
    <cellStyle name="Eingabe 3 4 2" xfId="782" xr:uid="{C27D50AE-C74A-4D98-A894-0730FCFE12C5}"/>
    <cellStyle name="Eingabe 3 4 2 2" xfId="1156" xr:uid="{2FF92294-5787-43C2-AB5A-B72A5BA82748}"/>
    <cellStyle name="Eingabe 3 4 2 3" xfId="1758" xr:uid="{5C7F2302-7DD3-492A-840F-B32D1029DBDA}"/>
    <cellStyle name="Eingabe 3 4 2 4" xfId="2129" xr:uid="{3FF3B017-B921-4DD5-8E7D-9F05E87A02B6}"/>
    <cellStyle name="Eingabe 3 4 3" xfId="1448" xr:uid="{0E8B4435-D368-4D90-BFB6-4AFF97268291}"/>
    <cellStyle name="Eingabe 3 4 4" xfId="1551" xr:uid="{3E72972E-4987-4140-8A66-A21914F4149B}"/>
    <cellStyle name="Eingabe 3 4 5" xfId="1923" xr:uid="{6186A2C8-4163-49AB-97E5-3C20D36AB953}"/>
    <cellStyle name="Eingabe 3 5" xfId="750" xr:uid="{845C0733-1922-4718-BBEC-02BA26733E46}"/>
    <cellStyle name="Eingabe 3 5 2" xfId="1361" xr:uid="{9FBB2B8B-001F-403C-8CC2-FA2EB2DF91D3}"/>
    <cellStyle name="Eingabe 3 5 3" xfId="1726" xr:uid="{B17BB897-720F-4F45-97D7-27B129772050}"/>
    <cellStyle name="Eingabe 3 5 4" xfId="2097" xr:uid="{0C5F3AE8-8A46-4F16-9B36-B437306FDFD7}"/>
    <cellStyle name="Eingabe 3 6" xfId="1040" xr:uid="{17827B19-8B4D-40AB-A235-253A1DD10A81}"/>
    <cellStyle name="Eingabe 3 7" xfId="1150" xr:uid="{BD75BE15-321A-4369-B9FA-52F374B27C86}"/>
    <cellStyle name="Eingabe 3 8" xfId="1055" xr:uid="{CAD48FCA-E366-467E-BF3C-334CC2546BD5}"/>
    <cellStyle name="Eingabe 4" xfId="310" xr:uid="{64B3A962-E451-4DC9-B1EF-9B0EBAB7EE60}"/>
    <cellStyle name="Eingabe 4 2" xfId="648" xr:uid="{11E98C0C-CE26-420A-A110-96FAC8B2D8B7}"/>
    <cellStyle name="Eingabe 4 2 2" xfId="863" xr:uid="{E863E295-BF1F-4AA9-B6FE-3A6588249CDE}"/>
    <cellStyle name="Eingabe 4 2 2 2" xfId="1007" xr:uid="{588DAC93-4975-44E6-9C40-69308A63499F}"/>
    <cellStyle name="Eingabe 4 2 2 3" xfId="1839" xr:uid="{AA96ADE7-5EEE-4436-8F03-EC1333668227}"/>
    <cellStyle name="Eingabe 4 2 2 4" xfId="2210" xr:uid="{32D7993A-D134-4A5A-8B5D-7E4A7323A650}"/>
    <cellStyle name="Eingabe 4 2 3" xfId="1186" xr:uid="{D8D800B5-DFE0-433F-95F1-CBAA9BCDC5C5}"/>
    <cellStyle name="Eingabe 4 2 4" xfId="1632" xr:uid="{6B23D2E8-A3C8-4B4E-BBFB-37938946CEB1}"/>
    <cellStyle name="Eingabe 4 2 5" xfId="2004" xr:uid="{76E66CC0-AB02-4259-87B6-5CF5FA162A59}"/>
    <cellStyle name="Eingabe 4 3" xfId="575" xr:uid="{0FAE4AAE-EB7E-4B43-98B2-BC603C52FD8B}"/>
    <cellStyle name="Eingabe 4 3 2" xfId="790" xr:uid="{0E956D42-43D2-4FBE-B67E-2E13E649CE1B}"/>
    <cellStyle name="Eingabe 4 3 2 2" xfId="1049" xr:uid="{3C020439-8801-45DD-A838-A8E98A2CAA3F}"/>
    <cellStyle name="Eingabe 4 3 2 3" xfId="1766" xr:uid="{84D927A2-F5EF-4CD5-A0BE-B4D4F51CDCFE}"/>
    <cellStyle name="Eingabe 4 3 2 4" xfId="2137" xr:uid="{D5E358F6-4A7A-4A14-ADF0-D019343EBB15}"/>
    <cellStyle name="Eingabe 4 3 3" xfId="1035" xr:uid="{7979C6D3-E215-4612-B880-2D54FBA38956}"/>
    <cellStyle name="Eingabe 4 3 4" xfId="1559" xr:uid="{3C5947C6-FA17-4982-AE16-8CC4C9E02ACB}"/>
    <cellStyle name="Eingabe 4 3 5" xfId="1931" xr:uid="{0B3A7E1D-8CC7-4939-8434-C73C6CCD343C}"/>
    <cellStyle name="Eingabe 4 4" xfId="551" xr:uid="{EB2F91A0-1B16-493C-A51A-9191D3ACAD1F}"/>
    <cellStyle name="Eingabe 4 4 2" xfId="766" xr:uid="{5ABF84F0-BA7E-4FEA-A30B-E948DE1411E3}"/>
    <cellStyle name="Eingabe 4 4 2 2" xfId="1137" xr:uid="{EB7090BD-74A7-40C7-B010-7C429AB9271E}"/>
    <cellStyle name="Eingabe 4 4 2 3" xfId="1742" xr:uid="{72ED6EA6-3B03-4707-ABCD-A4A00579063D}"/>
    <cellStyle name="Eingabe 4 4 2 4" xfId="2113" xr:uid="{0A7787EA-855F-4FD2-AE1A-789B233A961A}"/>
    <cellStyle name="Eingabe 4 4 3" xfId="1286" xr:uid="{73D1D01B-E8C2-4F52-B257-A1D4DF4C6353}"/>
    <cellStyle name="Eingabe 4 4 4" xfId="1535" xr:uid="{BF946DC5-CF06-486C-BB03-7C8857006D30}"/>
    <cellStyle name="Eingabe 4 4 5" xfId="1907" xr:uid="{1F33D603-4A02-4AD4-B8E6-77514311D424}"/>
    <cellStyle name="Eingabe 4 5" xfId="734" xr:uid="{82F5D8CB-D1DD-4165-9AD9-0A40E0ED094B}"/>
    <cellStyle name="Eingabe 4 5 2" xfId="1218" xr:uid="{5A5DE559-0D46-4972-9880-94F2AD7D61D3}"/>
    <cellStyle name="Eingabe 4 5 3" xfId="1711" xr:uid="{C34E4A1B-6241-446F-9AED-924A9F452AB7}"/>
    <cellStyle name="Eingabe 4 5 4" xfId="2082" xr:uid="{1227DB78-0DBA-4677-9186-F96E801EC729}"/>
    <cellStyle name="Eingabe 4 6" xfId="1401" xr:uid="{30833769-7757-4EF6-825E-8389BA4375D4}"/>
    <cellStyle name="Eingabe 4 7" xfId="68" xr:uid="{3D8E6FC2-E715-4794-917D-275EE202032F}"/>
    <cellStyle name="Eingabe 4 8" xfId="1459" xr:uid="{3BD58B94-8931-48C1-97F8-AC06B3ACD6A4}"/>
    <cellStyle name="Eingabe 5" xfId="585" xr:uid="{3D3FF8D6-E015-4960-BF2D-EF4A378D568C}"/>
    <cellStyle name="Eingabe 5 2" xfId="800" xr:uid="{1E21A39F-4520-4C99-B3EF-EB6C8F8E8901}"/>
    <cellStyle name="Eingabe 5 2 2" xfId="939" xr:uid="{129FBDA2-5E4A-4647-847A-A3239C1E26A1}"/>
    <cellStyle name="Eingabe 5 2 3" xfId="1776" xr:uid="{DC527992-F9E1-4146-97E2-DD65B31499DA}"/>
    <cellStyle name="Eingabe 5 2 4" xfId="2147" xr:uid="{9392C8A0-8CC0-4AA2-BECE-ABAFD2D65A8C}"/>
    <cellStyle name="Eingabe 5 3" xfId="1484" xr:uid="{02A3CFEA-9067-4A84-88CA-DD183DB3AE97}"/>
    <cellStyle name="Eingabe 5 4" xfId="1569" xr:uid="{ACEC0148-82F7-462E-B2FD-A1F2FBD92754}"/>
    <cellStyle name="Eingabe 5 5" xfId="1941" xr:uid="{1E6C2636-2F58-4000-AB35-B7928AB43579}"/>
    <cellStyle name="Eingabe 6" xfId="662" xr:uid="{362C2D38-4054-491F-B025-E5EE2E467DFB}"/>
    <cellStyle name="Eingabe 6 2" xfId="877" xr:uid="{A2F7F486-30E1-49BF-8D7D-632BFB6C8B6B}"/>
    <cellStyle name="Eingabe 6 2 2" xfId="1277" xr:uid="{523BEE2E-8370-4EA9-AE02-119653A90A74}"/>
    <cellStyle name="Eingabe 6 2 3" xfId="1853" xr:uid="{94AD89FF-547D-41EF-B5BD-FFFECE4C65DB}"/>
    <cellStyle name="Eingabe 6 2 4" xfId="2224" xr:uid="{F3C27046-0968-41B4-A24D-C8E8A8FB7758}"/>
    <cellStyle name="Eingabe 6 3" xfId="1412" xr:uid="{7384716F-54E1-4ED9-AAEA-48875310E4CF}"/>
    <cellStyle name="Eingabe 6 4" xfId="1646" xr:uid="{CEC5E727-7CED-41F7-BEE7-64FADC579A18}"/>
    <cellStyle name="Eingabe 6 5" xfId="2018" xr:uid="{980C5F8F-44D1-46DB-9498-771EA53615E9}"/>
    <cellStyle name="Eingabe 7" xfId="705" xr:uid="{4925958C-328E-4B6F-AB67-4B434C1871EF}"/>
    <cellStyle name="Eingabe 7 2" xfId="919" xr:uid="{6C8A72E5-9621-44A1-AB6F-C8CABC663945}"/>
    <cellStyle name="Eingabe 7 2 2" xfId="1511" xr:uid="{E6210823-9588-419B-8A3E-5E8ABA5B3BAE}"/>
    <cellStyle name="Eingabe 7 2 3" xfId="1895" xr:uid="{7FA7C6BF-B40E-47C5-9EBF-4ECAA8A935F1}"/>
    <cellStyle name="Eingabe 7 2 4" xfId="2266" xr:uid="{5EA538AF-86AD-43C5-92FB-C38C2685C393}"/>
    <cellStyle name="Eingabe 7 3" xfId="1300" xr:uid="{A9DA8323-BF90-4B6D-8456-46E2600509E3}"/>
    <cellStyle name="Eingabe 7 4" xfId="1688" xr:uid="{EF165572-28FC-48F3-B48D-FDF192B28ACC}"/>
    <cellStyle name="Eingabe 7 5" xfId="2060" xr:uid="{DC99B06F-BB77-4974-9638-88CDB2A8BD43}"/>
    <cellStyle name="Eingabe 8" xfId="714" xr:uid="{6617EFF4-E553-4078-AD75-3159879C8A67}"/>
    <cellStyle name="Eingabe 8 2" xfId="1486" xr:uid="{9A129A7A-A429-48EE-9CFD-0CDFF42E25ED}"/>
    <cellStyle name="Eingabe 8 3" xfId="1697" xr:uid="{7D6B3464-65DE-43C0-BA07-E85FBC0B6DC7}"/>
    <cellStyle name="Eingabe 8 4" xfId="2069" xr:uid="{6D73C055-A8B3-431E-A712-B8F886FC3192}"/>
    <cellStyle name="Empty_B_border" xfId="41" xr:uid="{B17EFF6D-F08C-440C-979A-F0B1B5AE1461}"/>
    <cellStyle name="Enter Currency (0)" xfId="2296" xr:uid="{C06DD54A-E278-486E-9798-520DB592ED37}"/>
    <cellStyle name="Enter Currency (2)" xfId="2297" xr:uid="{94B4840C-6E6E-4DAA-972B-2E6D71232D83}"/>
    <cellStyle name="Enter Units (0)" xfId="2298" xr:uid="{D2CDC99C-F27E-444E-8285-228C4D137DE3}"/>
    <cellStyle name="Enter Units (1)" xfId="2299" xr:uid="{E45E9623-F901-4691-A6F1-646D282B0B7D}"/>
    <cellStyle name="Enter Units (2)" xfId="2300" xr:uid="{BD3E7DC5-EEB3-446A-A1D2-E68A5D531D43}"/>
    <cellStyle name="Ergebnis" xfId="78" hidden="1" xr:uid="{F08FCAE5-C414-44C3-98A4-9260F74150A2}"/>
    <cellStyle name="Ergebnis" xfId="977" hidden="1" xr:uid="{F4C99BF0-A138-4C3F-B3E2-81ED3A84E506}"/>
    <cellStyle name="Ergebnis" xfId="1346" hidden="1" xr:uid="{7639DCE4-FE28-40F8-9007-7E2FDE64200A}"/>
    <cellStyle name="Ergebnis" xfId="1319" hidden="1" xr:uid="{B7A082F4-7E83-41ED-A3C9-A7465DD742B3}"/>
    <cellStyle name="Ergebnis" xfId="1469" hidden="1" xr:uid="{F699340A-7ABB-461E-97F5-252C1A3B5996}"/>
    <cellStyle name="Ergebnis" xfId="1525" hidden="1" xr:uid="{6511DA26-6731-41C0-9670-9737D3767B47}"/>
    <cellStyle name="Ergebnis 2" xfId="426" xr:uid="{1DC8F822-240E-4C18-AD5B-A7218333C023}"/>
    <cellStyle name="Ergebnis 2 2" xfId="682" xr:uid="{97ACFAA5-A008-4EC8-9142-BFDF1C922610}"/>
    <cellStyle name="Ergebnis 2 2 2" xfId="897" xr:uid="{23D74142-55D1-4B9F-BEE4-09AAF17411D7}"/>
    <cellStyle name="Ergebnis 2 2 2 2" xfId="962" xr:uid="{BE8D6497-FE57-4D58-A0E9-D82928F581BF}"/>
    <cellStyle name="Ergebnis 2 2 2 3" xfId="1873" xr:uid="{7B041BCE-C4B9-4B9F-AF43-7F13B9E57A03}"/>
    <cellStyle name="Ergebnis 2 2 2 4" xfId="2244" xr:uid="{95EBE25C-2C7C-4E12-8287-DB5D76259627}"/>
    <cellStyle name="Ergebnis 2 2 3" xfId="1315" xr:uid="{4ECDFD54-A25F-4BAD-B556-37102500C35C}"/>
    <cellStyle name="Ergebnis 2 2 4" xfId="1666" xr:uid="{28DC5D25-D030-4A42-8943-F7D0F0712B6F}"/>
    <cellStyle name="Ergebnis 2 2 5" xfId="2038" xr:uid="{4F8ACE99-E92A-4A8E-BC7B-C15DDD003ECA}"/>
    <cellStyle name="Ergebnis 2 3" xfId="614" xr:uid="{01D6F374-2E7A-454E-8D04-490342FA04AD}"/>
    <cellStyle name="Ergebnis 2 3 2" xfId="829" xr:uid="{293677FF-902C-4FDD-A7E7-860D6CE32AD8}"/>
    <cellStyle name="Ergebnis 2 3 2 2" xfId="1083" xr:uid="{79AFD00D-C210-45A2-AA53-CB863CFC35CC}"/>
    <cellStyle name="Ergebnis 2 3 2 3" xfId="1805" xr:uid="{26672AE1-96FF-49B3-887B-4E6758BFC692}"/>
    <cellStyle name="Ergebnis 2 3 2 4" xfId="2176" xr:uid="{2C41A0C6-01EC-4A74-9B28-8A7BD6078D93}"/>
    <cellStyle name="Ergebnis 2 3 3" xfId="1120" xr:uid="{5EDE5D7C-565B-4E6F-89D5-F53AD7530B5D}"/>
    <cellStyle name="Ergebnis 2 3 4" xfId="1598" xr:uid="{693C5A29-78AF-4697-A737-30A014E74B2A}"/>
    <cellStyle name="Ergebnis 2 3 5" xfId="1970" xr:uid="{8167EE54-573A-488B-8481-5CB18135FEB5}"/>
    <cellStyle name="Ergebnis 2 4" xfId="605" xr:uid="{567F00B7-3F79-488D-A48F-491CE62E24FF}"/>
    <cellStyle name="Ergebnis 2 4 2" xfId="820" xr:uid="{CC0278DD-DB5C-4547-A2BE-BCC3CE2B8D9E}"/>
    <cellStyle name="Ergebnis 2 4 2 2" xfId="1102" xr:uid="{8D9FA3E3-D046-414F-986F-0829055F2F5B}"/>
    <cellStyle name="Ergebnis 2 4 2 3" xfId="1796" xr:uid="{4EA61E15-F8EE-405A-87FA-BC621C42026D}"/>
    <cellStyle name="Ergebnis 2 4 2 4" xfId="2167" xr:uid="{AFAD685A-DAD3-4AEF-9E3A-4EEE91FDC2CB}"/>
    <cellStyle name="Ergebnis 2 4 3" xfId="1392" xr:uid="{AA8C159B-CF85-4D31-AD2F-51023AF29587}"/>
    <cellStyle name="Ergebnis 2 4 4" xfId="1589" xr:uid="{4E551E37-CE44-4FA3-999F-C9C84A33562A}"/>
    <cellStyle name="Ergebnis 2 4 5" xfId="1961" xr:uid="{CE8D497D-55A5-41F2-B6DA-C1B8E1166691}"/>
    <cellStyle name="Ergebnis 2 5" xfId="740" xr:uid="{14930478-51C8-40D0-A119-762EDFCB6909}"/>
    <cellStyle name="Ergebnis 2 5 2" xfId="1302" xr:uid="{0BCA265F-26FA-4E3B-8801-53D2E3F5B9DA}"/>
    <cellStyle name="Ergebnis 2 5 3" xfId="1716" xr:uid="{5160C743-4B25-4406-991F-1F39268674A7}"/>
    <cellStyle name="Ergebnis 2 5 4" xfId="2087" xr:uid="{C59F6F8F-BFB7-48A5-A5A0-9E79DA1F730D}"/>
    <cellStyle name="Ergebnis 2 6" xfId="1278" xr:uid="{4AF81749-A055-40F0-B892-B55F931D42DB}"/>
    <cellStyle name="Ergebnis 2 7" xfId="1304" xr:uid="{4CBF1C3D-4916-446D-B7D3-1FCE520FB8B7}"/>
    <cellStyle name="Ergebnis 2 8" xfId="70" xr:uid="{03430A82-7C75-4CC6-A083-A816B151101E}"/>
    <cellStyle name="Ergebnis 3" xfId="319" xr:uid="{61AFB341-8D47-4DBC-8143-F7C850A0C10A}"/>
    <cellStyle name="Ergebnis 3 2" xfId="656" xr:uid="{98C206AF-0000-430B-859A-D8065DE1B2F1}"/>
    <cellStyle name="Ergebnis 3 2 2" xfId="871" xr:uid="{B0B1F4F3-75DD-47EC-BBA6-8BADBF783873}"/>
    <cellStyle name="Ergebnis 3 2 2 2" xfId="1341" xr:uid="{C0F1E800-2384-46D6-86AA-ABEC9E5C6A8B}"/>
    <cellStyle name="Ergebnis 3 2 2 3" xfId="1847" xr:uid="{8F781BD4-5544-4EE8-B462-959695D98138}"/>
    <cellStyle name="Ergebnis 3 2 2 4" xfId="2218" xr:uid="{822EF386-1879-415C-A019-D6723DB82994}"/>
    <cellStyle name="Ergebnis 3 2 3" xfId="1451" xr:uid="{95EAA752-C1FD-4EC6-B0A9-4DE5DBC47E5E}"/>
    <cellStyle name="Ergebnis 3 2 4" xfId="1640" xr:uid="{07B0A617-08A0-4951-BE92-B8C34273742C}"/>
    <cellStyle name="Ergebnis 3 2 5" xfId="2012" xr:uid="{A171D65E-1107-4653-87B7-5CB3EBDA0072}"/>
    <cellStyle name="Ergebnis 3 3" xfId="570" xr:uid="{07FDF763-660D-4CA0-8941-72A1A16883EB}"/>
    <cellStyle name="Ergebnis 3 3 2" xfId="785" xr:uid="{57073585-9EBC-45B1-9EB7-24648C95A8CD}"/>
    <cellStyle name="Ergebnis 3 3 2 2" xfId="1168" xr:uid="{F2F26B20-73BA-4247-A349-2BA5F2860D10}"/>
    <cellStyle name="Ergebnis 3 3 2 3" xfId="1761" xr:uid="{18825F46-E4D1-4AD1-A8E5-63BD5F31E389}"/>
    <cellStyle name="Ergebnis 3 3 2 4" xfId="2132" xr:uid="{10652ACF-F6D3-4364-896A-628A84925B7B}"/>
    <cellStyle name="Ergebnis 3 3 3" xfId="1119" xr:uid="{BA10FA87-B670-42E6-9DC5-B1B36A9D09C9}"/>
    <cellStyle name="Ergebnis 3 3 4" xfId="1554" xr:uid="{3D053EDF-95A4-450C-97FB-41B337A39E11}"/>
    <cellStyle name="Ergebnis 3 3 5" xfId="1926" xr:uid="{0D7388AE-DCA5-4174-84C4-5BC653874648}"/>
    <cellStyle name="Ergebnis 3 4" xfId="597" xr:uid="{89E600A3-5858-4F07-B8A9-EA4F5E968744}"/>
    <cellStyle name="Ergebnis 3 4 2" xfId="812" xr:uid="{6E2A8B54-E0D4-42EF-9125-C89758EF997B}"/>
    <cellStyle name="Ergebnis 3 4 2 2" xfId="1101" xr:uid="{EC71D81A-2ABC-4B26-A89F-CF7A7FFB523C}"/>
    <cellStyle name="Ergebnis 3 4 2 3" xfId="1788" xr:uid="{B55072CC-6928-4691-8DDE-B5C5F60BA78A}"/>
    <cellStyle name="Ergebnis 3 4 2 4" xfId="2159" xr:uid="{9F2D3FDA-7DED-4390-9F1B-9779CE96D191}"/>
    <cellStyle name="Ergebnis 3 4 3" xfId="1379" xr:uid="{F81A3124-F6CD-440F-B659-373CC3AA233C}"/>
    <cellStyle name="Ergebnis 3 4 4" xfId="1581" xr:uid="{5F607189-0212-4601-93EE-45C184F15DB0}"/>
    <cellStyle name="Ergebnis 3 4 5" xfId="1953" xr:uid="{3ADC2F9F-CE10-48B1-958B-0282CAEA23AD}"/>
    <cellStyle name="Ergebnis 3 5" xfId="736" xr:uid="{8F9CBD0A-6B13-402F-99C7-37B760791F2C}"/>
    <cellStyle name="Ergebnis 3 5 2" xfId="1340" xr:uid="{BEAE0B7C-1D92-485A-A212-B0A47B2F8BCA}"/>
    <cellStyle name="Ergebnis 3 5 3" xfId="1713" xr:uid="{5B4E829D-5F3F-41B8-83C2-487A7F725204}"/>
    <cellStyle name="Ergebnis 3 5 4" xfId="2084" xr:uid="{D69133EF-8323-49A4-BF58-3B1E687DECF9}"/>
    <cellStyle name="Ergebnis 3 6" xfId="1222" xr:uid="{748BBB0D-0E85-469D-8880-31CF9F63DFE3}"/>
    <cellStyle name="Ergebnis 3 7" xfId="1442" xr:uid="{CF5D0DAE-28D0-46D0-87DB-7FBD8D9D2F22}"/>
    <cellStyle name="Ergebnis 3 8" xfId="1154" xr:uid="{8BA78273-EEFC-4563-BA3E-A12514D5A979}"/>
    <cellStyle name="Ergebnis 4" xfId="586" xr:uid="{983014D1-068F-436E-8FD4-5C3C616AEFA4}"/>
    <cellStyle name="Ergebnis 4 2" xfId="801" xr:uid="{352BCF01-111E-4396-9F94-75D59842DE05}"/>
    <cellStyle name="Ergebnis 4 2 2" xfId="1146" xr:uid="{46FA799A-41B3-4485-9654-A5E663AAC6DB}"/>
    <cellStyle name="Ergebnis 4 2 3" xfId="1777" xr:uid="{38ED02F3-5035-49C3-8A98-D0DAD6402A05}"/>
    <cellStyle name="Ergebnis 4 2 4" xfId="2148" xr:uid="{BCA333EE-9E66-4F7F-9A5C-C1A7C15C3C7F}"/>
    <cellStyle name="Ergebnis 4 3" xfId="1129" xr:uid="{0E4F709D-1C91-4E5F-92B6-2C6AD606FAD0}"/>
    <cellStyle name="Ergebnis 4 4" xfId="1570" xr:uid="{4260B068-F9D7-4BFD-A3FA-8535DA671C19}"/>
    <cellStyle name="Ergebnis 4 5" xfId="1942" xr:uid="{000D1081-3C99-4C04-B6CE-C125DE3C01A1}"/>
    <cellStyle name="Ergebnis 5" xfId="660" xr:uid="{DCB0F5DA-DB28-4F2D-9C82-70EC61F3BFF6}"/>
    <cellStyle name="Ergebnis 5 2" xfId="875" xr:uid="{3771251C-8097-432A-AB09-4AF3B39AE2BA}"/>
    <cellStyle name="Ergebnis 5 2 2" xfId="970" xr:uid="{AC0E5057-9E6D-4747-BF60-B5D6A5DA426F}"/>
    <cellStyle name="Ergebnis 5 2 3" xfId="1851" xr:uid="{A2282360-9535-448C-AAB5-EACD01CA4F85}"/>
    <cellStyle name="Ergebnis 5 2 4" xfId="2222" xr:uid="{F564F9AF-BEA5-43DD-9079-6590082DB11D}"/>
    <cellStyle name="Ergebnis 5 3" xfId="1037" xr:uid="{9B078251-A33F-4D8E-9D1D-F174D1857487}"/>
    <cellStyle name="Ergebnis 5 4" xfId="1644" xr:uid="{48ED7EB2-7A17-4C58-891E-8574270157C3}"/>
    <cellStyle name="Ergebnis 5 5" xfId="2016" xr:uid="{AB66CF14-A997-4CE6-901B-0DF8F381AADD}"/>
    <cellStyle name="Ergebnis 6" xfId="667" xr:uid="{161483D7-D983-4C9F-9F30-01698E5AD280}"/>
    <cellStyle name="Ergebnis 6 2" xfId="882" xr:uid="{5A138BCA-2C45-41FB-80BB-90A68649F5DF}"/>
    <cellStyle name="Ergebnis 6 2 2" xfId="1183" xr:uid="{EEF6F499-B065-4BB4-BF78-822E1BA56083}"/>
    <cellStyle name="Ergebnis 6 2 3" xfId="1858" xr:uid="{56797983-BF9C-4F05-BB81-3B4E1C518B16}"/>
    <cellStyle name="Ergebnis 6 2 4" xfId="2229" xr:uid="{CBB2FF2A-5789-4CC7-984E-17BE996D95AF}"/>
    <cellStyle name="Ergebnis 6 3" xfId="1450" xr:uid="{A7FD27D0-9ED8-4C69-8E3A-1A4367FA1EB5}"/>
    <cellStyle name="Ergebnis 6 4" xfId="1651" xr:uid="{09920CED-DABA-4F38-A8C0-DD9355C2D820}"/>
    <cellStyle name="Ergebnis 6 5" xfId="2023" xr:uid="{523D6EF2-976D-4D85-8CD0-5BC51EF75114}"/>
    <cellStyle name="Ergebnis 7" xfId="715" xr:uid="{4BE34C74-BBB3-4DF3-8411-D5048FD0CB89}"/>
    <cellStyle name="Ergebnis 7 2" xfId="1463" xr:uid="{ED37F907-BDE6-467B-A7C5-6046C734AA00}"/>
    <cellStyle name="Ergebnis 7 3" xfId="1698" xr:uid="{EA1E57D6-EDFC-4CE6-9026-4BC33E08FA32}"/>
    <cellStyle name="Ergebnis 7 4" xfId="2070" xr:uid="{409E2E15-BF04-4F4B-B43E-D3666C5489BC}"/>
    <cellStyle name="Erklärender Text" xfId="77" hidden="1" xr:uid="{4F449762-EA27-44A2-B60C-71481E361989}"/>
    <cellStyle name="Erklärender Text" xfId="976" hidden="1" xr:uid="{6632C7C8-828E-4E6C-A9C6-1FB7EB695CEB}"/>
    <cellStyle name="Erklärender Text" xfId="1456" hidden="1" xr:uid="{2C6D9F07-72D0-44A5-BE72-271E8FDDE09B}"/>
    <cellStyle name="Erklärender Text" xfId="1009" hidden="1" xr:uid="{2156F9F1-3F88-4B95-AF05-9CB242BEFCCB}"/>
    <cellStyle name="Erklärender Text" xfId="1142" hidden="1" xr:uid="{1E6E8CB3-69CC-4D4A-828B-F4FA8CFAE4F5}"/>
    <cellStyle name="Erklärender Text" xfId="1210" hidden="1" xr:uid="{8A5D6F44-1118-4B82-AB18-17AD9C1128D7}"/>
    <cellStyle name="Erklärender Text 2" xfId="427" xr:uid="{AE6B7E44-921D-4262-82B1-B67D462D8037}"/>
    <cellStyle name="Erklärender Text 3" xfId="309" xr:uid="{F1A509EE-3F8F-43C1-80AE-C554A5B4F8E3}"/>
    <cellStyle name="Excel Built-in Input" xfId="2464" xr:uid="{671836E5-56D8-4320-9F68-9D9AE7610EA3}"/>
    <cellStyle name="Explanatory Text 2" xfId="168" xr:uid="{D460F5A6-982E-4740-B16B-13E9BE84633B}"/>
    <cellStyle name="Explanatory Text 3" xfId="259" xr:uid="{CED822C8-C2A8-4910-870D-4892BF476C4D}"/>
    <cellStyle name="Good 2" xfId="169" xr:uid="{EFCE955E-85D8-469A-98BE-E0E1C4DB248C}"/>
    <cellStyle name="Good 3" xfId="260" xr:uid="{3EFE71F5-A70B-4E23-B9E6-2EE5E3818426}"/>
    <cellStyle name="Good 4" xfId="389" xr:uid="{0991CF61-96C5-410D-B17D-1448DB240E87}"/>
    <cellStyle name="Gut" xfId="170" xr:uid="{B5CF3542-0699-46CD-94CF-EB9AC37D6ADD}"/>
    <cellStyle name="Header1" xfId="2301" xr:uid="{0937036A-5845-4C49-B2CD-31DEE087B43A}"/>
    <cellStyle name="Header2" xfId="2302" xr:uid="{3436EDB1-E4C8-436A-B9B0-0494BC70DF65}"/>
    <cellStyle name="Heading 1 2" xfId="171" xr:uid="{A50E34E3-66E6-460E-9BA3-C05883E2CEFB}"/>
    <cellStyle name="Heading 1 3" xfId="261" xr:uid="{C9CE33F8-4C22-475D-B6F3-B447F942F951}"/>
    <cellStyle name="Heading 1 4" xfId="397" xr:uid="{1A16ECA6-701C-4C58-958C-E60C00BC21F2}"/>
    <cellStyle name="Heading 2 2" xfId="172" xr:uid="{7CC457F7-5E31-47E3-9D88-3286E6FCE3F5}"/>
    <cellStyle name="Heading 2 3" xfId="262" xr:uid="{E0F99CA3-0E72-478A-B950-2ED90DAEF543}"/>
    <cellStyle name="Heading 2 4" xfId="398" xr:uid="{DD812764-44D0-4F12-AC22-5180137232CC}"/>
    <cellStyle name="Heading 3 2" xfId="173" xr:uid="{435E932F-7E38-4305-8B70-87FFA28A69FD}"/>
    <cellStyle name="Heading 3 3" xfId="263" xr:uid="{349DC4B2-139E-45CA-882B-27DC8B1F74B3}"/>
    <cellStyle name="Heading 3 4" xfId="399" xr:uid="{5921F5F1-1724-443C-8D67-EC747C525C38}"/>
    <cellStyle name="Heading 4 2" xfId="174" xr:uid="{99CCA781-A8C3-4765-A52F-B11004E4282D}"/>
    <cellStyle name="Heading 4 3" xfId="264" xr:uid="{0C5552E7-5C74-4A9D-9B3F-0D6199E6516D}"/>
    <cellStyle name="Heading 4 4" xfId="400" xr:uid="{644A48F9-46E2-4594-9BB4-6B69A5FD9869}"/>
    <cellStyle name="Headline" xfId="22" xr:uid="{4E6A7F3A-FFEA-49EC-B04B-868F0426E007}"/>
    <cellStyle name="Headline 2" xfId="2443" xr:uid="{506BE1AD-0D59-4701-93EF-B00CFBC64832}"/>
    <cellStyle name="Hyperlink" xfId="6" builtinId="8"/>
    <cellStyle name="Hyperlink 2" xfId="2329" xr:uid="{C2DA9739-4828-48B2-AEA0-912E532F4F7B}"/>
    <cellStyle name="Hyperlink 3" xfId="2333" xr:uid="{5C710A49-45E5-4A5E-8F2D-B9857C2E5AE1}"/>
    <cellStyle name="Hyperlink 3 2" xfId="2376" xr:uid="{7851CF05-A382-41B0-8EB6-64DBE697F183}"/>
    <cellStyle name="Hyperlink 4" xfId="2442" xr:uid="{FAC4ED47-4CD7-4D72-AA52-1E1E0565940C}"/>
    <cellStyle name="Input - Samorka" xfId="2334" xr:uid="{323D70C7-DDF9-48E1-A03E-3605E9D84558}"/>
    <cellStyle name="Input % - Samorka" xfId="2336" xr:uid="{F57D30DF-D948-4FFD-B454-A5DADE874A21}"/>
    <cellStyle name="Input 2" xfId="175" xr:uid="{02BB4CAA-18B8-4947-8169-C33E31386CE5}"/>
    <cellStyle name="Input 2 2" xfId="589" xr:uid="{26EB9313-10C5-4C1C-A008-35AA2675EB0B}"/>
    <cellStyle name="Input 2 2 2" xfId="804" xr:uid="{A6921FA2-906F-4869-B8A0-70D6EF03445D}"/>
    <cellStyle name="Input 2 2 2 2" xfId="942" xr:uid="{F0FD6507-D623-48EA-A3B2-7BBD5E7569D3}"/>
    <cellStyle name="Input 2 2 2 3" xfId="1780" xr:uid="{3652453D-EC2E-4901-B9EB-6BD9FDA2F0E4}"/>
    <cellStyle name="Input 2 2 2 4" xfId="2151" xr:uid="{37B110B2-865F-4597-B544-F938D84DDEFB}"/>
    <cellStyle name="Input 2 2 3" xfId="1213" xr:uid="{DE1FD80A-DDDC-4CB3-A86F-9EA95870C7BD}"/>
    <cellStyle name="Input 2 2 4" xfId="1573" xr:uid="{8A14FE64-C4CE-4308-A316-1BBD6B28F912}"/>
    <cellStyle name="Input 2 2 5" xfId="1945" xr:uid="{7AA3A06A-3A31-49F3-8DE5-1B2B38D2A8E6}"/>
    <cellStyle name="Input 2 3" xfId="693" xr:uid="{715227FC-838E-4034-A67E-B25D9AFC9E23}"/>
    <cellStyle name="Input 2 3 2" xfId="908" xr:uid="{EB1426FF-DE3F-4244-BA49-924F3C07197A}"/>
    <cellStyle name="Input 2 3 2 2" xfId="1500" xr:uid="{88EC3359-A232-420E-9A79-64A012A732D2}"/>
    <cellStyle name="Input 2 3 2 3" xfId="1884" xr:uid="{23B6AFE8-59AD-4CBD-90AE-8F846D1A774C}"/>
    <cellStyle name="Input 2 3 2 4" xfId="2255" xr:uid="{7E76F52D-0B42-40C0-ACAD-DB578D846C88}"/>
    <cellStyle name="Input 2 3 3" xfId="1123" xr:uid="{CE82636B-4CC0-4245-9D33-89702E63D6E9}"/>
    <cellStyle name="Input 2 3 4" xfId="1677" xr:uid="{11B1164C-E6B8-4ABD-9926-658031DCFF23}"/>
    <cellStyle name="Input 2 3 5" xfId="2049" xr:uid="{87170B61-1829-4204-A528-4C4637EEBA64}"/>
    <cellStyle name="Input 2 4" xfId="704" xr:uid="{03241D1C-E927-4BE4-9415-8F5FF1BF6927}"/>
    <cellStyle name="Input 2 4 2" xfId="918" xr:uid="{998A3265-592E-4D1F-A702-BC2EDF3D7340}"/>
    <cellStyle name="Input 2 4 2 2" xfId="1510" xr:uid="{D779BBAA-834C-4990-825B-2BF4B41E2131}"/>
    <cellStyle name="Input 2 4 2 3" xfId="1894" xr:uid="{DE3E021C-6F0C-4510-A446-4AA84E71A5D5}"/>
    <cellStyle name="Input 2 4 2 4" xfId="2265" xr:uid="{2A110EAA-4D26-4B96-BDB8-CB4BF6E7A039}"/>
    <cellStyle name="Input 2 4 3" xfId="1201" xr:uid="{7D5863EE-84E7-4F62-A151-1D7999AB62B3}"/>
    <cellStyle name="Input 2 4 4" xfId="1687" xr:uid="{67D3C953-8000-4D79-B212-0D6F9106BB74}"/>
    <cellStyle name="Input 2 4 5" xfId="2059" xr:uid="{309CB206-82F6-48A7-BF66-8C468C5B47F6}"/>
    <cellStyle name="Input 2 5" xfId="716" xr:uid="{9747AA2B-BD54-4A41-AEE0-3B185877BB26}"/>
    <cellStyle name="Input 2 5 2" xfId="952" xr:uid="{7A626827-F821-4941-B2A4-5BAE87A02BA8}"/>
    <cellStyle name="Input 2 5 3" xfId="1699" xr:uid="{B95BE870-82B5-4788-9E41-C47E48427BAC}"/>
    <cellStyle name="Input 2 5 4" xfId="2071" xr:uid="{299DF92C-87C4-4255-9FEE-826C03430B6E}"/>
    <cellStyle name="Input 2 6" xfId="1280" xr:uid="{DA4B9EE8-1ACF-4469-B1DB-606F8B8E5A8C}"/>
    <cellStyle name="Input 2 7" xfId="1220" xr:uid="{ED592A98-82BA-423D-A54A-68EEBB792F77}"/>
    <cellStyle name="Input 2 8" xfId="964" xr:uid="{89D49593-E4F4-47BB-A967-4A17F259C87E}"/>
    <cellStyle name="Input 3" xfId="265" xr:uid="{43FF4731-79A7-495C-BC74-6639C3C1AE8A}"/>
    <cellStyle name="Input 3 2" xfId="621" xr:uid="{A5FAECE7-8D44-4504-913F-F3D434FED0E5}"/>
    <cellStyle name="Input 3 2 2" xfId="836" xr:uid="{C2DC81A2-0F99-4D85-9D5E-334F5FE7D57A}"/>
    <cellStyle name="Input 3 2 2 2" xfId="965" xr:uid="{1EB93891-1440-4A37-8459-755E2DBEC16E}"/>
    <cellStyle name="Input 3 2 2 3" xfId="1812" xr:uid="{1C1A776E-5933-4845-AA96-0C4E2850D7B1}"/>
    <cellStyle name="Input 3 2 2 4" xfId="2183" xr:uid="{B170D50F-BA2E-4FEE-8A38-573BE3BDCC27}"/>
    <cellStyle name="Input 3 2 3" xfId="1441" xr:uid="{01E260EE-6D55-4899-A9ED-6C8F6F08BA6D}"/>
    <cellStyle name="Input 3 2 4" xfId="1605" xr:uid="{32BCB077-C077-489D-B3B7-4216AD34CB2A}"/>
    <cellStyle name="Input 3 2 5" xfId="1977" xr:uid="{5D36E590-0AF1-4F99-8CA0-1F54984EDF13}"/>
    <cellStyle name="Input 3 3" xfId="620" xr:uid="{3EC387F2-D068-4FFE-837C-16CB61090203}"/>
    <cellStyle name="Input 3 3 2" xfId="835" xr:uid="{70B8C3C2-3832-4867-AB43-066DAACF9A8E}"/>
    <cellStyle name="Input 3 3 2 2" xfId="935" xr:uid="{D02854AA-1009-4579-97D8-A085E0E3201C}"/>
    <cellStyle name="Input 3 3 2 3" xfId="1811" xr:uid="{7A031ECA-0B0B-452F-9E4E-851FA08DA32C}"/>
    <cellStyle name="Input 3 3 2 4" xfId="2182" xr:uid="{76259D73-A88C-4018-A6E5-75B482206269}"/>
    <cellStyle name="Input 3 3 3" xfId="1424" xr:uid="{F072139A-D242-47A5-A958-ECA997DB0131}"/>
    <cellStyle name="Input 3 3 4" xfId="1604" xr:uid="{C8BCA6F1-5A2E-4F6C-B711-CA2FD321151C}"/>
    <cellStyle name="Input 3 3 5" xfId="1976" xr:uid="{4770355A-A3E1-4ACA-B41E-930B7118D5F5}"/>
    <cellStyle name="Input 3 4" xfId="564" xr:uid="{F5AC3B4A-DDD7-4EA3-977D-B293CB82F0F6}"/>
    <cellStyle name="Input 3 4 2" xfId="779" xr:uid="{5B1813C9-07EA-4E60-90CF-D90D13EF3FAA}"/>
    <cellStyle name="Input 3 4 2 2" xfId="1062" xr:uid="{67AFA577-5CD7-4CB0-9DCC-A1303F9B5808}"/>
    <cellStyle name="Input 3 4 2 3" xfId="1755" xr:uid="{324FCF33-8C6C-4915-99A6-AB9EF329283D}"/>
    <cellStyle name="Input 3 4 2 4" xfId="2126" xr:uid="{BE8A5FA2-FDDF-4EE9-8DF5-383539F8809A}"/>
    <cellStyle name="Input 3 4 3" xfId="1272" xr:uid="{17E5528E-EA70-4D9D-9325-7241AC61CB53}"/>
    <cellStyle name="Input 3 4 4" xfId="1548" xr:uid="{56CDD17B-2D49-4951-807C-D99D44F3A134}"/>
    <cellStyle name="Input 3 4 5" xfId="1920" xr:uid="{E5775338-6C80-45A7-865E-A2908B53F14E}"/>
    <cellStyle name="Input 3 5" xfId="722" xr:uid="{012B5F64-6E01-4CE0-823D-4E9564C9C128}"/>
    <cellStyle name="Input 3 5 2" xfId="945" xr:uid="{44796E4B-9318-43F3-83A3-31B367F13C44}"/>
    <cellStyle name="Input 3 5 3" xfId="1705" xr:uid="{445E2C52-57C9-45E0-A804-6C02DEAE56BC}"/>
    <cellStyle name="Input 3 5 4" xfId="2077" xr:uid="{3E38E527-56A6-4F81-A6E6-1A7F34B61842}"/>
    <cellStyle name="Input 3 6" xfId="1294" xr:uid="{B7E76456-E00F-4FD5-8D39-528966F1B2F1}"/>
    <cellStyle name="Input 3 7" xfId="1057" xr:uid="{C165EAD7-47A0-4F56-9A35-B02089560E0E}"/>
    <cellStyle name="Input 3 8" xfId="1490" xr:uid="{3019EDC4-553F-4481-9E83-0633905E4CC6}"/>
    <cellStyle name="Input 4" xfId="376" xr:uid="{28166334-D440-4F76-8C54-EE083BECD179}"/>
    <cellStyle name="InputCells" xfId="30" xr:uid="{C9E75ABD-5E01-46EE-A1C0-677FCEF82AD5}"/>
    <cellStyle name="InputCells 2" xfId="176" xr:uid="{1410A3E6-BC2E-4389-93A7-183698645A5E}"/>
    <cellStyle name="InputCells 3" xfId="227" xr:uid="{76CD4677-F5E7-4BFE-8706-68107F9E3F3D}"/>
    <cellStyle name="InputCells 4" xfId="379" xr:uid="{56196B2D-21E6-413A-9006-CD56A2ED8A29}"/>
    <cellStyle name="InputCells 5" xfId="2450" xr:uid="{B69E9A88-41AE-4093-957E-B32F287DEF25}"/>
    <cellStyle name="InputCells 6" xfId="2471" xr:uid="{D86EF038-798D-461B-A3F3-01327441E598}"/>
    <cellStyle name="InputCells_Bborder_1" xfId="177" xr:uid="{39E69908-81F8-4567-BBF2-BC38D2100741}"/>
    <cellStyle name="InputCells12" xfId="40" xr:uid="{896870F4-BBE4-42A2-88E3-09E04E79FA69}"/>
    <cellStyle name="InputCells12 2" xfId="178" xr:uid="{11D48D09-90A4-4FCE-86F2-7249362CABD2}"/>
    <cellStyle name="InputCells12 2 2" xfId="453" xr:uid="{257B4AE2-7399-44E2-BE42-C29545BDD8E4}"/>
    <cellStyle name="InputCells12 2 2 2" xfId="627" xr:uid="{E2AF8DAC-8108-4EA4-BEF3-B751BDCB8626}"/>
    <cellStyle name="InputCells12 2 2 2 2" xfId="842" xr:uid="{0BDEB4E8-CE5F-431D-871D-B074FA6F75CD}"/>
    <cellStyle name="InputCells12 2 2 2 2 2" xfId="955" xr:uid="{C478FAEF-6997-44E6-BE2A-AAFABD490217}"/>
    <cellStyle name="InputCells12 2 2 2 2 3" xfId="1818" xr:uid="{596197F2-CF5F-484B-9521-101CED79419C}"/>
    <cellStyle name="InputCells12 2 2 2 2 4" xfId="2189" xr:uid="{915E7D29-1DEC-4BB2-B1F6-BF70D0262CED}"/>
    <cellStyle name="InputCells12 2 2 2 3" xfId="1216" xr:uid="{C7CD450A-A0E5-4D51-BD49-90FED5D3DC81}"/>
    <cellStyle name="InputCells12 2 2 2 4" xfId="1611" xr:uid="{E6A01508-908C-429E-BE99-D8F586E5BBDD}"/>
    <cellStyle name="InputCells12 2 2 2 5" xfId="1983" xr:uid="{9A5AA16A-EA3E-4A14-9BF1-F6B4F345C4CC}"/>
    <cellStyle name="InputCells12 2 2 3" xfId="752" xr:uid="{BCC4D386-99F9-4826-92C7-7AB58C3BE3B3}"/>
    <cellStyle name="InputCells12 2 2 3 2" xfId="1487" xr:uid="{24BA5089-3D37-4A73-83DD-274CD31088C6}"/>
    <cellStyle name="InputCells12 2 2 3 3" xfId="1728" xr:uid="{332AEA36-E720-40DE-9A4D-4520C0FE00E1}"/>
    <cellStyle name="InputCells12 2 2 3 4" xfId="2099" xr:uid="{DF9D2034-F52F-4D9A-A300-ABC6CA585B70}"/>
    <cellStyle name="InputCells12 2 3" xfId="312" xr:uid="{7B89BEEF-A462-4806-B204-2C616C26FFD6}"/>
    <cellStyle name="InputCells12 2 3 2" xfId="650" xr:uid="{F423AF4F-EC61-4038-B487-929235F58EE6}"/>
    <cellStyle name="InputCells12 2 3 2 2" xfId="865" xr:uid="{3C757839-718E-43F0-B947-BCBBD47CF881}"/>
    <cellStyle name="InputCells12 2 3 2 2 2" xfId="1008" xr:uid="{25567E71-3CB4-4029-8947-26146ABD529A}"/>
    <cellStyle name="InputCells12 2 3 2 2 3" xfId="1841" xr:uid="{9B4AC69F-F98E-4A5E-B7CB-0861DD0E1BA1}"/>
    <cellStyle name="InputCells12 2 3 2 2 4" xfId="2212" xr:uid="{937DEFF7-CA16-4F40-AB44-C77C7167C717}"/>
    <cellStyle name="InputCells12 2 3 2 3" xfId="1327" xr:uid="{5F21D59D-DEAF-4286-9DA5-2680BE50B18B}"/>
    <cellStyle name="InputCells12 2 3 2 4" xfId="1634" xr:uid="{4A86DC3A-8BB0-41A7-B30F-C01ED7B07D08}"/>
    <cellStyle name="InputCells12 2 3 2 5" xfId="2006" xr:uid="{F02279A3-29C2-44F9-A964-E506C768E005}"/>
    <cellStyle name="InputCells12 2 3 3" xfId="573" xr:uid="{5CA975ED-798E-48CD-9C37-7C748C640048}"/>
    <cellStyle name="InputCells12 2 3 3 2" xfId="788" xr:uid="{131E313A-E946-4250-B7C4-417DA65164CA}"/>
    <cellStyle name="InputCells12 2 3 3 2 2" xfId="1255" xr:uid="{4123743A-1071-4195-BFD0-658B224869D0}"/>
    <cellStyle name="InputCells12 2 3 3 2 3" xfId="1764" xr:uid="{473D4EFA-CFE9-4D57-B616-F47552CE4017}"/>
    <cellStyle name="InputCells12 2 3 3 2 4" xfId="2135" xr:uid="{05805905-B997-472F-B0BF-48CB37837B5C}"/>
    <cellStyle name="InputCells12 2 3 3 3" xfId="932" xr:uid="{55F37C44-FAD9-4766-ABF1-0F1AB6A4D9AC}"/>
    <cellStyle name="InputCells12 2 3 3 4" xfId="1557" xr:uid="{82A3097A-B221-4E05-A7DA-75AD68D34910}"/>
    <cellStyle name="InputCells12 2 3 3 5" xfId="1929" xr:uid="{B914BE9A-FA97-4341-9D6C-D3F4BA2067CD}"/>
    <cellStyle name="InputCells12 2 3 4" xfId="689" xr:uid="{6738DB5F-8745-4CA6-8041-AE315BED73BD}"/>
    <cellStyle name="InputCells12 2 3 4 2" xfId="904" xr:uid="{0C7BA958-CDE8-4356-9FA1-9BA8E181BAB0}"/>
    <cellStyle name="InputCells12 2 3 4 2 2" xfId="1496" xr:uid="{2B0B38DE-9F2B-4EAF-8E58-F2CAC04089C7}"/>
    <cellStyle name="InputCells12 2 3 4 2 3" xfId="1880" xr:uid="{5BDA387B-879D-4B98-8AFD-CA3B0DD3D493}"/>
    <cellStyle name="InputCells12 2 3 4 2 4" xfId="2251" xr:uid="{DB3197CF-F6DB-44C7-BBED-60137780A6F6}"/>
    <cellStyle name="InputCells12 2 3 4 3" xfId="1205" xr:uid="{FC9C0179-E391-4B22-BB4A-8B63616D4A9A}"/>
    <cellStyle name="InputCells12 2 3 4 4" xfId="1673" xr:uid="{6296467A-F160-459B-8060-59EF5BFAAAAA}"/>
    <cellStyle name="InputCells12 2 3 4 5" xfId="2045" xr:uid="{2CBACC0B-7F40-4D55-843A-330941B7C493}"/>
    <cellStyle name="InputCells12 2 3 5" xfId="957" xr:uid="{DBE9A905-6661-4665-A955-CA5834ED7A88}"/>
    <cellStyle name="InputCells12 2 3 6" xfId="1091" xr:uid="{E73F1328-0341-4EFD-8F77-B8E199BA0BD0}"/>
    <cellStyle name="InputCells12 2 3 7" xfId="1493" xr:uid="{C2489E1E-AB38-44FC-A8DE-A0E3EFE07540}"/>
    <cellStyle name="InputCells12 3" xfId="452" xr:uid="{67458ADD-DE73-4B88-9815-F608FD812554}"/>
    <cellStyle name="InputCells12 3 2" xfId="557" xr:uid="{B6A037C9-3996-45F8-9D9B-1B517FD396DA}"/>
    <cellStyle name="InputCells12 3 2 2" xfId="772" xr:uid="{4DAD8B51-80BB-4078-9052-A7C00CB9CF9E}"/>
    <cellStyle name="InputCells12 3 2 2 2" xfId="69" xr:uid="{3B122BAA-0C7E-43B7-84CF-C9408AA48703}"/>
    <cellStyle name="InputCells12 3 2 2 3" xfId="1748" xr:uid="{9814D024-050D-49C7-A71A-FAC9EDC3FB01}"/>
    <cellStyle name="InputCells12 3 2 2 4" xfId="2119" xr:uid="{960FCA5F-FFA9-4C1C-9422-9C2CFFD9B6F1}"/>
    <cellStyle name="InputCells12 3 2 3" xfId="1292" xr:uid="{8520BDEC-3D51-4A24-9EAF-26FDC9DDE294}"/>
    <cellStyle name="InputCells12 3 2 4" xfId="1541" xr:uid="{CCED291E-EFF7-4686-8D7C-3993ED5C5D42}"/>
    <cellStyle name="InputCells12 3 2 5" xfId="1913" xr:uid="{EE3B41F9-B84E-4916-A280-B3D17D5937FA}"/>
    <cellStyle name="InputCells12 3 3" xfId="751" xr:uid="{3BF638C8-A8FE-45E9-BDF7-A0C8498577A8}"/>
    <cellStyle name="InputCells12 3 3 2" xfId="1289" xr:uid="{5B1440B9-0A1C-4117-A48B-53F21286BC4F}"/>
    <cellStyle name="InputCells12 3 3 3" xfId="1727" xr:uid="{61B139DA-E409-4541-AF6F-345CCD986853}"/>
    <cellStyle name="InputCells12 3 3 4" xfId="2098" xr:uid="{71D53671-D719-4626-A183-7EA9F2CE2784}"/>
    <cellStyle name="InputCells12 4" xfId="311" xr:uid="{DC0BC536-9AA6-4B82-8F75-7C11808B62C1}"/>
    <cellStyle name="InputCells12 4 2" xfId="649" xr:uid="{A2E5A0ED-4EE0-466A-BAD5-3A78125D1757}"/>
    <cellStyle name="InputCells12 4 2 2" xfId="864" xr:uid="{75DAB98B-66B3-46AE-B1BE-9F4E2D78547F}"/>
    <cellStyle name="InputCells12 4 2 2 2" xfId="1465" xr:uid="{66CF94C2-1EF4-4FC7-8CBE-B506412F8F5B}"/>
    <cellStyle name="InputCells12 4 2 2 3" xfId="1840" xr:uid="{BD317E07-802C-4B41-ACCF-6376BB1FEDD9}"/>
    <cellStyle name="InputCells12 4 2 2 4" xfId="2211" xr:uid="{9F366C62-100B-4E24-98AE-D4CF86C7F99A}"/>
    <cellStyle name="InputCells12 4 2 3" xfId="1199" xr:uid="{492FE3FE-1BF9-4170-B3C1-AD9203C69558}"/>
    <cellStyle name="InputCells12 4 2 4" xfId="1633" xr:uid="{727B1C6E-D641-4AFB-8C38-3E6DC1EE0EFE}"/>
    <cellStyle name="InputCells12 4 2 5" xfId="2005" xr:uid="{0B89BCCE-D576-40F8-9598-B7AC86B54FA8}"/>
    <cellStyle name="InputCells12 4 3" xfId="574" xr:uid="{AD8A5035-8CA3-435D-88D5-534BC543D9F7}"/>
    <cellStyle name="InputCells12 4 3 2" xfId="789" xr:uid="{6B9894B2-CC95-4C69-8EC8-BAD82A12518E}"/>
    <cellStyle name="InputCells12 4 3 2 2" xfId="1064" xr:uid="{81B3E0B5-5925-46C9-8F33-84B281D6AB08}"/>
    <cellStyle name="InputCells12 4 3 2 3" xfId="1765" xr:uid="{A66CC763-D251-415E-858B-1D7FE9F349DA}"/>
    <cellStyle name="InputCells12 4 3 2 4" xfId="2136" xr:uid="{0EFADBE4-192F-487E-A7E7-076B1AC78925}"/>
    <cellStyle name="InputCells12 4 3 3" xfId="1126" xr:uid="{C4E6C86F-B165-4E6D-BBAB-3B38AD86E630}"/>
    <cellStyle name="InputCells12 4 3 4" xfId="1558" xr:uid="{73ACADC8-D0D9-4455-8D37-B8A5CF8185A0}"/>
    <cellStyle name="InputCells12 4 3 5" xfId="1930" xr:uid="{90B6BEE8-F0A6-4DE3-9983-DF145FD12E2A}"/>
    <cellStyle name="InputCells12 4 4" xfId="548" xr:uid="{D3AAC131-F680-4A9D-B0A5-D0B461B95051}"/>
    <cellStyle name="InputCells12 4 4 2" xfId="763" xr:uid="{6CC00366-9384-4EDF-885F-E136B0970832}"/>
    <cellStyle name="InputCells12 4 4 2 2" xfId="1453" xr:uid="{DAAC4D89-F66F-43B1-8CD2-13D5452837BE}"/>
    <cellStyle name="InputCells12 4 4 2 3" xfId="1739" xr:uid="{E156D79A-6930-4A37-A07F-AEF98CC22EE6}"/>
    <cellStyle name="InputCells12 4 4 2 4" xfId="2110" xr:uid="{7A23FD56-723D-4402-A521-296EEDCD93A6}"/>
    <cellStyle name="InputCells12 4 4 3" xfId="1253" xr:uid="{B628576D-E8DD-467A-90F0-033170178418}"/>
    <cellStyle name="InputCells12 4 4 4" xfId="1532" xr:uid="{2D5EAE7A-86BB-4D59-A40F-94F84C13D133}"/>
    <cellStyle name="InputCells12 4 4 5" xfId="1904" xr:uid="{D2623368-C2FF-4BCC-9E2D-E15922F5827C}"/>
    <cellStyle name="InputCells12 4 5" xfId="1191" xr:uid="{FEF92833-C8A9-4EA3-A14C-E0D9944AB805}"/>
    <cellStyle name="InputCells12 4 6" xfId="1467" xr:uid="{AEF58EA8-E08E-4A19-936B-A202AF4D4334}"/>
    <cellStyle name="InputCells12 4 7" xfId="1025" xr:uid="{DD1CE934-7DFE-43AB-A4D1-0629BFCCD7AF}"/>
    <cellStyle name="InputCells12 5" xfId="106" xr:uid="{07D09AD4-7F30-4DE0-B23A-B58DBFB2C030}"/>
    <cellStyle name="InputCells12 6" xfId="2459" xr:uid="{E789943F-61B6-43CB-A705-5A8EB9CFA30B}"/>
    <cellStyle name="InputCells12 7" xfId="2476" xr:uid="{5AF2D5BD-F6E3-4332-BCA8-F7B8F9D5C1BC}"/>
    <cellStyle name="InputCells12_BBorder" xfId="46" xr:uid="{51483724-08F1-45C7-AA1C-2BBC1563F0C2}"/>
    <cellStyle name="IntCells" xfId="179" xr:uid="{2AD9DF71-560C-4C7D-A1E4-E350B88D4BAE}"/>
    <cellStyle name="KP_thin_border_dark_grey" xfId="56" xr:uid="{FDCDA633-CBA9-4B99-943F-53A6047F00E9}"/>
    <cellStyle name="Link Currency (0)" xfId="2303" xr:uid="{35558C9D-E1E6-4883-B28F-599C8A8EEDEE}"/>
    <cellStyle name="Link Currency (2)" xfId="2304" xr:uid="{EF20BFDF-B5C1-487C-A442-6A9C12BD080E}"/>
    <cellStyle name="Link Units (0)" xfId="2305" xr:uid="{FF893AD0-D16D-419F-B7CD-72BBFE7CF35A}"/>
    <cellStyle name="Link Units (1)" xfId="2306" xr:uid="{93B886E9-13E3-469C-BEC5-D4CF7E7FED62}"/>
    <cellStyle name="Link Units (2)" xfId="2307" xr:uid="{18876424-C2C5-480F-8C7E-117DEEC5C3A8}"/>
    <cellStyle name="Linked Cell 2" xfId="180" xr:uid="{4F50E367-F046-4170-8FA9-C90CC200F796}"/>
    <cellStyle name="Linked Cell 3" xfId="266" xr:uid="{A36A9D86-B71E-461D-AA43-9878383AD292}"/>
    <cellStyle name="Linked Cell 4" xfId="401" xr:uid="{F0491B2C-9EDE-4BE4-AB3C-BFC69312AAB8}"/>
    <cellStyle name="Neutral 2" xfId="181" xr:uid="{D3C9B49E-5C9D-4E04-B2BD-A949456B7ABC}"/>
    <cellStyle name="Neutral 3" xfId="267" xr:uid="{CC18D9E5-BD26-414A-B6D6-53A46C6046D3}"/>
    <cellStyle name="Normaali 2" xfId="182" xr:uid="{FC840B41-E2F3-4CE7-BD5F-D83C07B00293}"/>
    <cellStyle name="Normaali 2 2" xfId="183" xr:uid="{F75F3D33-CBCC-4295-B2A0-35D5A326D789}"/>
    <cellStyle name="Normal" xfId="0" builtinId="0"/>
    <cellStyle name="Normal 10" xfId="404" xr:uid="{37D86D01-0CEB-472B-A923-BF3D0828545A}"/>
    <cellStyle name="Normal 10 2" xfId="473" xr:uid="{61033AE3-8073-453F-92FD-2543C439FEB1}"/>
    <cellStyle name="Normal 10 3" xfId="2432" xr:uid="{D01C566C-EBD5-4912-8454-777F7D2AD48D}"/>
    <cellStyle name="Normal 11" xfId="432" xr:uid="{A879DB65-388D-4440-8FC7-64868E793AA8}"/>
    <cellStyle name="Normal 11 2" xfId="474" xr:uid="{BAC8B302-AEB0-4885-8448-00873B10E350}"/>
    <cellStyle name="Normal 11 3" xfId="2427" xr:uid="{BE207D2D-8B0A-4791-A36D-33A6738F4EA6}"/>
    <cellStyle name="Normal 12" xfId="543" xr:uid="{06FCB86F-0825-46DB-8D21-E218BF92B5DB}"/>
    <cellStyle name="Normal 12 2" xfId="703" xr:uid="{00F4CE92-C824-4B1E-878E-65E1580FF9F3}"/>
    <cellStyle name="Normal 12 3" xfId="2468" xr:uid="{70BF38D9-AAFE-45F5-85C0-DBF1C16C5A66}"/>
    <cellStyle name="Normal 13" xfId="13" xr:uid="{5802F7DC-BA80-4AE6-80F2-A2974C974649}"/>
    <cellStyle name="Normal 14" xfId="20" xr:uid="{E9D030D3-EB0E-470B-9CB6-F0C4083CF09D}"/>
    <cellStyle name="Normal 15" xfId="2271" xr:uid="{B746D37A-CC82-479B-B571-6F1B94400A7F}"/>
    <cellStyle name="Normal 16" xfId="2274" xr:uid="{B0335FD5-F729-4415-9EA5-57397033B7F8}"/>
    <cellStyle name="Normal 17" xfId="2275" xr:uid="{675FEAA4-1757-4911-876A-AD6F3E672DE7}"/>
    <cellStyle name="Normal 18" xfId="2434" xr:uid="{D93C0B50-61FA-4216-A33B-8206C6D21108}"/>
    <cellStyle name="Normal 19" xfId="2436" xr:uid="{4B699917-A2CB-414B-934A-69432CB3EEE1}"/>
    <cellStyle name="Normal 2" xfId="3" xr:uid="{00000000-0005-0000-0000-000031000000}"/>
    <cellStyle name="Normal 2 2" xfId="18" xr:uid="{00000000-0005-0000-0000-000001000000}"/>
    <cellStyle name="Normal 2 2 2" xfId="185" xr:uid="{3D551BD1-CB67-491D-AD82-A98FDB9AAF6A}"/>
    <cellStyle name="Normal 2 2 2 2" xfId="2418" xr:uid="{6273243D-39A8-414E-84C5-F911265AD758}"/>
    <cellStyle name="Normal 2 2 2 3" xfId="2363" xr:uid="{47D9136C-18EB-4792-A34B-7585624EEEDF}"/>
    <cellStyle name="Normal 2 2 3" xfId="2369" xr:uid="{4F50F5D3-40AA-457A-8094-57E67DA09C68}"/>
    <cellStyle name="Normal 2 2 4" xfId="2320" xr:uid="{80E844AC-334F-4CEE-8234-29C04326FE16}"/>
    <cellStyle name="Normal 2 3" xfId="186" xr:uid="{6C03328F-1FE0-4DBC-A3E1-7A094582E446}"/>
    <cellStyle name="Normal 2 3 2" xfId="454" xr:uid="{F503B6AC-B717-4478-9E34-EBE25DA55199}"/>
    <cellStyle name="Normal 2 3 3" xfId="2278" xr:uid="{45644F1F-2E3F-44F9-A409-DC9D943527E9}"/>
    <cellStyle name="Normal 2 4" xfId="61" xr:uid="{44E6A0B3-711D-43ED-ACBE-1DD48CBBF213}"/>
    <cellStyle name="Normal 2 4 2" xfId="2377" xr:uid="{A442A2F5-3C35-49FA-9311-EA8A8FE63FCD}"/>
    <cellStyle name="Normal 2 4 3" xfId="2338" xr:uid="{C25055B8-B380-4AF3-9A2C-81613CC44165}"/>
    <cellStyle name="Normal 2 5" xfId="2324" xr:uid="{DBC13AEB-C9A0-4BA1-8155-D99B751335EC}"/>
    <cellStyle name="Normal 2 5 2" xfId="2415" xr:uid="{A48B71CA-EEF6-4A30-93BE-646738DED087}"/>
    <cellStyle name="Normal 2 5 3" xfId="2372" xr:uid="{94FCA087-B52C-455D-B1D6-5AD207823486}"/>
    <cellStyle name="Normal 2 5 4" xfId="2358" xr:uid="{5AB44D04-2FD5-4048-A080-372502CF9713}"/>
    <cellStyle name="Normal 2 6" xfId="2368" xr:uid="{620C4291-91D3-482F-9EFA-D52FC9712FEA}"/>
    <cellStyle name="Normal 2 7" xfId="2308" xr:uid="{A4AFC67C-E2E9-4D37-A34B-43E046828F02}"/>
    <cellStyle name="Normal 2 8" xfId="2458" xr:uid="{5BD0F8FF-7F20-481F-A1F8-59DC427A965F}"/>
    <cellStyle name="Normal 2 9" xfId="2485" xr:uid="{A740FD66-6A43-4B11-8BEB-38E809EB44F4}"/>
    <cellStyle name="Normal 20" xfId="2437" xr:uid="{8124C68D-79AD-4B61-B5CF-53507A837FF4}"/>
    <cellStyle name="Normal 21" xfId="2439" xr:uid="{0360EFE2-6E69-4075-AF32-536279816DB9}"/>
    <cellStyle name="Normal 22" xfId="2441" xr:uid="{E9C15C0A-B307-47B0-B410-3E7543EDB18F}"/>
    <cellStyle name="Normal 23" xfId="2479" xr:uid="{B784C85A-6017-4A01-91E0-1A1B682622D2}"/>
    <cellStyle name="Normal 3" xfId="10" xr:uid="{00000000-0005-0000-0000-00003A000000}"/>
    <cellStyle name="Normal 3 2" xfId="187" xr:uid="{D9CA7D9A-014D-4CA2-8F6E-6020B3A3A4E8}"/>
    <cellStyle name="Normal 3 2 2" xfId="62" xr:uid="{2BBD88CA-9682-4EBA-AD8E-CDF2C112FAA2}"/>
    <cellStyle name="Normal 3 2 2 2" xfId="2416" xr:uid="{5FB828C3-1E6B-4E63-9E37-41E1CE30FE48}"/>
    <cellStyle name="Normal 3 2 3" xfId="2373" xr:uid="{78739191-7906-407D-9C5C-D660A5AC7126}"/>
    <cellStyle name="Normal 3 2 4" xfId="2359" xr:uid="{8A787B02-DEAB-4DE9-B1C0-3AA6FD0FA2D6}"/>
    <cellStyle name="Normal 3 2 5" xfId="2327" xr:uid="{08B4F6E7-A26B-44B1-A761-20DC980CD664}"/>
    <cellStyle name="Normal 3 3" xfId="228" xr:uid="{21FF3234-79F6-44BF-B349-F527B90AA3B2}"/>
    <cellStyle name="Normal 3 3 2" xfId="2326" xr:uid="{60955D83-816F-453B-A7B0-BFA267EBB295}"/>
    <cellStyle name="Normal 3 4" xfId="390" xr:uid="{920D39F5-8FC5-4D8F-AF18-6A8AF19DB4BE}"/>
    <cellStyle name="Normal 3 5" xfId="57" xr:uid="{89DBF62C-448E-4104-8120-511209AA5491}"/>
    <cellStyle name="Normal 3 6" xfId="2273" xr:uid="{061A4450-8513-44EC-B41C-EDC20BB16FBC}"/>
    <cellStyle name="Normal 3 7" xfId="2309" xr:uid="{8067D77F-5C96-4AEC-AB2D-6B6789CA403D}"/>
    <cellStyle name="Normal 4" xfId="5" xr:uid="{00000000-0005-0000-0000-000001000000}"/>
    <cellStyle name="Normal 4 2" xfId="189" xr:uid="{50E19763-8BE4-489D-9FE0-B639863C78A9}"/>
    <cellStyle name="Normal 4 2 2" xfId="190" xr:uid="{E98BA211-74D8-43E9-9330-815B447EB480}"/>
    <cellStyle name="Normal 4 2 3" xfId="455" xr:uid="{8B45929E-6F63-44CF-BBED-831E0992BE37}"/>
    <cellStyle name="Normal 4 2 3 2" xfId="2378" xr:uid="{5A9F46B4-BBD4-4EDD-995A-EFA29222218E}"/>
    <cellStyle name="Normal 4 2 4" xfId="2362" xr:uid="{521E05CB-DB19-4EE3-864E-99DC2B77E957}"/>
    <cellStyle name="Normal 4 2 5" xfId="2339" xr:uid="{01EC7198-4A74-482D-9D00-B736FD411238}"/>
    <cellStyle name="Normal 4 2 6" xfId="2465" xr:uid="{2A282114-FD08-4D1A-8EA5-C0A14ACF3DCA}"/>
    <cellStyle name="Normal 4 3" xfId="229" xr:uid="{344F66D3-0F30-4568-9697-9A96171A8FB5}"/>
    <cellStyle name="Normal 4 3 2" xfId="456" xr:uid="{89B4481A-197C-4DE3-9480-6C71990514F9}"/>
    <cellStyle name="Normal 4 4" xfId="188" xr:uid="{3B44C35A-586A-46EE-9659-94907BBB2A9F}"/>
    <cellStyle name="Normal 5" xfId="16" xr:uid="{00000000-0005-0000-0000-00003E000000}"/>
    <cellStyle name="Normal 5 2" xfId="322" xr:uid="{BF98E91E-7281-44BB-A50C-6574638157B4}"/>
    <cellStyle name="Normal 5 2 2" xfId="329" xr:uid="{AA6AABD6-8839-47FF-A4E3-FA0695CC6901}"/>
    <cellStyle name="Normal 5 2 2 2" xfId="335" xr:uid="{B0E82FD7-EC55-41A1-B0BC-AD350B72FA35}"/>
    <cellStyle name="Normal 5 2 2 2 2" xfId="350" xr:uid="{CBD8266F-120D-4C7F-BCCB-8712BA0D03E1}"/>
    <cellStyle name="Normal 5 2 2 2 2 2" xfId="479" xr:uid="{BB182075-FD67-43FC-BA1C-6BE551F27FAF}"/>
    <cellStyle name="Normal 5 2 2 2 3" xfId="478" xr:uid="{DDBA820F-0A54-41E8-8A18-ACEC342E847E}"/>
    <cellStyle name="Normal 5 2 2 3" xfId="349" xr:uid="{7A48335E-7E87-453B-BE91-39A222241BFD}"/>
    <cellStyle name="Normal 5 2 2 3 2" xfId="480" xr:uid="{996851FA-9F43-4C5E-9094-2EFEE775E09F}"/>
    <cellStyle name="Normal 5 2 2 4" xfId="477" xr:uid="{FC99F16F-6F13-4E60-86A6-31D60344C7A1}"/>
    <cellStyle name="Normal 5 2 3" xfId="334" xr:uid="{E272AFAF-89C1-4FF8-A364-14986AB298B8}"/>
    <cellStyle name="Normal 5 2 3 2" xfId="351" xr:uid="{FE3E5DED-07AD-498E-9428-CDCEB94A69CC}"/>
    <cellStyle name="Normal 5 2 3 2 2" xfId="482" xr:uid="{68842E24-CE17-4F90-A0A1-AD2724D97B06}"/>
    <cellStyle name="Normal 5 2 3 3" xfId="481" xr:uid="{3831FDB2-4C5A-48AA-8BC1-41EC1CA47A93}"/>
    <cellStyle name="Normal 5 2 4" xfId="348" xr:uid="{98F026AE-5C21-4A5D-816B-A9D5514AF03B}"/>
    <cellStyle name="Normal 5 2 4 2" xfId="483" xr:uid="{6F87242E-2E15-46C9-819D-B294E7EC214C}"/>
    <cellStyle name="Normal 5 2 5" xfId="457" xr:uid="{3014D8A5-41CA-48DB-8F7B-25410BF5893E}"/>
    <cellStyle name="Normal 5 2 5 2" xfId="484" xr:uid="{6A96A892-2FF7-474A-A388-9751F0D8973C}"/>
    <cellStyle name="Normal 5 2 6" xfId="476" xr:uid="{3C710CA1-9B10-4E08-8E1E-6EE5B637523D}"/>
    <cellStyle name="Normal 5 3" xfId="326" xr:uid="{B0F66C31-5510-446B-8BD7-6AA622D1CD07}"/>
    <cellStyle name="Normal 5 3 2" xfId="336" xr:uid="{E8B6C88E-1083-4B92-92E9-CF782998E871}"/>
    <cellStyle name="Normal 5 3 2 2" xfId="353" xr:uid="{8E6BD8F0-5725-4B28-B4BD-DB922599B31F}"/>
    <cellStyle name="Normal 5 3 2 2 2" xfId="487" xr:uid="{B1D05E39-EEB2-48FF-A9B9-148BC3E6B023}"/>
    <cellStyle name="Normal 5 3 2 3" xfId="486" xr:uid="{1842949B-C0CA-4650-9020-BE8EB0D42AB7}"/>
    <cellStyle name="Normal 5 3 3" xfId="352" xr:uid="{FEC4A586-0DD0-4651-BAE6-077879A49ACC}"/>
    <cellStyle name="Normal 5 3 3 2" xfId="488" xr:uid="{AEB2FCD9-CCD3-42F9-8D4F-11C167552A8A}"/>
    <cellStyle name="Normal 5 3 4" xfId="485" xr:uid="{CFBBC070-CF35-4AA7-A9D2-62EFBCE65C78}"/>
    <cellStyle name="Normal 5 4" xfId="333" xr:uid="{46FD3274-E2B1-4B9D-A4CE-834A660A1295}"/>
    <cellStyle name="Normal 5 4 2" xfId="354" xr:uid="{D9AC1D42-F019-48CF-B544-829D6AFAB8AE}"/>
    <cellStyle name="Normal 5 4 2 2" xfId="490" xr:uid="{0EEE6DD0-8A01-4121-AF35-2C002915EAC9}"/>
    <cellStyle name="Normal 5 4 3" xfId="489" xr:uid="{D8524C56-692E-414B-A34C-D328561CAECF}"/>
    <cellStyle name="Normal 5 5" xfId="347" xr:uid="{800563B5-42DD-4452-8EF1-D6EE6A7ACB52}"/>
    <cellStyle name="Normal 5 5 2" xfId="491" xr:uid="{4A73B4E2-6CF1-4297-8666-CDEFA1A888F7}"/>
    <cellStyle name="Normal 5 6" xfId="391" xr:uid="{AB5B2FBA-EC7A-4A54-A4A5-214247D76F47}"/>
    <cellStyle name="Normal 5 7" xfId="475" xr:uid="{336A3C8B-01E9-4E5F-B295-E2413E64A730}"/>
    <cellStyle name="Normal 5 8" xfId="313" xr:uid="{91B77F41-235A-4A87-930F-92867119A32A}"/>
    <cellStyle name="Normal 5 9" xfId="191" xr:uid="{7AE0033B-CA42-4F06-BEA8-34406B791584}"/>
    <cellStyle name="Normal 6" xfId="192" xr:uid="{83715A31-BB48-479B-AF00-64855A39EB31}"/>
    <cellStyle name="Normal 6 10" xfId="458" xr:uid="{FF30E301-4F41-4CD7-8F46-6291E83EFF28}"/>
    <cellStyle name="Normal 6 10 2" xfId="493" xr:uid="{3A00CF9D-78F3-40C1-88F1-1D50F6292387}"/>
    <cellStyle name="Normal 6 11" xfId="492" xr:uid="{9366451E-6E1A-404B-9195-209E6683A5A3}"/>
    <cellStyle name="Normal 6 12" xfId="2321" xr:uid="{D8E103CD-A3B2-4F4B-AEEB-C78C5C2BC066}"/>
    <cellStyle name="Normal 6 13" xfId="2466" xr:uid="{D753D876-4B08-42F0-9CCF-2393715D50F7}"/>
    <cellStyle name="Normal 6 2" xfId="323" xr:uid="{0F8CF2FD-C2C1-45BD-AC04-48DB184B9B24}"/>
    <cellStyle name="Normal 6 2 2" xfId="330" xr:uid="{E6B21832-998D-47E1-9DA9-389D52020075}"/>
    <cellStyle name="Normal 6 2 2 2" xfId="339" xr:uid="{62B934B2-61F4-4FC2-B8CB-6C410B2F0E54}"/>
    <cellStyle name="Normal 6 2 2 2 2" xfId="358" xr:uid="{5EFA2A4A-0608-4B4E-B48C-B85BC8A11242}"/>
    <cellStyle name="Normal 6 2 2 2 2 2" xfId="497" xr:uid="{2526E74E-0FD4-46C1-B4D0-F73E466E30CD}"/>
    <cellStyle name="Normal 6 2 2 2 3" xfId="496" xr:uid="{CAC46484-0B0D-4E48-AB18-CDC2EB4B72E9}"/>
    <cellStyle name="Normal 6 2 2 3" xfId="357" xr:uid="{4CC89ABB-E0DB-4C6E-AB8C-EB81158BA979}"/>
    <cellStyle name="Normal 6 2 2 3 2" xfId="498" xr:uid="{38A61BE0-7444-46B9-86F4-5C64B76F7EF5}"/>
    <cellStyle name="Normal 6 2 2 4" xfId="495" xr:uid="{BF039F86-CC8C-470C-9C4C-2EC7EEBBB7B7}"/>
    <cellStyle name="Normal 6 2 2 5" xfId="2375" xr:uid="{ACD81C7F-1DC8-4DB0-8B9A-87B996A0FA07}"/>
    <cellStyle name="Normal 6 2 2 6" xfId="2469" xr:uid="{253BEC75-2DC9-40DA-9C3A-31F75079C711}"/>
    <cellStyle name="Normal 6 2 3" xfId="338" xr:uid="{9C4C3475-7324-481A-9E43-F27C47F9FB61}"/>
    <cellStyle name="Normal 6 2 3 2" xfId="359" xr:uid="{8B0C957A-AA7F-41C3-A4DC-5624609132F2}"/>
    <cellStyle name="Normal 6 2 3 2 2" xfId="500" xr:uid="{50B8E1A9-AEDF-4F6E-B2A0-9FDD1F33F060}"/>
    <cellStyle name="Normal 6 2 3 3" xfId="499" xr:uid="{63D4B534-40FF-4063-8AA6-9243C7DC2721}"/>
    <cellStyle name="Normal 6 2 4" xfId="356" xr:uid="{C30E4F84-8C8C-4E14-8AF8-D5985C7DAC79}"/>
    <cellStyle name="Normal 6 2 4 2" xfId="501" xr:uid="{49823BA2-F996-4A1E-B03A-07EB0C7B2A3C}"/>
    <cellStyle name="Normal 6 2 5" xfId="459" xr:uid="{677A6A25-8BCE-4965-865E-3881A77737D9}"/>
    <cellStyle name="Normal 6 2 5 2" xfId="502" xr:uid="{93435FB9-1D5A-43ED-AB59-39BAE6EB7D10}"/>
    <cellStyle name="Normal 6 2 6" xfId="494" xr:uid="{0166D914-3778-4BA2-8445-90E59CCCE67F}"/>
    <cellStyle name="Normal 6 2 7" xfId="2332" xr:uid="{C354E9BC-BB7A-4C9C-A5AE-7974A9E5ACB7}"/>
    <cellStyle name="Normal 6 3" xfId="325" xr:uid="{83BBBFF3-3707-4F46-9ADA-C3F5716A9E34}"/>
    <cellStyle name="Normal 6 3 2" xfId="332" xr:uid="{49749E1F-8477-44F8-B8C8-C6EA381CD105}"/>
    <cellStyle name="Normal 6 3 2 2" xfId="341" xr:uid="{F88562B8-549B-4330-A23A-7166089C7066}"/>
    <cellStyle name="Normal 6 3 2 2 2" xfId="362" xr:uid="{A39F79EA-9318-4F68-8BF4-3484646E0A2F}"/>
    <cellStyle name="Normal 6 3 2 2 2 2" xfId="506" xr:uid="{F5BCB598-EE38-4722-9024-0835D1A9BD97}"/>
    <cellStyle name="Normal 6 3 2 2 3" xfId="505" xr:uid="{8B825886-B4D5-4F6F-9D73-8711CA69E20B}"/>
    <cellStyle name="Normal 6 3 2 3" xfId="361" xr:uid="{95077C08-7A05-4123-AC57-4FE76A040367}"/>
    <cellStyle name="Normal 6 3 2 3 2" xfId="507" xr:uid="{490780DA-CF8F-4A24-A214-BEC992460B70}"/>
    <cellStyle name="Normal 6 3 2 4" xfId="504" xr:uid="{7E9B9C60-FC8F-4EBA-909F-692283398CC6}"/>
    <cellStyle name="Normal 6 3 3" xfId="340" xr:uid="{CFE7B854-2C79-407F-841E-F7B151E7FB0D}"/>
    <cellStyle name="Normal 6 3 3 2" xfId="363" xr:uid="{475BACBE-DBD9-4061-A910-4D2941308F68}"/>
    <cellStyle name="Normal 6 3 3 2 2" xfId="509" xr:uid="{6C01ADD8-600B-4F6B-ABB0-13991394C6F2}"/>
    <cellStyle name="Normal 6 3 3 3" xfId="508" xr:uid="{368CDCAF-FAD3-4FC0-BD23-072AEB4DBD08}"/>
    <cellStyle name="Normal 6 3 4" xfId="360" xr:uid="{F5704403-13C4-482A-810D-22AD5B687A57}"/>
    <cellStyle name="Normal 6 3 4 2" xfId="510" xr:uid="{ABFDAF5E-A320-4B3B-B5F8-5F81B8407474}"/>
    <cellStyle name="Normal 6 3 5" xfId="503" xr:uid="{33C6DF31-F5E3-4C31-BE1A-2C7C088039EC}"/>
    <cellStyle name="Normal 6 3 6" xfId="2325" xr:uid="{0C5DCF0F-A265-42A9-B2BB-775796DDA299}"/>
    <cellStyle name="Normal 6 4" xfId="327" xr:uid="{79BE38BF-EE22-4679-9F0E-CE4122E146DB}"/>
    <cellStyle name="Normal 6 4 2" xfId="342" xr:uid="{9E41D3CD-C32F-48E9-B057-490891383A20}"/>
    <cellStyle name="Normal 6 4 2 2" xfId="365" xr:uid="{BF83BB7F-C8A1-45FD-82E8-E65E27CF73A6}"/>
    <cellStyle name="Normal 6 4 2 2 2" xfId="513" xr:uid="{01362A32-0447-4078-9AAF-1FFB2B698020}"/>
    <cellStyle name="Normal 6 4 2 3" xfId="512" xr:uid="{52C864CF-BACE-46FB-BCC5-5E384C8DD1D0}"/>
    <cellStyle name="Normal 6 4 3" xfId="364" xr:uid="{D4CB1057-C4C9-4550-94C2-436840EF4F4F}"/>
    <cellStyle name="Normal 6 4 3 2" xfId="514" xr:uid="{4D132211-4DD8-449C-988E-7AF2B888D725}"/>
    <cellStyle name="Normal 6 4 4" xfId="511" xr:uid="{54057059-DCB4-4D85-97BA-F95D1B9C484A}"/>
    <cellStyle name="Normal 6 4 5" xfId="2370" xr:uid="{5ABA8F90-EC12-4DEA-B4BD-668CC5FB74EA}"/>
    <cellStyle name="Normal 6 5" xfId="337" xr:uid="{BD3DAED3-1535-4E27-B2E2-D8E425E898F8}"/>
    <cellStyle name="Normal 6 5 2" xfId="366" xr:uid="{AA6BF539-FEF6-453A-B8C4-CE318138ED4F}"/>
    <cellStyle name="Normal 6 5 2 2" xfId="516" xr:uid="{2C1B73C0-5976-4FF2-8254-164ECE01156A}"/>
    <cellStyle name="Normal 6 5 3" xfId="515" xr:uid="{5538CC15-306A-4834-9FFE-8049261DE1B2}"/>
    <cellStyle name="Normal 6 6" xfId="355" xr:uid="{9AB15DF0-CA6B-4788-A76D-7788DE0C0158}"/>
    <cellStyle name="Normal 6 6 2" xfId="517" xr:uid="{8E4F9FF6-2CA9-40A4-A1D2-88985BCCA9AE}"/>
    <cellStyle name="Normal 6 7" xfId="392" xr:uid="{E8995099-AFE9-48FE-9162-D04A5324526E}"/>
    <cellStyle name="Normal 6 7 2" xfId="518" xr:uid="{E5758EA4-6A95-4500-BC14-B46BBE94FFC0}"/>
    <cellStyle name="Normal 6 8" xfId="428" xr:uid="{175FABFB-CF82-4BF5-97C8-2B2FE6EAD9DB}"/>
    <cellStyle name="Normal 6 8 2" xfId="519" xr:uid="{F1D0209E-5EC4-45C5-9F3E-27587916C865}"/>
    <cellStyle name="Normal 6 9" xfId="431" xr:uid="{44C0D145-938D-4644-B07B-753C38236869}"/>
    <cellStyle name="Normal 6 9 2" xfId="520" xr:uid="{C1BD9C55-AE3D-48A5-BAAA-742041352755}"/>
    <cellStyle name="Normal 7" xfId="55" xr:uid="{F8421A33-6684-4649-88AB-26A9CE917FC2}"/>
    <cellStyle name="Normal 7 2" xfId="324" xr:uid="{D2D86C38-3752-456F-A62C-71E0E9C2C8FC}"/>
    <cellStyle name="Normal 7 2 2" xfId="331" xr:uid="{23F04117-9E5E-46BE-B981-F323B92FA296}"/>
    <cellStyle name="Normal 7 2 2 2" xfId="345" xr:uid="{DE5C1094-2F3E-4BFD-BF69-3C54CD97E291}"/>
    <cellStyle name="Normal 7 2 2 2 2" xfId="370" xr:uid="{CE7BB75A-A5D6-40C9-8EE7-487E8F69A571}"/>
    <cellStyle name="Normal 7 2 2 2 2 2" xfId="525" xr:uid="{20E6DD54-0F23-4D25-8B73-73B141FF910F}"/>
    <cellStyle name="Normal 7 2 2 2 3" xfId="524" xr:uid="{C83AA3E5-108E-4F5F-ADFD-FCFB5338B1E4}"/>
    <cellStyle name="Normal 7 2 2 3" xfId="369" xr:uid="{C05B704F-87EB-48F5-9C42-EA1D7893F330}"/>
    <cellStyle name="Normal 7 2 2 3 2" xfId="526" xr:uid="{6270FDBA-4992-459D-BBB2-ED4B4337E461}"/>
    <cellStyle name="Normal 7 2 2 4" xfId="523" xr:uid="{8F7F8A25-9EEA-4343-8007-E7AD3D38D2BF}"/>
    <cellStyle name="Normal 7 2 3" xfId="344" xr:uid="{83F76608-8B78-492B-B18D-807271413FA7}"/>
    <cellStyle name="Normal 7 2 3 2" xfId="371" xr:uid="{D5F7787A-CA39-4B03-93A1-AF63A7135421}"/>
    <cellStyle name="Normal 7 2 3 2 2" xfId="528" xr:uid="{F794AD2C-5ADF-4773-902A-009C2B7F5735}"/>
    <cellStyle name="Normal 7 2 3 3" xfId="527" xr:uid="{D4572407-7891-4BBB-B9D0-40AAF0351DB0}"/>
    <cellStyle name="Normal 7 2 4" xfId="368" xr:uid="{0F50925D-3015-44A9-9BA3-3250C781F6FE}"/>
    <cellStyle name="Normal 7 2 4 2" xfId="529" xr:uid="{AE4C3497-7924-4FDB-910F-CBEDD4169469}"/>
    <cellStyle name="Normal 7 2 5" xfId="460" xr:uid="{F5F5F42C-B2CE-4DAF-9D0A-058EDF0C436E}"/>
    <cellStyle name="Normal 7 2 5 2" xfId="530" xr:uid="{0960D38C-8A71-4853-AEC0-0AB75CCB4B5E}"/>
    <cellStyle name="Normal 7 2 6" xfId="522" xr:uid="{50030998-91BE-405D-A660-827447ABDC33}"/>
    <cellStyle name="Normal 7 2 7" xfId="2371" xr:uid="{1C40438F-6DDA-428D-A8C6-97F07D169E28}"/>
    <cellStyle name="Normal 7 3" xfId="328" xr:uid="{23B0B9A5-FB7D-4850-8860-9D8F8D1536A0}"/>
    <cellStyle name="Normal 7 3 2" xfId="346" xr:uid="{79EACD5A-5FF7-4A88-91C2-ABE9EDDB9A41}"/>
    <cellStyle name="Normal 7 3 2 2" xfId="373" xr:uid="{A6E69B46-1B63-4406-ADCD-34CD6A035F6B}"/>
    <cellStyle name="Normal 7 3 2 2 2" xfId="533" xr:uid="{36641912-F71C-414B-A52D-857DE7DB8EBB}"/>
    <cellStyle name="Normal 7 3 2 3" xfId="532" xr:uid="{DBCD0D24-5008-42DC-9E5F-125559A39D84}"/>
    <cellStyle name="Normal 7 3 3" xfId="372" xr:uid="{6A1EE418-7146-48EF-AB00-576447D2330E}"/>
    <cellStyle name="Normal 7 3 3 2" xfId="534" xr:uid="{2F786BAA-91BD-4E60-B1A0-250675B29D87}"/>
    <cellStyle name="Normal 7 3 4" xfId="531" xr:uid="{53C40ECB-066F-4298-9EDD-39CD22830F9B}"/>
    <cellStyle name="Normal 7 4" xfId="343" xr:uid="{92501683-0073-44DA-AA83-7A851CBD042C}"/>
    <cellStyle name="Normal 7 4 2" xfId="374" xr:uid="{2756E9F1-8C3F-46ED-88A6-65AABDA97DCC}"/>
    <cellStyle name="Normal 7 4 2 2" xfId="536" xr:uid="{E6E2779D-8AA4-4FF6-B3C9-071DE20AAA78}"/>
    <cellStyle name="Normal 7 4 3" xfId="535" xr:uid="{FB363707-6B85-47A5-AEC2-50722746D2D1}"/>
    <cellStyle name="Normal 7 5" xfId="367" xr:uid="{53E290BB-DE0F-462D-8C8E-9FE2E39347D6}"/>
    <cellStyle name="Normal 7 5 2" xfId="537" xr:uid="{53FD2CD5-FD30-400A-8A54-CD4DEA8B5E39}"/>
    <cellStyle name="Normal 7 6" xfId="380" xr:uid="{967B2BC2-FFF0-4240-840C-BA28E6160431}"/>
    <cellStyle name="Normal 7 7" xfId="521" xr:uid="{93762CEB-5B56-41B9-BC1E-16823ED51624}"/>
    <cellStyle name="Normal 7 8" xfId="321" xr:uid="{72447E79-67CF-4643-B929-EC967DB4D6B2}"/>
    <cellStyle name="Normal 8" xfId="268" xr:uid="{F0386BB5-8187-4538-B2FB-24AEC1071709}"/>
    <cellStyle name="Normal 8 2" xfId="462" xr:uid="{B5A57442-BCBB-4883-B63A-A338FC9D7A81}"/>
    <cellStyle name="Normal 8 3" xfId="461" xr:uid="{83D0627B-30C3-467F-86F4-F470BA60F8D8}"/>
    <cellStyle name="Normal 8 4" xfId="2364" xr:uid="{C8F0731E-7BCF-4AD1-9FD6-027EE20ECC37}"/>
    <cellStyle name="Normal 9" xfId="375" xr:uid="{1BE74CEC-F2E0-4038-94C1-3DEB85E4EAC2}"/>
    <cellStyle name="Normal 9 2" xfId="538" xr:uid="{0D3E9BCF-69B7-46D9-8EF0-F7D4A6B428CE}"/>
    <cellStyle name="Normal 9 3" xfId="2280" xr:uid="{051F4CF6-1972-462E-8C6A-10E29AF76DFF}"/>
    <cellStyle name="Normal GHG Numbers (0.00)" xfId="193" xr:uid="{1146ADD7-8DB1-476A-9823-95EB4E4EBD4F}"/>
    <cellStyle name="Normal GHG Numbers (0.00) 2" xfId="194" xr:uid="{7C78605F-A0C5-478C-A64C-A94179F233DB}"/>
    <cellStyle name="Normal GHG Numbers (0.00) 3" xfId="58" xr:uid="{DA6E172C-CEA6-4FEE-8BC8-3B06F98D2224}"/>
    <cellStyle name="Normal GHG Numbers (0.00) 3 2" xfId="463" xr:uid="{4FF9C736-E6FC-4378-87E2-7E919E30A170}"/>
    <cellStyle name="Normal GHG Numbers (0.00) 3 2 2" xfId="612" xr:uid="{382D2E7B-38E9-48E3-94D6-F19B46C01AA5}"/>
    <cellStyle name="Normal GHG Numbers (0.00) 3 2 2 2" xfId="827" xr:uid="{8C1FB0AE-3321-49F8-A07B-E9BA270D6599}"/>
    <cellStyle name="Normal GHG Numbers (0.00) 3 2 2 2 2" xfId="1177" xr:uid="{54D391B3-25E1-454D-BB4D-130A6F7C1296}"/>
    <cellStyle name="Normal GHG Numbers (0.00) 3 2 2 2 3" xfId="1803" xr:uid="{31A2F03F-1004-46BD-9098-AC150B1827AD}"/>
    <cellStyle name="Normal GHG Numbers (0.00) 3 2 2 2 4" xfId="2174" xr:uid="{A61F104F-E79F-46B4-935B-FAE390280ACF}"/>
    <cellStyle name="Normal GHG Numbers (0.00) 3 2 2 3" xfId="1117" xr:uid="{DD532C9D-E67A-4EB1-9C31-C6A7EE96F1E4}"/>
    <cellStyle name="Normal GHG Numbers (0.00) 3 2 2 4" xfId="1596" xr:uid="{5729D094-6E63-459A-A097-93F4BEE6B1A1}"/>
    <cellStyle name="Normal GHG Numbers (0.00) 3 2 2 5" xfId="1968" xr:uid="{EAD8E985-8B16-4CC5-A92A-34C638CE3DBB}"/>
    <cellStyle name="Normal GHG Numbers (0.00) 3 2 3" xfId="753" xr:uid="{7AC9B14E-BC9B-4C01-9341-E37375C92CA4}"/>
    <cellStyle name="Normal GHG Numbers (0.00) 3 2 3 2" xfId="1354" xr:uid="{6BFB70B8-A2BF-40A1-84F5-80786962C85D}"/>
    <cellStyle name="Normal GHG Numbers (0.00) 3 2 3 3" xfId="1729" xr:uid="{BC32A376-27EB-4067-B6E9-05963653198C}"/>
    <cellStyle name="Normal GHG Numbers (0.00) 3 2 3 4" xfId="2100" xr:uid="{09F725CD-B804-4615-B312-4C71589B0DB3}"/>
    <cellStyle name="Normal GHG Numbers (0.00) 3 3" xfId="393" xr:uid="{3939480D-5AC5-4C72-92D9-BD47211FC05A}"/>
    <cellStyle name="Normal GHG Numbers (0.00) 3 3 2" xfId="671" xr:uid="{E273E759-163E-4D57-B5C9-C22AC6EE8355}"/>
    <cellStyle name="Normal GHG Numbers (0.00) 3 3 2 2" xfId="886" xr:uid="{3E83F426-ED39-4CDB-9B13-95A410C4BB32}"/>
    <cellStyle name="Normal GHG Numbers (0.00) 3 3 2 2 2" xfId="1207" xr:uid="{E398FC40-AB14-4916-91EB-1D75E652D00B}"/>
    <cellStyle name="Normal GHG Numbers (0.00) 3 3 2 2 3" xfId="1862" xr:uid="{C1AFC23F-69D9-4EFF-A8E7-48515C08243D}"/>
    <cellStyle name="Normal GHG Numbers (0.00) 3 3 2 2 4" xfId="2233" xr:uid="{5E887D50-780D-422C-89DB-8CA5498319EC}"/>
    <cellStyle name="Normal GHG Numbers (0.00) 3 3 2 3" xfId="940" xr:uid="{DE554C35-992C-400A-AF0D-998913083736}"/>
    <cellStyle name="Normal GHG Numbers (0.00) 3 3 2 4" xfId="1655" xr:uid="{EA90692F-ADC7-4FFC-AA0D-4B22B48BB8F7}"/>
    <cellStyle name="Normal GHG Numbers (0.00) 3 3 2 5" xfId="2027" xr:uid="{164E7B52-82C5-49E1-B8B2-896FDD777404}"/>
    <cellStyle name="Normal GHG Numbers (0.00) 3 3 3" xfId="568" xr:uid="{EC856022-EE82-4812-9502-B77A23565D4C}"/>
    <cellStyle name="Normal GHG Numbers (0.00) 3 3 3 2" xfId="783" xr:uid="{ABE94EC2-FE97-4A14-9D8C-7B19EE991B61}"/>
    <cellStyle name="Normal GHG Numbers (0.00) 3 3 3 2 2" xfId="1080" xr:uid="{B12F3032-AF94-444E-A709-FC831862C72E}"/>
    <cellStyle name="Normal GHG Numbers (0.00) 3 3 3 2 3" xfId="1759" xr:uid="{C742E355-7B50-40FD-9DD3-BA201E0BE1C8}"/>
    <cellStyle name="Normal GHG Numbers (0.00) 3 3 3 2 4" xfId="2130" xr:uid="{39D620E4-6EBF-43BE-AA9B-F7FA7329B0CD}"/>
    <cellStyle name="Normal GHG Numbers (0.00) 3 3 3 3" xfId="1022" xr:uid="{78124A8D-04F8-4467-A51D-DA2CB8F8DAAC}"/>
    <cellStyle name="Normal GHG Numbers (0.00) 3 3 3 4" xfId="1552" xr:uid="{A843B868-5D5C-482C-96DB-492BEA967D88}"/>
    <cellStyle name="Normal GHG Numbers (0.00) 3 3 3 5" xfId="1924" xr:uid="{2C350140-CEDC-4115-B422-C73404C3FEED}"/>
    <cellStyle name="Normal GHG Numbers (0.00) 3 3 4" xfId="701" xr:uid="{841B0C3E-245B-4C75-B416-32E4F457ABA5}"/>
    <cellStyle name="Normal GHG Numbers (0.00) 3 3 4 2" xfId="916" xr:uid="{41A36783-F8C2-4065-A61A-CAA09C98653F}"/>
    <cellStyle name="Normal GHG Numbers (0.00) 3 3 4 2 2" xfId="1508" xr:uid="{A8EB2B40-B61E-41AA-A1E0-52BEF0B805F7}"/>
    <cellStyle name="Normal GHG Numbers (0.00) 3 3 4 2 3" xfId="1892" xr:uid="{90652A3D-8A26-4E80-AA92-DF739661266B}"/>
    <cellStyle name="Normal GHG Numbers (0.00) 3 3 4 2 4" xfId="2263" xr:uid="{11CC4DBD-664C-4D8F-ABEC-387CD9157AC8}"/>
    <cellStyle name="Normal GHG Numbers (0.00) 3 3 4 3" xfId="1478" xr:uid="{D1B5C4AE-99AE-4B0E-9994-58918B889CC9}"/>
    <cellStyle name="Normal GHG Numbers (0.00) 3 3 4 4" xfId="1685" xr:uid="{1CE2927A-85CE-4477-BE5E-6563D8B4BB29}"/>
    <cellStyle name="Normal GHG Numbers (0.00) 3 3 4 5" xfId="2057" xr:uid="{186F5AC6-E8F2-4C4A-ABB7-0391BA84C0FE}"/>
    <cellStyle name="Normal GHG Numbers (0.00) 3 3 5" xfId="1284" xr:uid="{E88AB3F9-7E3D-4B1A-AD6D-6BB177B29447}"/>
    <cellStyle name="Normal GHG Numbers (0.00) 3 3 6" xfId="1081" xr:uid="{D690F2CE-E783-4F90-BC3A-E0B15498D80E}"/>
    <cellStyle name="Normal GHG Numbers (0.00) 3 3 7" xfId="1144" xr:uid="{D2C59097-BA1E-4E13-BE32-19A2ADD7CAFD}"/>
    <cellStyle name="Normal GHG Numbers (0.00) 3 4" xfId="195" xr:uid="{7984611C-FDDB-42FD-BEF8-1508A77D5C75}"/>
    <cellStyle name="Normal GHG Textfiels Bold" xfId="25" xr:uid="{A9D19082-EAA2-40A0-B4DA-7FE5823C76AF}"/>
    <cellStyle name="Normal GHG Textfiels Bold 2" xfId="196" xr:uid="{65C385FA-6B7B-4B84-A455-8004B73A24F8}"/>
    <cellStyle name="Normal GHG Textfiels Bold 3" xfId="197" xr:uid="{F3F44880-055A-4F7A-B03E-508BBE1099CA}"/>
    <cellStyle name="Normal GHG Textfiels Bold 3 2" xfId="464" xr:uid="{8831A483-0C45-4F57-ADCF-069BE7668AFE}"/>
    <cellStyle name="Normal GHG Textfiels Bold 3 2 2" xfId="556" xr:uid="{4A254874-89E0-47CD-BBBC-D90A8FBF5794}"/>
    <cellStyle name="Normal GHG Textfiels Bold 3 2 2 2" xfId="771" xr:uid="{7C13061A-F9F9-45B0-899B-E4DE7E52E4F2}"/>
    <cellStyle name="Normal GHG Textfiels Bold 3 2 2 2 2" xfId="1158" xr:uid="{66C94E2F-6C44-44FB-8FD9-191CFE605273}"/>
    <cellStyle name="Normal GHG Textfiels Bold 3 2 2 2 3" xfId="1747" xr:uid="{09C6FDB2-3E67-42C3-856C-8273F3EFB3FF}"/>
    <cellStyle name="Normal GHG Textfiels Bold 3 2 2 2 4" xfId="2118" xr:uid="{BC4863C9-A579-4A8E-889F-2695BC04D261}"/>
    <cellStyle name="Normal GHG Textfiels Bold 3 2 2 3" xfId="1429" xr:uid="{9E9D57A2-6C9E-4E96-B8EE-49DCC90D014B}"/>
    <cellStyle name="Normal GHG Textfiels Bold 3 2 2 4" xfId="1540" xr:uid="{E4DD8F9F-2827-47CA-83D8-F6EE26E7A2AA}"/>
    <cellStyle name="Normal GHG Textfiels Bold 3 2 2 5" xfId="1912" xr:uid="{8CADAF35-CB87-4BDC-BBCE-AA20EDA95714}"/>
    <cellStyle name="Normal GHG Textfiels Bold 3 2 3" xfId="754" xr:uid="{6A34D3F0-33F4-45E1-833A-C5A6573E3C66}"/>
    <cellStyle name="Normal GHG Textfiels Bold 3 2 3 2" xfId="1491" xr:uid="{17DBC3FF-75A2-4245-9B1A-795D75AF4D0C}"/>
    <cellStyle name="Normal GHG Textfiels Bold 3 2 3 3" xfId="1730" xr:uid="{B65637F1-9C7F-443A-B576-E54849A21260}"/>
    <cellStyle name="Normal GHG Textfiels Bold 3 2 3 4" xfId="2101" xr:uid="{CAD7840F-77C0-4A15-A943-2535E3422544}"/>
    <cellStyle name="Normal GHG Textfiels Bold 3 3" xfId="394" xr:uid="{4488D265-6A6B-471D-8707-5F03169F5369}"/>
    <cellStyle name="Normal GHG Textfiels Bold 3 3 2" xfId="672" xr:uid="{CD470CA9-C678-41B5-AE99-2A7243920BD5}"/>
    <cellStyle name="Normal GHG Textfiels Bold 3 3 2 2" xfId="887" xr:uid="{D4595BA5-54FC-4EB2-8AD6-6E2803618D14}"/>
    <cellStyle name="Normal GHG Textfiels Bold 3 3 2 2 2" xfId="1434" xr:uid="{375E600E-D8CC-4956-BF1C-06AC3F77D074}"/>
    <cellStyle name="Normal GHG Textfiels Bold 3 3 2 2 3" xfId="1863" xr:uid="{19AEFBD7-5234-4D9E-9B9F-B2F133C58C00}"/>
    <cellStyle name="Normal GHG Textfiels Bold 3 3 2 2 4" xfId="2234" xr:uid="{31DB2382-B8ED-4165-8E2F-23C68B30F251}"/>
    <cellStyle name="Normal GHG Textfiels Bold 3 3 2 3" xfId="1200" xr:uid="{BDE3D13C-1F12-45E0-B46F-6E6E38D4B702}"/>
    <cellStyle name="Normal GHG Textfiels Bold 3 3 2 4" xfId="1656" xr:uid="{82446AFB-21AA-4589-B0FD-752EBA410A48}"/>
    <cellStyle name="Normal GHG Textfiels Bold 3 3 2 5" xfId="2028" xr:uid="{715CB075-B0D8-4CBE-BCE6-5C69BEDA88BB}"/>
    <cellStyle name="Normal GHG Textfiels Bold 3 3 3" xfId="615" xr:uid="{136089FA-0289-4DA7-99CB-167DD7620742}"/>
    <cellStyle name="Normal GHG Textfiels Bold 3 3 3 2" xfId="830" xr:uid="{33B7A58F-FED3-4543-8C8F-8438AFD205D5}"/>
    <cellStyle name="Normal GHG Textfiels Bold 3 3 3 2 2" xfId="1363" xr:uid="{E0E24F22-1EAC-46F4-8489-4BBB6BC8C560}"/>
    <cellStyle name="Normal GHG Textfiels Bold 3 3 3 2 3" xfId="1806" xr:uid="{D6C6B714-8665-4866-A8BD-185A180C4331}"/>
    <cellStyle name="Normal GHG Textfiels Bold 3 3 3 2 4" xfId="2177" xr:uid="{60C644C7-3C50-44E9-8C24-4BB3D64356B2}"/>
    <cellStyle name="Normal GHG Textfiels Bold 3 3 3 3" xfId="1132" xr:uid="{CEF5D2D3-C5D5-4CF9-AD22-1F3F18C20A90}"/>
    <cellStyle name="Normal GHG Textfiels Bold 3 3 3 4" xfId="1599" xr:uid="{49592D80-DABE-4FB6-8861-E3851AE04301}"/>
    <cellStyle name="Normal GHG Textfiels Bold 3 3 3 5" xfId="1971" xr:uid="{3E55CF23-94D4-4292-9424-01A2D7334A26}"/>
    <cellStyle name="Normal GHG Textfiels Bold 3 3 4" xfId="590" xr:uid="{B886992B-4AF8-4729-8E05-083FE297BE1D}"/>
    <cellStyle name="Normal GHG Textfiels Bold 3 3 4 2" xfId="805" xr:uid="{A02DC794-6AC7-4E81-9D43-45AAD24BED90}"/>
    <cellStyle name="Normal GHG Textfiels Bold 3 3 4 2 2" xfId="1170" xr:uid="{41D9021C-501C-44F6-B2D0-90C517A1D3AD}"/>
    <cellStyle name="Normal GHG Textfiels Bold 3 3 4 2 3" xfId="1781" xr:uid="{4A1FCB8C-24B5-46AB-AC22-AF4D0D4F0C02}"/>
    <cellStyle name="Normal GHG Textfiels Bold 3 3 4 2 4" xfId="2152" xr:uid="{0008F14B-19AC-48F6-A9BB-43411CAD632E}"/>
    <cellStyle name="Normal GHG Textfiels Bold 3 3 4 3" xfId="1024" xr:uid="{13B32AF0-9796-48EF-AEB2-DF8F266DF9E7}"/>
    <cellStyle name="Normal GHG Textfiels Bold 3 3 4 4" xfId="1574" xr:uid="{15753F6C-2B9F-4954-892C-0EE8F7458A94}"/>
    <cellStyle name="Normal GHG Textfiels Bold 3 3 4 5" xfId="1946" xr:uid="{3DA44D36-22B9-41D4-B284-08DE75712399}"/>
    <cellStyle name="Normal GHG Textfiels Bold 3 3 5" xfId="1016" xr:uid="{2B9CD339-5859-4453-91C8-18585DF8AF48}"/>
    <cellStyle name="Normal GHG Textfiels Bold 3 3 6" xfId="1003" xr:uid="{4BD18F95-BF42-470C-8AB2-5D77CC13B57A}"/>
    <cellStyle name="Normal GHG Textfiels Bold 3 3 7" xfId="1082" xr:uid="{CD7FBA16-D916-4AE9-949F-EE8EC2E0DFE8}"/>
    <cellStyle name="Normal GHG Textfiels Bold 4" xfId="2446" xr:uid="{72262B15-9588-4454-BDAA-CB4C59CF444D}"/>
    <cellStyle name="Normal GHG whole table" xfId="34" xr:uid="{01CEF103-586F-4157-B92A-B7408FD96234}"/>
    <cellStyle name="Normal GHG whole table 2" xfId="465" xr:uid="{8315B1D6-CB86-413A-9EA4-B01773254189}"/>
    <cellStyle name="Normal GHG whole table 2 2" xfId="611" xr:uid="{71B485FA-B6EE-4385-A5DB-82CABDB01589}"/>
    <cellStyle name="Normal GHG whole table 2 2 2" xfId="826" xr:uid="{B6A10363-025F-4D33-BE65-D0FB48C3C455}"/>
    <cellStyle name="Normal GHG whole table 2 2 2 2" xfId="1404" xr:uid="{FD6B4D87-3ED1-44A7-A8C9-4112EE80CA79}"/>
    <cellStyle name="Normal GHG whole table 2 2 2 3" xfId="1802" xr:uid="{FB753F2A-50D1-4055-9E8B-FA2D308DBA16}"/>
    <cellStyle name="Normal GHG whole table 2 2 2 4" xfId="2173" xr:uid="{6BDFBDA4-C406-4DAF-BBC6-9FE909EAA764}"/>
    <cellStyle name="Normal GHG whole table 2 2 3" xfId="1388" xr:uid="{B4AC0EA8-4B9F-484D-8DD7-AD46A1476EED}"/>
    <cellStyle name="Normal GHG whole table 2 2 4" xfId="1595" xr:uid="{35DB2C6A-5D29-445D-B989-B0C6B2B6392A}"/>
    <cellStyle name="Normal GHG whole table 2 2 5" xfId="1967" xr:uid="{712C5A68-E73D-4710-9DE6-6D9C053ABCED}"/>
    <cellStyle name="Normal GHG whole table 2 3" xfId="755" xr:uid="{DCD5EB03-CD59-4E65-A8ED-95FE6C44C745}"/>
    <cellStyle name="Normal GHG whole table 2 3 2" xfId="1395" xr:uid="{6E51B9A6-8BA2-46C2-BE0B-359A1E12CB50}"/>
    <cellStyle name="Normal GHG whole table 2 3 3" xfId="1731" xr:uid="{89CCA0E7-D902-43A7-958E-9A5741EC7951}"/>
    <cellStyle name="Normal GHG whole table 2 3 4" xfId="2102" xr:uid="{B2C44E58-6F46-4342-BA83-336CD84B16D0}"/>
    <cellStyle name="Normal GHG whole table 3" xfId="314" xr:uid="{6075FDAF-3EF3-49CB-AFAE-63ED27F3B1DB}"/>
    <cellStyle name="Normal GHG whole table 3 2" xfId="651" xr:uid="{1C4EF716-DF28-42B3-ACD3-8FFE9411351B}"/>
    <cellStyle name="Normal GHG whole table 3 2 2" xfId="866" xr:uid="{0E52D87F-865D-4582-866B-EEC1A1779871}"/>
    <cellStyle name="Normal GHG whole table 3 2 2 2" xfId="1474" xr:uid="{47902800-C411-4F4A-942C-7B8CC63F6CD3}"/>
    <cellStyle name="Normal GHG whole table 3 2 2 3" xfId="1842" xr:uid="{3629A659-40AC-4BCC-A05B-BADF137C291B}"/>
    <cellStyle name="Normal GHG whole table 3 2 2 4" xfId="2213" xr:uid="{0FDFF220-B401-40FC-818A-0333A98ACF36}"/>
    <cellStyle name="Normal GHG whole table 3 2 3" xfId="1152" xr:uid="{C84E7AC5-0443-42A4-B370-F294E27BB83D}"/>
    <cellStyle name="Normal GHG whole table 3 2 4" xfId="1635" xr:uid="{8C887784-B5B0-4E9D-B82B-B2DCE98EB56C}"/>
    <cellStyle name="Normal GHG whole table 3 2 5" xfId="2007" xr:uid="{F7E4F1CC-483F-4745-9CA3-34FF4FE68D77}"/>
    <cellStyle name="Normal GHG whole table 3 3" xfId="572" xr:uid="{FF37E161-7CFE-461D-B479-ADD9C1CBB4E0}"/>
    <cellStyle name="Normal GHG whole table 3 3 2" xfId="787" xr:uid="{DB4D1EE2-1753-40CE-8825-A24FAD358BF2}"/>
    <cellStyle name="Normal GHG whole table 3 3 2 2" xfId="1175" xr:uid="{144A9577-CDDE-41C0-8710-FDA50EA497FB}"/>
    <cellStyle name="Normal GHG whole table 3 3 2 3" xfId="1763" xr:uid="{58720485-F4A7-4D29-BCB7-27FA786BD74C}"/>
    <cellStyle name="Normal GHG whole table 3 3 2 4" xfId="2134" xr:uid="{086C6096-3959-49E8-A83F-41781A81386F}"/>
    <cellStyle name="Normal GHG whole table 3 3 3" xfId="1236" xr:uid="{C7709D3C-5A43-439D-BF71-560145124CAF}"/>
    <cellStyle name="Normal GHG whole table 3 3 4" xfId="1556" xr:uid="{BA60A3E0-D69F-4CB9-8017-4D4CB477E23C}"/>
    <cellStyle name="Normal GHG whole table 3 3 5" xfId="1928" xr:uid="{CC4608EB-E9C1-470A-A781-54CE9A146F63}"/>
    <cellStyle name="Normal GHG whole table 3 4" xfId="659" xr:uid="{353B7F87-A5E3-47FE-B2E9-319BEA679B6F}"/>
    <cellStyle name="Normal GHG whole table 3 4 2" xfId="874" xr:uid="{D3089814-60FF-46F5-81D8-EAECD9A0BD33}"/>
    <cellStyle name="Normal GHG whole table 3 4 2 2" xfId="1452" xr:uid="{9CE2B9ED-DBCD-42D7-80BE-DD5BF335BA34}"/>
    <cellStyle name="Normal GHG whole table 3 4 2 3" xfId="1850" xr:uid="{8C79C56D-3117-4BD9-9D28-E6C5EF4E8905}"/>
    <cellStyle name="Normal GHG whole table 3 4 2 4" xfId="2221" xr:uid="{41A4EF3B-295A-4562-A9F1-008B5477DDFF}"/>
    <cellStyle name="Normal GHG whole table 3 4 3" xfId="1021" xr:uid="{05506E96-9B09-47DB-AD30-9A5D40AA1C2D}"/>
    <cellStyle name="Normal GHG whole table 3 4 4" xfId="1643" xr:uid="{BB8E0731-ECB0-432B-98E3-64C3E792C70C}"/>
    <cellStyle name="Normal GHG whole table 3 4 5" xfId="2015" xr:uid="{6DF94489-06B0-4041-8648-CDF22420584C}"/>
    <cellStyle name="Normal GHG whole table 3 5" xfId="31" xr:uid="{30E9D6A8-DBC2-4B6D-9800-981A585BA202}"/>
    <cellStyle name="Normal GHG whole table 3 6" xfId="1410" xr:uid="{13ADA655-1E91-47F7-9E07-D77B6CA84CFF}"/>
    <cellStyle name="Normal GHG whole table 3 7" xfId="1209" xr:uid="{0DCECFAE-413B-4DB6-B3F2-0781BD54163B}"/>
    <cellStyle name="Normal GHG whole table 4" xfId="101" xr:uid="{9A5B80B0-419B-4D16-9CDE-B31D6B8D42F6}"/>
    <cellStyle name="Normal GHG whole table 5" xfId="2453" xr:uid="{CF84443E-6F1F-40CB-B67C-5D3FEAAB92E0}"/>
    <cellStyle name="Normal GHG whole table 6" xfId="2473" xr:uid="{D0E70AFC-C5C3-45C0-9632-63B1F1FC3CF1}"/>
    <cellStyle name="Normal GHG whole table 7" xfId="2483" xr:uid="{20369380-5901-4ADE-86D0-F2C141A2810F}"/>
    <cellStyle name="Normal GHG-Shade" xfId="32" xr:uid="{2822C1AB-3B56-437A-BE40-C1C84051197F}"/>
    <cellStyle name="Normal GHG-Shade 2" xfId="198" xr:uid="{D665D6DF-2BA4-471C-B41D-7AD4440935EA}"/>
    <cellStyle name="Normal GHG-Shade 2 2" xfId="199" xr:uid="{3CD4D400-EE06-4282-9DFC-4316FABBDCC8}"/>
    <cellStyle name="Normal GHG-Shade 2 3" xfId="200" xr:uid="{2FBFB31F-D66A-4D38-853B-E675F52A3967}"/>
    <cellStyle name="Normal GHG-Shade 2 4" xfId="230" xr:uid="{D632A16B-3748-413E-BDA8-ABC26BB1464D}"/>
    <cellStyle name="Normal GHG-Shade 2 5" xfId="395" xr:uid="{E26B3F12-F4CF-4EF1-AC7A-E3519F536FAF}"/>
    <cellStyle name="Normal GHG-Shade 3" xfId="201" xr:uid="{637FE66A-9DFE-4513-9DF4-F57357396C23}"/>
    <cellStyle name="Normal GHG-Shade 3 2" xfId="202" xr:uid="{A9F25D69-8644-46FF-991D-D682C4F2D6D6}"/>
    <cellStyle name="Normal GHG-Shade 4" xfId="203" xr:uid="{8FD23B9C-63B9-4A87-A96B-7D647DA552EF}"/>
    <cellStyle name="Normal GHG-Shade 4 2" xfId="466" xr:uid="{C8FC5587-083B-4975-A123-9169155F68BF}"/>
    <cellStyle name="Normal GHG-Shade 5" xfId="2451" xr:uid="{95DD8EA2-4ACB-4BC7-A768-F11249D095FE}"/>
    <cellStyle name="Normal GHG-Shade 6" xfId="2472" xr:uid="{C5CFB4B7-FB45-4D44-A48E-034E44BD8F90}"/>
    <cellStyle name="Normál_Munka1" xfId="47" xr:uid="{89585B3C-E17E-4871-8A1A-8DC2E426BD1E}"/>
    <cellStyle name="Note 2" xfId="204" xr:uid="{BF118E57-1531-498F-9CE0-7A774B7D2911}"/>
    <cellStyle name="Note 2 2" xfId="594" xr:uid="{D51EDCBA-4E4C-402A-B296-EC5287E5ED57}"/>
    <cellStyle name="Note 2 2 2" xfId="809" xr:uid="{D6F72126-7D1A-4457-8C72-B8E81C6BEB75}"/>
    <cellStyle name="Note 2 2 2 2" xfId="1258" xr:uid="{F38321BC-1B3A-47CC-BB9A-128B315189DA}"/>
    <cellStyle name="Note 2 2 2 3" xfId="1785" xr:uid="{0345A304-9E90-4000-9C4E-B10480C94517}"/>
    <cellStyle name="Note 2 2 2 4" xfId="2156" xr:uid="{7988119E-10D1-4A32-9B46-CEB5C51F66FB}"/>
    <cellStyle name="Note 2 2 3" xfId="1160" xr:uid="{C4544B25-A1F5-43EF-82E4-BE8E51EF6C68}"/>
    <cellStyle name="Note 2 2 4" xfId="1578" xr:uid="{557E8A70-E252-4123-9BC0-0EF73F24926B}"/>
    <cellStyle name="Note 2 2 5" xfId="1950" xr:uid="{D3712715-FB1C-43CB-874C-420439E9060B}"/>
    <cellStyle name="Note 2 3" xfId="658" xr:uid="{94BD2266-8E84-474F-B36F-AB6193F6DB12}"/>
    <cellStyle name="Note 2 3 2" xfId="873" xr:uid="{4BC37D0B-0212-42B5-93A7-37BE76AE11E1}"/>
    <cellStyle name="Note 2 3 2 2" xfId="1339" xr:uid="{FEE66399-2866-4992-9E96-27ABD93F0675}"/>
    <cellStyle name="Note 2 3 2 3" xfId="1849" xr:uid="{7362BF4B-C402-4DA5-85DD-745070C316AC}"/>
    <cellStyle name="Note 2 3 2 4" xfId="2220" xr:uid="{45BD531D-B5D6-49F2-B985-576AC5EC02D7}"/>
    <cellStyle name="Note 2 3 3" xfId="1403" xr:uid="{9BCD905C-08FA-485B-9D28-6ED9A2DA9BA9}"/>
    <cellStyle name="Note 2 3 4" xfId="1642" xr:uid="{53D3CDA1-F510-4CA2-A123-53951F524897}"/>
    <cellStyle name="Note 2 3 5" xfId="2014" xr:uid="{0AC00AAB-A9C0-43D2-8FB9-E9C13FCDE996}"/>
    <cellStyle name="Note 2 4" xfId="553" xr:uid="{38FCF738-DE28-4EFA-9EDC-45229FDCDF60}"/>
    <cellStyle name="Note 2 4 2" xfId="768" xr:uid="{66396F40-87DB-430F-8EDA-D3354FC5AD62}"/>
    <cellStyle name="Note 2 4 2 2" xfId="1001" xr:uid="{0DEE8BBF-5E85-4CB3-A537-95419F83A589}"/>
    <cellStyle name="Note 2 4 2 3" xfId="1744" xr:uid="{5CEB7965-8C48-4B22-BB29-2FD772954937}"/>
    <cellStyle name="Note 2 4 2 4" xfId="2115" xr:uid="{C4D2445B-62F6-4195-B958-5D8CC7080D05}"/>
    <cellStyle name="Note 2 4 3" xfId="1131" xr:uid="{A3153833-367E-450D-BA20-4542C4B79E12}"/>
    <cellStyle name="Note 2 4 4" xfId="1537" xr:uid="{721DFDA9-84B2-48E6-9B48-6E42FB10BF58}"/>
    <cellStyle name="Note 2 4 5" xfId="1909" xr:uid="{70A7BDA8-B733-4B09-9BE6-BA50D2A56B2E}"/>
    <cellStyle name="Note 2 5" xfId="717" xr:uid="{45F59481-3EA6-40FF-B025-BC0D77492CC5}"/>
    <cellStyle name="Note 2 5 2" xfId="925" xr:uid="{873EC906-685D-4486-9DAE-4AD96E146F6C}"/>
    <cellStyle name="Note 2 5 3" xfId="1700" xr:uid="{971EB257-A1DE-4360-8B44-2ADBC5123A75}"/>
    <cellStyle name="Note 2 5 4" xfId="2072" xr:uid="{FA9105B8-CBD9-4027-AE86-BE98C2DD674F}"/>
    <cellStyle name="Note 2 6" xfId="1466" xr:uid="{E77BA4EA-2167-4D52-BF0C-06B919524ACB}"/>
    <cellStyle name="Note 2 7" xfId="1291" xr:uid="{8589D293-184D-4250-B092-17773998F097}"/>
    <cellStyle name="Note 2 8" xfId="989" xr:uid="{26FEE8A8-94BB-487F-AC44-D6D8D4C97485}"/>
    <cellStyle name="Note 3" xfId="269" xr:uid="{AF347AB2-FC55-4FAF-ABDA-3D39CC1E6253}"/>
    <cellStyle name="Note 3 2" xfId="622" xr:uid="{666326B2-6DA1-4158-A775-ACCDE92565A7}"/>
    <cellStyle name="Note 3 2 2" xfId="837" xr:uid="{EFF7BFEF-2D22-44CA-B367-3BDC96BD6DE8}"/>
    <cellStyle name="Note 3 2 2 2" xfId="1169" xr:uid="{4CEDDC5F-EDDC-4F12-894E-585387281145}"/>
    <cellStyle name="Note 3 2 2 3" xfId="1813" xr:uid="{90B741FA-8672-49B4-A0A1-074CE31F7A70}"/>
    <cellStyle name="Note 3 2 2 4" xfId="2184" xr:uid="{CDEB4117-AE60-419B-A539-F0BAAFDEAB86}"/>
    <cellStyle name="Note 3 2 3" xfId="1204" xr:uid="{BB7EB0DE-04AE-4D64-856E-EDF1C55CC509}"/>
    <cellStyle name="Note 3 2 4" xfId="1606" xr:uid="{2E90F909-08EF-4A14-9F70-3D4424530A72}"/>
    <cellStyle name="Note 3 2 5" xfId="1978" xr:uid="{284EA8EB-A36C-4597-843B-7178D6E1F833}"/>
    <cellStyle name="Note 3 3" xfId="588" xr:uid="{A8F283F2-94F5-4B29-B039-0175C499DE70}"/>
    <cellStyle name="Note 3 3 2" xfId="803" xr:uid="{DE220436-4991-4E5C-AA58-7A0496F8C6B5}"/>
    <cellStyle name="Note 3 3 2 2" xfId="1157" xr:uid="{5E5959F9-B4A9-4F51-96B3-162FBF99B245}"/>
    <cellStyle name="Note 3 3 2 3" xfId="1779" xr:uid="{CA47EFA2-F258-41B4-B5EE-957CB799B1B1}"/>
    <cellStyle name="Note 3 3 2 4" xfId="2150" xr:uid="{858F1B60-E1AF-480E-83A0-96F5A33518A4}"/>
    <cellStyle name="Note 3 3 3" xfId="1397" xr:uid="{376916D2-38DD-41E7-B8B2-E89D1E664330}"/>
    <cellStyle name="Note 3 3 4" xfId="1572" xr:uid="{97F99642-1A4C-41F1-AD01-28FE396EFDDC}"/>
    <cellStyle name="Note 3 3 5" xfId="1944" xr:uid="{0BD81B36-FD76-47AE-9F29-063E14A81436}"/>
    <cellStyle name="Note 3 4" xfId="606" xr:uid="{52974414-3D1C-47CD-AFDD-4C59CC7B3A27}"/>
    <cellStyle name="Note 3 4 2" xfId="821" xr:uid="{B179DA2F-200B-4D73-B0A7-BCC5889F2152}"/>
    <cellStyle name="Note 3 4 2 2" xfId="1138" xr:uid="{39E6CA97-0664-4EB9-B810-F080D3953179}"/>
    <cellStyle name="Note 3 4 2 3" xfId="1797" xr:uid="{6EB1E783-F587-49FB-85E6-669678727307}"/>
    <cellStyle name="Note 3 4 2 4" xfId="2168" xr:uid="{A8093A15-BCAE-4635-97EA-89B2B4B98BC3}"/>
    <cellStyle name="Note 3 4 3" xfId="1139" xr:uid="{A4EE7138-1A58-42F7-B1EC-12CD1A5C2211}"/>
    <cellStyle name="Note 3 4 4" xfId="1590" xr:uid="{1E89BD12-776B-4EE7-8140-B18FC6BCFD71}"/>
    <cellStyle name="Note 3 4 5" xfId="1962" xr:uid="{0025E9E4-A98D-461D-9BD6-D2EC832DF6E0}"/>
    <cellStyle name="Note 3 5" xfId="723" xr:uid="{F7AE4601-035E-489E-A3E3-C2378F03B4CC}"/>
    <cellStyle name="Note 3 5 2" xfId="1470" xr:uid="{1B7589BE-2675-4556-9D7C-951EC374D487}"/>
    <cellStyle name="Note 3 5 3" xfId="1706" xr:uid="{A2C90643-FDB4-484A-9EDD-98C3A021BF31}"/>
    <cellStyle name="Note 3 5 4" xfId="2078" xr:uid="{586030D3-AA5F-4242-BA7A-75B6A4C62DB3}"/>
    <cellStyle name="Note 3 6" xfId="949" xr:uid="{12133650-580E-4297-8266-55BF2DD47952}"/>
    <cellStyle name="Note 3 7" xfId="978" xr:uid="{D9F66E17-115F-4D7B-B5C8-3CC8560502D6}"/>
    <cellStyle name="Note 3 8" xfId="1019" xr:uid="{4D55E89D-AAB8-47D5-A496-7865CB51D860}"/>
    <cellStyle name="Note 4" xfId="2435" xr:uid="{B198F876-3B28-4F6C-8AF2-7391449854CF}"/>
    <cellStyle name="Notiz" xfId="205" xr:uid="{7B591948-3960-4129-84EF-F103AFBF06FC}"/>
    <cellStyle name="Notiz 2" xfId="595" xr:uid="{9250CC57-2F1B-4AF9-AF66-DC87962DD243}"/>
    <cellStyle name="Notiz 2 2" xfId="810" xr:uid="{728E0571-760A-4593-9BF0-F4754704D0B7}"/>
    <cellStyle name="Notiz 2 2 2" xfId="958" xr:uid="{151F4164-F0F2-4E40-9D91-0E5EC18E9F43}"/>
    <cellStyle name="Notiz 2 2 3" xfId="1786" xr:uid="{D8730B6D-A210-41CB-9B1E-327246333DF8}"/>
    <cellStyle name="Notiz 2 2 4" xfId="2157" xr:uid="{7F0306EE-30B2-44C2-B1F5-C5E064256095}"/>
    <cellStyle name="Notiz 2 3" xfId="931" xr:uid="{EBF89BA3-10D8-4CE7-976C-FED80D0F22EA}"/>
    <cellStyle name="Notiz 2 4" xfId="1579" xr:uid="{B99E4551-BAED-47C1-B84D-A048E3792F93}"/>
    <cellStyle name="Notiz 2 5" xfId="1951" xr:uid="{9F672E58-0A0A-4DB8-895D-04C677B4AE21}"/>
    <cellStyle name="Notiz 3" xfId="657" xr:uid="{E06938DF-DE4A-4148-8D06-28A28726303C}"/>
    <cellStyle name="Notiz 3 2" xfId="872" xr:uid="{0418F5E9-1952-4CD0-80B8-CA5E81A1EB38}"/>
    <cellStyle name="Notiz 3 2 2" xfId="1419" xr:uid="{31D4C4D0-44D6-4052-85D5-29AB0225FCE1}"/>
    <cellStyle name="Notiz 3 2 3" xfId="1848" xr:uid="{30BA3E36-2F25-4357-9561-9817DBACF283}"/>
    <cellStyle name="Notiz 3 2 4" xfId="2219" xr:uid="{71253EBB-F132-4B7B-8E87-9233FEDD3B14}"/>
    <cellStyle name="Notiz 3 3" xfId="1012" xr:uid="{A2B69736-0E5B-46B2-8ABD-874AAE56F07F}"/>
    <cellStyle name="Notiz 3 4" xfId="1641" xr:uid="{FB91B2AA-9D14-4DCC-B5BC-2FAE088C08A6}"/>
    <cellStyle name="Notiz 3 5" xfId="2013" xr:uid="{EA05ADE2-6AC2-4F49-B050-13797614C4C6}"/>
    <cellStyle name="Notiz 4" xfId="626" xr:uid="{D91291C5-9CAB-428F-9B66-043DC8114011}"/>
    <cellStyle name="Notiz 4 2" xfId="841" xr:uid="{FE93E21D-00E0-4F6E-8534-00AD5AA9C42D}"/>
    <cellStyle name="Notiz 4 2 2" xfId="1257" xr:uid="{1F009A06-41EA-4A77-B86F-9902556DA5A0}"/>
    <cellStyle name="Notiz 4 2 3" xfId="1817" xr:uid="{B580A2CC-BB49-4D50-821F-260626F3E221}"/>
    <cellStyle name="Notiz 4 2 4" xfId="2188" xr:uid="{24D21837-067D-4B75-AEFB-2C16A3A2C712}"/>
    <cellStyle name="Notiz 4 3" xfId="1198" xr:uid="{1F96AC6C-CF80-427E-A3C0-CB38BCF11FED}"/>
    <cellStyle name="Notiz 4 4" xfId="1610" xr:uid="{20DEEC16-6082-4E73-8E22-ECE95ACDF895}"/>
    <cellStyle name="Notiz 4 5" xfId="1982" xr:uid="{841D2654-6E7E-4F0A-91AF-E3051A6BC192}"/>
    <cellStyle name="Notiz 5" xfId="718" xr:uid="{A97B79AC-B057-43D9-A109-10C868628C5E}"/>
    <cellStyle name="Notiz 5 2" xfId="1124" xr:uid="{54F09A54-9660-4AA9-B24F-AE4B1FB9C3BA}"/>
    <cellStyle name="Notiz 5 3" xfId="1701" xr:uid="{4F65BD93-28B5-4A24-8D86-9D2B8862D1B5}"/>
    <cellStyle name="Notiz 5 4" xfId="2073" xr:uid="{0D70C754-CE29-4ADB-955E-9E8DE798D9BD}"/>
    <cellStyle name="Notiz 6" xfId="1113" xr:uid="{CF7E88BA-87D9-4472-ACA5-5FF577F62277}"/>
    <cellStyle name="Notiz 7" xfId="993" xr:uid="{CA8B4928-1592-4CF0-B6F8-997B7F4FD792}"/>
    <cellStyle name="Notiz 8" xfId="1051" xr:uid="{22809EA7-0F20-42F2-AB71-6C1BB42B3495}"/>
    <cellStyle name="Output 2" xfId="206" xr:uid="{8AB1133D-B245-43F5-B679-EB105679328C}"/>
    <cellStyle name="Output 2 2" xfId="596" xr:uid="{2A7EBD76-3848-40C8-95E7-A5D512BC3384}"/>
    <cellStyle name="Output 2 2 2" xfId="811" xr:uid="{85A691C0-FD50-49D2-A0CA-F4C5F994EF1A}"/>
    <cellStyle name="Output 2 2 2 2" xfId="1241" xr:uid="{96CAD796-D6CC-4A30-BD40-1AD0954F862B}"/>
    <cellStyle name="Output 2 2 2 3" xfId="1787" xr:uid="{D30EE955-AD19-4849-8D90-C0B6603E5012}"/>
    <cellStyle name="Output 2 2 2 4" xfId="2158" xr:uid="{85971101-1F54-45BF-860C-9E9D4FF6DB39}"/>
    <cellStyle name="Output 2 2 3" xfId="1026" xr:uid="{9A11CBB1-D214-44AA-B02A-D04F7D57E05B}"/>
    <cellStyle name="Output 2 2 4" xfId="1580" xr:uid="{5A67EB35-9159-42F7-87A5-BB6A33174234}"/>
    <cellStyle name="Output 2 2 5" xfId="1952" xr:uid="{8975DD8B-786E-4916-BF49-F7EE9ABAD1BF}"/>
    <cellStyle name="Output 2 3" xfId="692" xr:uid="{CA49E31A-9102-4C5D-AFDE-8484F176CF60}"/>
    <cellStyle name="Output 2 3 2" xfId="907" xr:uid="{D9FAE0C2-3C22-4BBC-8C94-8B6F72EF1F1B}"/>
    <cellStyle name="Output 2 3 2 2" xfId="1499" xr:uid="{C9FB69E6-90B3-4327-B55E-E394A0919D63}"/>
    <cellStyle name="Output 2 3 2 3" xfId="1883" xr:uid="{960BB351-2D5E-444F-B58B-B1F883A613D6}"/>
    <cellStyle name="Output 2 3 2 4" xfId="2254" xr:uid="{DD557597-BF5D-4DE6-ADB3-67B1E42465EF}"/>
    <cellStyle name="Output 2 3 3" xfId="1312" xr:uid="{36B6A7D0-8740-4A95-85DB-E3F077211274}"/>
    <cellStyle name="Output 2 3 4" xfId="1676" xr:uid="{6492227C-CB7A-4D0B-9250-ED84C1DA394C}"/>
    <cellStyle name="Output 2 3 5" xfId="2048" xr:uid="{0C3CF9E1-31FE-4AAD-BC6D-6A3D5494AF64}"/>
    <cellStyle name="Output 2 4" xfId="719" xr:uid="{C308B653-512E-42D6-9CC8-7DD3683CF22C}"/>
    <cellStyle name="Output 2 4 2" xfId="1005" xr:uid="{0F4327E3-3483-44D8-B187-900A6BD7B17D}"/>
    <cellStyle name="Output 2 4 3" xfId="1702" xr:uid="{8C782350-385B-4720-B6B0-70CB8294023F}"/>
    <cellStyle name="Output 2 4 4" xfId="2074" xr:uid="{7D6CD64C-4469-495B-827B-5E6C6A31E1D0}"/>
    <cellStyle name="Output 2 5" xfId="86" xr:uid="{9D4C49D8-F597-4296-B7DE-8A4A3F43312A}"/>
    <cellStyle name="Output 2 6" xfId="1390" xr:uid="{70B35171-F9BC-4CD2-89B6-EEF074A0BA30}"/>
    <cellStyle name="Output 3" xfId="270" xr:uid="{0EC30E23-59F2-40FB-B3E4-DAB697CF6289}"/>
    <cellStyle name="Output 3 2" xfId="623" xr:uid="{D4F024F1-2E1C-4A37-A9ED-146DAE375CFF}"/>
    <cellStyle name="Output 3 2 2" xfId="838" xr:uid="{D258A8DB-163C-4EE8-95A5-10DF84770D00}"/>
    <cellStyle name="Output 3 2 2 2" xfId="961" xr:uid="{E078F791-9B96-4B01-A0B8-3E4140661B17}"/>
    <cellStyle name="Output 3 2 2 3" xfId="1814" xr:uid="{078BCC93-42F7-4217-A265-E3C4627A76F7}"/>
    <cellStyle name="Output 3 2 2 4" xfId="2185" xr:uid="{C5BD2B89-6BC7-4A67-BA58-C75D7C4BA65A}"/>
    <cellStyle name="Output 3 2 3" xfId="1036" xr:uid="{EC2B3B1E-4F49-4513-B4E9-E9EEADE546C9}"/>
    <cellStyle name="Output 3 2 4" xfId="1607" xr:uid="{C4A5C8A2-090F-47E8-8E51-46DB4104FF3D}"/>
    <cellStyle name="Output 3 2 5" xfId="1979" xr:uid="{8A83AAD3-5E7F-4AFF-BAEA-801E4C1FC675}"/>
    <cellStyle name="Output 3 3" xfId="674" xr:uid="{0E7B6ADD-01A8-42CF-9159-85D72562E347}"/>
    <cellStyle name="Output 3 3 2" xfId="889" xr:uid="{D2AF7745-4130-47AC-9B26-C1D6FB99BEEB}"/>
    <cellStyle name="Output 3 3 2 2" xfId="1046" xr:uid="{C1818E14-BFE0-42B3-ABF2-7A2041F4CE3C}"/>
    <cellStyle name="Output 3 3 2 3" xfId="1865" xr:uid="{EEFB55FC-1B36-49B7-AD3E-DFA92BB0A98F}"/>
    <cellStyle name="Output 3 3 2 4" xfId="2236" xr:uid="{AAB30F0D-E9D2-496A-85A7-091879C4C964}"/>
    <cellStyle name="Output 3 3 3" xfId="1239" xr:uid="{DC7F4D82-09B6-401E-AEE3-6B7D3134FFDD}"/>
    <cellStyle name="Output 3 3 4" xfId="1658" xr:uid="{41C5FA9C-4E25-40A9-9E29-5181FAB8A4BD}"/>
    <cellStyle name="Output 3 3 5" xfId="2030" xr:uid="{D6FA5E7B-BFB9-4163-A102-6DCE2A118BCA}"/>
    <cellStyle name="Output 3 4" xfId="724" xr:uid="{D13EF06C-4A9C-46B0-91CF-E7E16F15B496}"/>
    <cellStyle name="Output 3 4 2" xfId="1421" xr:uid="{3B7A626F-AC41-4E9C-9FDA-1DFCDF3FEA38}"/>
    <cellStyle name="Output 3 4 3" xfId="1707" xr:uid="{3DEA6FE4-FD71-4DA7-A1C9-1B9B74B2E91E}"/>
    <cellStyle name="Output 3 4 4" xfId="2079" xr:uid="{D72C3043-D569-45AE-8544-776968CA86A3}"/>
    <cellStyle name="Output 3 5" xfId="1134" xr:uid="{1F0A792B-C4AE-4AF6-A24C-2AC04F187CE8}"/>
    <cellStyle name="Output 3 6" xfId="1378" xr:uid="{031EFE98-3FE2-473F-96BD-67CC9F518761}"/>
    <cellStyle name="Pattern" xfId="207" xr:uid="{136ED33B-3EEB-4681-8031-4B01A58E4322}"/>
    <cellStyle name="Pattern 2" xfId="467" xr:uid="{EE350883-D5F5-44B8-89F8-0D8C98489039}"/>
    <cellStyle name="Pattern 2 2" xfId="610" xr:uid="{17E15985-79BC-4F93-8417-87B8581B7C5C}"/>
    <cellStyle name="Pattern 2 2 2" xfId="825" xr:uid="{75B03568-AE15-4630-9BAD-06D79E8AACF6}"/>
    <cellStyle name="Pattern 2 2 2 2" xfId="1489" xr:uid="{1AA162C1-D401-4D58-A37B-D40C5E5FA9FB}"/>
    <cellStyle name="Pattern 2 2 2 3" xfId="1801" xr:uid="{BA9C961D-B1DE-4235-8C2B-A21A43428E37}"/>
    <cellStyle name="Pattern 2 2 2 4" xfId="2172" xr:uid="{268AC5EA-1114-466A-A89E-C772EDF0BEB5}"/>
    <cellStyle name="Pattern 2 2 3" xfId="1485" xr:uid="{107E9CD1-62F4-43F9-82BA-FF4D49F20986}"/>
    <cellStyle name="Pattern 2 2 4" xfId="1594" xr:uid="{E08FB928-FDC6-4F95-B644-242226CB079D}"/>
    <cellStyle name="Pattern 2 2 5" xfId="1966" xr:uid="{B99A0F4C-5C5D-4689-936D-767E8E70583F}"/>
    <cellStyle name="Pattern 2 3" xfId="756" xr:uid="{4EF9ED1D-EFB7-45FE-BC6F-3C58D38C6B1F}"/>
    <cellStyle name="Pattern 2 3 2" xfId="1011" xr:uid="{A638A903-3F9F-49F7-A080-79FB14DA3D52}"/>
    <cellStyle name="Pattern 2 3 3" xfId="1732" xr:uid="{4A31E180-D460-445E-B143-42342BF16666}"/>
    <cellStyle name="Pattern 2 3 4" xfId="2103" xr:uid="{B28DB03F-A24D-450D-9FAC-E38B50397356}"/>
    <cellStyle name="Pattern 3" xfId="316" xr:uid="{BCF37D9D-8E9A-467C-B3AC-749B72D8CF21}"/>
    <cellStyle name="Pattern 3 2" xfId="653" xr:uid="{C9470365-C00B-4573-83D0-02048935C5C5}"/>
    <cellStyle name="Pattern 3 2 2" xfId="868" xr:uid="{B45891CB-B0E4-401F-A3ED-D686D871A47E}"/>
    <cellStyle name="Pattern 3 2 2 2" xfId="1455" xr:uid="{6362F28F-77EF-4C8D-8919-22F491A7A632}"/>
    <cellStyle name="Pattern 3 2 2 3" xfId="1844" xr:uid="{43825284-B39B-4003-B38E-642443A7EAB3}"/>
    <cellStyle name="Pattern 3 2 2 4" xfId="2215" xr:uid="{B10F69BF-61EA-4A47-92A2-686AA8762436}"/>
    <cellStyle name="Pattern 3 2 3" xfId="1447" xr:uid="{F7AC9E71-422D-4127-ABB8-5A45C2CDAD1C}"/>
    <cellStyle name="Pattern 3 2 4" xfId="1637" xr:uid="{E04139EC-DE39-4D87-AE8D-30A50E5065EF}"/>
    <cellStyle name="Pattern 3 2 5" xfId="2009" xr:uid="{73A5B151-5955-445A-82CE-1C84DDEFF0E5}"/>
    <cellStyle name="Pattern 3 3" xfId="552" xr:uid="{B787B221-1600-4D42-A6AF-F047590AAA62}"/>
    <cellStyle name="Pattern 3 3 2" xfId="767" xr:uid="{0E993DAE-78B3-44B0-A4DC-0B3E34FE79BC}"/>
    <cellStyle name="Pattern 3 3 2 2" xfId="1149" xr:uid="{72D211BF-16A2-4193-9657-52EE9FDDB82F}"/>
    <cellStyle name="Pattern 3 3 2 3" xfId="1743" xr:uid="{2BCB60D0-FF05-49B8-AE5E-348E5EBCBBDC}"/>
    <cellStyle name="Pattern 3 3 2 4" xfId="2114" xr:uid="{1E13D505-4BB1-43B0-A3B9-2F26D3690EEC}"/>
    <cellStyle name="Pattern 3 3 3" xfId="1085" xr:uid="{62C59F58-A036-4E66-BCF8-1BAC17137C2F}"/>
    <cellStyle name="Pattern 3 3 4" xfId="1536" xr:uid="{672E3245-CF56-4D08-A328-CA6622C76C70}"/>
    <cellStyle name="Pattern 3 3 5" xfId="1908" xr:uid="{48C5001E-DD46-463E-8164-9ED261AEB894}"/>
    <cellStyle name="Pattern 3 4" xfId="666" xr:uid="{6CCB5444-5E8A-4498-BA87-58C9CD349335}"/>
    <cellStyle name="Pattern 3 4 2" xfId="881" xr:uid="{561442E4-E938-4D1E-A811-A83F6D161FE5}"/>
    <cellStyle name="Pattern 3 4 2 2" xfId="1372" xr:uid="{2B78BF58-BCEB-4FF6-80DD-DC0B559B5DFE}"/>
    <cellStyle name="Pattern 3 4 2 3" xfId="1857" xr:uid="{A91A3EF3-19DE-44A3-9FA1-DF450A9EF120}"/>
    <cellStyle name="Pattern 3 4 2 4" xfId="2228" xr:uid="{C77DC747-FCE8-45DB-AC84-08B7F2BAB1F3}"/>
    <cellStyle name="Pattern 3 4 3" xfId="1279" xr:uid="{1CA7922C-BD0A-4A61-A39E-011654C0B5A3}"/>
    <cellStyle name="Pattern 3 4 4" xfId="1650" xr:uid="{BC7AD41E-6D4B-48E0-9765-031DC7DFB495}"/>
    <cellStyle name="Pattern 3 4 5" xfId="2022" xr:uid="{DBE1590D-33BE-4E60-97E9-99A576252147}"/>
    <cellStyle name="Pattern 3 5" xfId="1193" xr:uid="{A146E511-519A-4982-8F64-1F2A42EA944B}"/>
    <cellStyle name="Pattern 3 6" xfId="1364" xr:uid="{C44DF6BC-504D-493F-9D04-9E85ABA6FD2B}"/>
    <cellStyle name="Pattern 3 7" xfId="1325" xr:uid="{1A8380B2-9E18-4946-8281-930E51BDB9B1}"/>
    <cellStyle name="Percent" xfId="2" builtinId="5"/>
    <cellStyle name="Percent [0]" xfId="2310" xr:uid="{ACBE3C32-B3BB-42B1-97BB-BFFF42B217AA}"/>
    <cellStyle name="Percent [00]" xfId="2311" xr:uid="{8B014110-0414-4435-B265-0CB57A4F6CAB}"/>
    <cellStyle name="Percent 10" xfId="2352" xr:uid="{06A46F7A-6AA1-4A6F-9674-15FBAC1AC208}"/>
    <cellStyle name="Percent 11" xfId="2349" xr:uid="{5D11DFB9-15C2-4EEC-80C3-CB085679F115}"/>
    <cellStyle name="Percent 12" xfId="2380" xr:uid="{F32CDD0D-7045-4260-BE18-39BF465A6C59}"/>
    <cellStyle name="Percent 13" xfId="2382" xr:uid="{C122F87C-0073-4A64-9A9B-899EF0DC6A10}"/>
    <cellStyle name="Percent 14" xfId="2385" xr:uid="{39C4F53C-7545-44DD-80DD-3F2C85EB280D}"/>
    <cellStyle name="Percent 15" xfId="2388" xr:uid="{A9D9CA2B-0940-4E0C-8A98-71B72623F8B3}"/>
    <cellStyle name="Percent 16" xfId="2390" xr:uid="{86B1C0A3-769B-4F47-B853-03E2A908237F}"/>
    <cellStyle name="Percent 17" xfId="2391" xr:uid="{4BB185D4-C136-4671-80B6-5CA920DF86CF}"/>
    <cellStyle name="Percent 18" xfId="2395" xr:uid="{E7036EF1-C3EE-4F7F-9109-79858FCC6B3E}"/>
    <cellStyle name="Percent 19" xfId="2397" xr:uid="{60E5DD03-36AF-4009-A45B-D19497040097}"/>
    <cellStyle name="Percent 2" xfId="4" xr:uid="{00000000-0005-0000-0000-000033000000}"/>
    <cellStyle name="Percent 2 2" xfId="468" xr:uid="{B7731F24-3841-4E9B-A80D-5768233860CE}"/>
    <cellStyle name="Percent 2 2 2" xfId="2374" xr:uid="{6F1F6331-87E6-4308-805E-20DEF0F1B323}"/>
    <cellStyle name="Percent 2 3" xfId="208" xr:uid="{D0EC9562-87BC-41BC-A622-F0DB2864B260}"/>
    <cellStyle name="Percent 2 4" xfId="2330" xr:uid="{1B0F09AE-D05C-4284-95A3-C4E99532E7FF}"/>
    <cellStyle name="Percent 20" xfId="2400" xr:uid="{9E8BB9A7-AC31-4883-9CC4-23711E095724}"/>
    <cellStyle name="Percent 21" xfId="2406" xr:uid="{0CE4C7B5-9A92-4A6C-8F67-B2ABEDD15C96}"/>
    <cellStyle name="Percent 22" xfId="2407" xr:uid="{A9ABE19C-9DDA-46E4-B42C-8C261D2DDDAF}"/>
    <cellStyle name="Percent 23" xfId="2403" xr:uid="{E185B826-BD49-4D95-9F6D-DC9CF0E164CD}"/>
    <cellStyle name="Percent 24" xfId="2401" xr:uid="{9580692A-5712-4444-A762-EEBC72043F94}"/>
    <cellStyle name="Percent 25" xfId="2411" xr:uid="{5E8DB8EB-5909-438B-BC01-210E399ED046}"/>
    <cellStyle name="Percent 26" xfId="2417" xr:uid="{3EFDE903-AA88-4C11-9241-1A8317EA8CD4}"/>
    <cellStyle name="Percent 27" xfId="2419" xr:uid="{B971D19D-4306-4D0D-A423-F1BC0B630993}"/>
    <cellStyle name="Percent 28" xfId="2423" xr:uid="{7F23E400-0F68-4BC4-A6C5-7FFDEC0C2B2F}"/>
    <cellStyle name="Percent 29" xfId="2356" xr:uid="{FC0F2C7A-6CE2-4488-8B3E-25089EE74041}"/>
    <cellStyle name="Percent 29 2" xfId="2431" xr:uid="{CFEEC5C4-793D-489E-B2F4-80EBC5183478}"/>
    <cellStyle name="Percent 3" xfId="17" xr:uid="{00000000-0005-0000-0000-000040000000}"/>
    <cellStyle name="Percent 30" xfId="2361" xr:uid="{0BACBDAE-8DD2-4B3C-8CA7-A282927CFB98}"/>
    <cellStyle name="Percent 31" xfId="2366" xr:uid="{9FF6D101-375F-4ACD-AFD7-778B3F48DC1D}"/>
    <cellStyle name="Percent 32" xfId="2425" xr:uid="{2E177037-226D-4093-A52F-CA9CBE790021}"/>
    <cellStyle name="Percent 33" xfId="2428" xr:uid="{90CE3732-0256-4B2D-9AAF-3E27D0D3EF28}"/>
    <cellStyle name="Percent 34" xfId="2433" xr:uid="{95F8394F-1FCE-4DB8-8606-14AACC35D758}"/>
    <cellStyle name="Percent 35" xfId="2438" xr:uid="{ADF44510-158F-4A0B-863E-265778F7C137}"/>
    <cellStyle name="Percent 36" xfId="2440" xr:uid="{A177CE21-FFF5-49BB-AB84-46F1B99B354C}"/>
    <cellStyle name="Percent 4" xfId="2272" xr:uid="{5DF98D7E-FD6E-46BD-813B-01723CC8CA1F}"/>
    <cellStyle name="Percent 4 2" xfId="2323" xr:uid="{AC0056FE-62E7-4BF4-810C-0F87E7E722F1}"/>
    <cellStyle name="Percent 5" xfId="2341" xr:uid="{B539F97C-BDC6-4E2F-A237-3530C90B52B4}"/>
    <cellStyle name="Percent 6" xfId="2343" xr:uid="{5BA97C19-6B63-4968-A3E7-705B705A31C4}"/>
    <cellStyle name="Percent 7" xfId="2344" xr:uid="{94AE148A-32E3-449B-96F3-8CBCFFFE3E8F}"/>
    <cellStyle name="Percent 8" xfId="2347" xr:uid="{87FE971B-A4D8-4FCD-BD68-87CBC5BCFE81}"/>
    <cellStyle name="Percent 9" xfId="2351" xr:uid="{63B4FAFD-8FB3-49B3-BEF0-9A5A61B5003D}"/>
    <cellStyle name="PrePop Currency (0)" xfId="2312" xr:uid="{85DB8215-2408-467F-9B90-59835F644856}"/>
    <cellStyle name="PrePop Currency (2)" xfId="2313" xr:uid="{AA9F36CD-5E52-4B4A-9B32-00AC09E6066C}"/>
    <cellStyle name="PrePop Units (0)" xfId="2314" xr:uid="{7A7C5C3A-7493-4923-942C-84E5F5973F5E}"/>
    <cellStyle name="PrePop Units (1)" xfId="2315" xr:uid="{AF59C23D-3433-4481-985A-4250FF8655E0}"/>
    <cellStyle name="PrePop Units (2)" xfId="2316" xr:uid="{C8F1BDB3-10AE-491E-9B55-C93A43310B8B}"/>
    <cellStyle name="RowLevel_1 2" xfId="111" xr:uid="{F9728D53-E7C9-433C-B245-99978082DAB2}"/>
    <cellStyle name="Schlecht" xfId="209" xr:uid="{E2610A2B-6E68-435B-B070-B3569F6913EA}"/>
    <cellStyle name="Shade" xfId="43" xr:uid="{F630A14B-1494-4641-8ECA-03494F85A4FC}"/>
    <cellStyle name="Shade 2" xfId="210" xr:uid="{4EE3E57B-49B9-4A90-B9CD-4CAEAE2E0F0C}"/>
    <cellStyle name="Shade 2 2" xfId="470" xr:uid="{8A42CCC8-9F89-4010-A5AA-E410B8E280F5}"/>
    <cellStyle name="Shade 2 2 2" xfId="555" xr:uid="{4841DE88-3729-47C1-9148-E9A9B5825B88}"/>
    <cellStyle name="Shade 2 2 2 2" xfId="770" xr:uid="{E8BCF62F-B8D2-4928-99D4-7C426C346C4A}"/>
    <cellStyle name="Shade 2 2 2 2 2" xfId="1333" xr:uid="{8A5B4C35-7FD7-46F0-9B48-E96A52427720}"/>
    <cellStyle name="Shade 2 2 2 2 3" xfId="1746" xr:uid="{6DAF0EB9-72A9-4460-9220-185CCF995A5B}"/>
    <cellStyle name="Shade 2 2 2 2 4" xfId="2117" xr:uid="{19F3AB12-4304-4C4F-AD06-DD4306FF8724}"/>
    <cellStyle name="Shade 2 2 2 3" xfId="1356" xr:uid="{31FCB69A-9583-40A2-819A-F1696FA75D32}"/>
    <cellStyle name="Shade 2 2 2 4" xfId="1539" xr:uid="{A4CD1B5D-E7EC-4CB6-9580-21D6479AFB8A}"/>
    <cellStyle name="Shade 2 2 2 5" xfId="1911" xr:uid="{28DF5EE8-DB25-47C7-B117-FC8B8BEDCCF6}"/>
    <cellStyle name="Shade 2 2 3" xfId="758" xr:uid="{2B131FBE-3526-4608-A1D4-E623E45193DE}"/>
    <cellStyle name="Shade 2 2 3 2" xfId="1163" xr:uid="{F49DBAC4-0E14-41D5-9315-C86089F1EE37}"/>
    <cellStyle name="Shade 2 2 3 3" xfId="1734" xr:uid="{619F63CA-DF4B-4348-BAB5-046317A95C36}"/>
    <cellStyle name="Shade 2 2 3 4" xfId="2105" xr:uid="{64E97FA5-41F3-4195-8DAC-EDD0BB215FAE}"/>
    <cellStyle name="Shade 2 3" xfId="318" xr:uid="{E149D91A-43FA-441C-88B4-7BB71193A5E2}"/>
    <cellStyle name="Shade 2 3 2" xfId="655" xr:uid="{58326BD6-5F24-479C-B363-97105AA4447E}"/>
    <cellStyle name="Shade 2 3 2 2" xfId="870" xr:uid="{02406FD1-FEB9-4D28-8CC8-04C4CE39CC46}"/>
    <cellStyle name="Shade 2 3 2 2 2" xfId="1411" xr:uid="{F7D70E4C-4279-4926-886A-9F33B3CF4210}"/>
    <cellStyle name="Shade 2 3 2 2 3" xfId="1846" xr:uid="{964F938C-3255-45F3-9232-5603A91C8C4C}"/>
    <cellStyle name="Shade 2 3 2 2 4" xfId="2217" xr:uid="{F458A3EE-90C7-42F8-B0E2-49B53FE5419C}"/>
    <cellStyle name="Shade 2 3 2 3" xfId="1318" xr:uid="{3C18FE7D-8E65-4D12-9DAB-952DA4F43F8C}"/>
    <cellStyle name="Shade 2 3 2 4" xfId="1639" xr:uid="{A2ACD4B1-F3E7-408A-B89E-452371257C08}"/>
    <cellStyle name="Shade 2 3 2 5" xfId="2011" xr:uid="{6D0F5351-A701-46A1-A26A-48FF96D227A0}"/>
    <cellStyle name="Shade 2 3 3" xfId="684" xr:uid="{FBC50A77-549F-4F2F-9AC1-3AB58F5F0589}"/>
    <cellStyle name="Shade 2 3 3 2" xfId="899" xr:uid="{48CF8617-73E9-481C-A831-648571B5A93E}"/>
    <cellStyle name="Shade 2 3 3 2 2" xfId="1047" xr:uid="{34FC2936-BAF6-4AB1-ADF3-DB1499F30004}"/>
    <cellStyle name="Shade 2 3 3 2 3" xfId="1875" xr:uid="{92C36639-92A7-47BB-BF11-2A57C1B6EE7F}"/>
    <cellStyle name="Shade 2 3 3 2 4" xfId="2246" xr:uid="{0C6C847A-C239-4144-A344-CDD17DAB9ADF}"/>
    <cellStyle name="Shade 2 3 3 3" xfId="1208" xr:uid="{F110FEC8-CA79-45DD-AAB3-C413770B8FC2}"/>
    <cellStyle name="Shade 2 3 3 4" xfId="1668" xr:uid="{62C83B20-973C-4AE6-8078-B8D1285BE248}"/>
    <cellStyle name="Shade 2 3 3 5" xfId="2040" xr:uid="{4BC3D7C1-C2DF-42B6-903D-995BBDDB308B}"/>
    <cellStyle name="Shade 2 3 4" xfId="598" xr:uid="{E96965F2-D479-4C95-A26A-9B8D8DA2B212}"/>
    <cellStyle name="Shade 2 3 4 2" xfId="813" xr:uid="{440E4484-1156-4C16-9163-DE8A4B184E01}"/>
    <cellStyle name="Shade 2 3 4 2 2" xfId="1159" xr:uid="{2D895A38-7390-4D61-AAB3-3CD5E638EA68}"/>
    <cellStyle name="Shade 2 3 4 2 3" xfId="1789" xr:uid="{C31C8760-F604-4DFA-961B-E17A47FBA8DA}"/>
    <cellStyle name="Shade 2 3 4 2 4" xfId="2160" xr:uid="{90F08D53-F750-485E-8189-A6D715A36754}"/>
    <cellStyle name="Shade 2 3 4 3" xfId="1195" xr:uid="{1D104EEC-B6C4-4F82-AFE5-D50550AC2DB9}"/>
    <cellStyle name="Shade 2 3 4 4" xfId="1582" xr:uid="{A5C0814A-A57E-44D7-8806-CCF1BF7D139D}"/>
    <cellStyle name="Shade 2 3 4 5" xfId="1954" xr:uid="{419EA06C-B184-488B-A88D-5D66F7E578EB}"/>
    <cellStyle name="Shade 2 3 5" xfId="1053" xr:uid="{F9DFE55D-CD63-4980-AD6B-B92E38FF674D}"/>
    <cellStyle name="Shade 2 3 6" xfId="1234" xr:uid="{194D5AF8-46E2-4F59-A715-D97710383E6C}"/>
    <cellStyle name="Shade 2 3 7" xfId="1335" xr:uid="{B7A37E7D-5D92-4CF5-BDCD-1BC20E77D307}"/>
    <cellStyle name="Shade 3" xfId="469" xr:uid="{1CAD7BE9-BDDF-4F40-A159-C11BE15DF81E}"/>
    <cellStyle name="Shade 3 2" xfId="609" xr:uid="{D688AC2A-8E71-485B-B233-9A0D7448BA3B}"/>
    <cellStyle name="Shade 3 2 2" xfId="824" xr:uid="{28BF26B2-27F7-40A6-8282-E6B021856D09}"/>
    <cellStyle name="Shade 3 2 2 2" xfId="927" xr:uid="{7B547943-F4CC-461B-85F7-2159DD5CAAE0}"/>
    <cellStyle name="Shade 3 2 2 3" xfId="1800" xr:uid="{F54AB3D8-ED5F-4DC3-B411-DDF4F1EA7D0F}"/>
    <cellStyle name="Shade 3 2 2 4" xfId="2171" xr:uid="{007B50FB-2DE7-4206-9F55-0A4D9CDBB204}"/>
    <cellStyle name="Shade 3 2 3" xfId="1288" xr:uid="{3BC25239-D5A5-4288-86E1-D10C3CB74D4B}"/>
    <cellStyle name="Shade 3 2 4" xfId="1593" xr:uid="{A702D2F8-6E8F-4EE5-B842-3342CA90D257}"/>
    <cellStyle name="Shade 3 2 5" xfId="1965" xr:uid="{359A1970-E0DB-414A-98A6-2D0F4C6AD304}"/>
    <cellStyle name="Shade 3 3" xfId="757" xr:uid="{0FE98B01-9940-4060-BC24-6BABD13A4BB4}"/>
    <cellStyle name="Shade 3 3 2" xfId="33" xr:uid="{C9B267FE-5EB0-4888-8897-BF03FD87E35F}"/>
    <cellStyle name="Shade 3 3 3" xfId="1733" xr:uid="{18D0BBF5-C95A-431F-BDBF-19777FA39B30}"/>
    <cellStyle name="Shade 3 3 4" xfId="2104" xr:uid="{F59A167E-1805-4181-A154-1A054422B1FD}"/>
    <cellStyle name="Shade 4" xfId="317" xr:uid="{9512FEE5-865D-4C5D-91FA-C9D24CA7DB88}"/>
    <cellStyle name="Shade 4 2" xfId="65" xr:uid="{1411666E-6855-45BD-B9FF-27E8401F3B30}"/>
    <cellStyle name="Shade 4 2 2" xfId="654" xr:uid="{205242D5-E221-49FB-91CA-973D17C7F624}"/>
    <cellStyle name="Shade 4 2 2 2" xfId="1290" xr:uid="{4FAD3C58-40CD-4090-9BBF-EBEECBDDD1EB}"/>
    <cellStyle name="Shade 4 2 2 3" xfId="1638" xr:uid="{B4A27CB1-3045-45F4-A8E3-5F8282C2D151}"/>
    <cellStyle name="Shade 4 2 2 4" xfId="2010" xr:uid="{D50A87DC-CD21-4697-B6CC-6640528C29DC}"/>
    <cellStyle name="Shade 4 2 3" xfId="869" xr:uid="{0919CB36-079A-42AC-8C6C-94C63975CD52}"/>
    <cellStyle name="Shade 4 2 3 2" xfId="946" xr:uid="{6A7577C9-9DEB-463A-A4E9-00F726CADDF3}"/>
    <cellStyle name="Shade 4 2 3 3" xfId="1845" xr:uid="{65DA7CAF-BD38-4874-BDD7-DFD5BD914E14}"/>
    <cellStyle name="Shade 4 2 3 4" xfId="2216" xr:uid="{714320FB-691B-40BA-BC35-7C411B117686}"/>
    <cellStyle name="Shade 4 3" xfId="683" xr:uid="{DA2745D0-0963-43A1-B8CE-C3F324C7EC68}"/>
    <cellStyle name="Shade 4 3 2" xfId="898" xr:uid="{A7121AD8-0124-4CB3-AD86-9FA1E6DCC7DE}"/>
    <cellStyle name="Shade 4 3 2 2" xfId="1248" xr:uid="{71D107E2-96D5-4FA3-B61C-D641E06842A6}"/>
    <cellStyle name="Shade 4 3 2 3" xfId="1874" xr:uid="{AEFAAD41-D59C-4E18-AA36-230194F894FF}"/>
    <cellStyle name="Shade 4 3 2 4" xfId="2245" xr:uid="{2F3594DB-F961-4CEC-9112-E82AD28E36B5}"/>
    <cellStyle name="Shade 4 3 3" xfId="1111" xr:uid="{99886F92-7EB3-4F96-8FA5-EA0DFCFC69A8}"/>
    <cellStyle name="Shade 4 3 4" xfId="1667" xr:uid="{F57C74FD-BEA7-4C13-905D-158E5E36DA2D}"/>
    <cellStyle name="Shade 4 3 5" xfId="2039" xr:uid="{A9C5833B-DBDE-4AFA-89B2-374BA161C6DA}"/>
    <cellStyle name="Shade 4 4" xfId="545" xr:uid="{89DB9F0B-57EB-44C1-8A1E-C4109F766CA6}"/>
    <cellStyle name="Shade 4 4 2" xfId="760" xr:uid="{C0F81780-3DF6-4BC1-9137-E4C554EC5356}"/>
    <cellStyle name="Shade 4 4 2 2" xfId="1309" xr:uid="{8BA21336-27C6-4121-B580-6A81CC429A45}"/>
    <cellStyle name="Shade 4 4 2 3" xfId="1736" xr:uid="{10506766-283C-4147-849C-C7987F828A53}"/>
    <cellStyle name="Shade 4 4 2 4" xfId="2107" xr:uid="{96499646-41C9-4FAC-BB61-0922932708DC}"/>
    <cellStyle name="Shade 4 4 3" xfId="1033" xr:uid="{0CA3A054-3480-468D-9FB0-2A5C31533CBB}"/>
    <cellStyle name="Shade 4 4 4" xfId="1529" xr:uid="{E9540CF7-3960-43C3-92AD-C45F777255F7}"/>
    <cellStyle name="Shade 4 4 5" xfId="1901" xr:uid="{455D0E3A-7F05-4BE7-98D4-E65C6AD47124}"/>
    <cellStyle name="Shade 4 5" xfId="94" xr:uid="{A02540C4-2C14-4633-99C0-23AA19A568E1}"/>
    <cellStyle name="Shade 4 6" xfId="1365" xr:uid="{7384B4CA-40E8-4E5C-850F-D107986B3626}"/>
    <cellStyle name="Shade 4 7" xfId="71" xr:uid="{01F9EBF4-E4A7-45C3-945C-5E6172CF964F}"/>
    <cellStyle name="Shade 5" xfId="108" xr:uid="{2D242A0E-4A30-4FD5-9182-814C026F135B}"/>
    <cellStyle name="Shade 6" xfId="2461" xr:uid="{4FFDDCB4-04FB-422A-94B1-27E2D33E0DBC}"/>
    <cellStyle name="Shade 7" xfId="2477" xr:uid="{0BD02636-4D32-4A17-8472-5323618A00F3}"/>
    <cellStyle name="Shade_B_border2" xfId="211" xr:uid="{42433D35-2F95-4322-8F65-A7C3ACD262CC}"/>
    <cellStyle name="Standard 2" xfId="63" xr:uid="{10022683-5198-4F1E-889C-79C2E19C6155}"/>
    <cellStyle name="Standard 2 2" xfId="430" xr:uid="{CBBF8DE0-7735-4356-882E-602981AF52B2}"/>
    <cellStyle name="Standard 2 2 2" xfId="540" xr:uid="{0374918A-8633-4621-AFD7-097470C75FCF}"/>
    <cellStyle name="Standard 2 3" xfId="539" xr:uid="{44AA112E-845D-42F6-BE1B-1B129DB6ED11}"/>
    <cellStyle name="Text Indent A" xfId="2317" xr:uid="{0E5F0BDF-D17B-4BBE-AFD1-77ABC659F6B1}"/>
    <cellStyle name="Text Indent B" xfId="2318" xr:uid="{35451573-9FBF-4715-B176-E98A6C30F070}"/>
    <cellStyle name="Text Indent C" xfId="2319" xr:uid="{4985E436-517B-436B-B6EC-62EDF31058BD}"/>
    <cellStyle name="Title 2" xfId="212" xr:uid="{82E91253-8A43-4229-BC97-544A95C7CAA3}"/>
    <cellStyle name="Title 3" xfId="271" xr:uid="{9D9DAD4D-ACFF-4F05-A308-35C973F99CE5}"/>
    <cellStyle name="Total 2" xfId="213" xr:uid="{74192B6C-7722-41C9-905E-D209A6D26201}"/>
    <cellStyle name="Total 2 2" xfId="600" xr:uid="{4E661EEC-3A21-4F1B-917F-61FC8BDB7F7F}"/>
    <cellStyle name="Total 2 2 2" xfId="815" xr:uid="{8ACDE474-E26B-4551-9546-57E2ADB686B1}"/>
    <cellStyle name="Total 2 2 2 2" xfId="1243" xr:uid="{51E66D8D-576C-4F3A-A67F-E0D57C28CB52}"/>
    <cellStyle name="Total 2 2 2 3" xfId="1791" xr:uid="{AE672619-C0C6-4694-93F2-BA610177BB9F}"/>
    <cellStyle name="Total 2 2 2 4" xfId="2162" xr:uid="{5E48ED89-C1D5-487A-B492-45AC5A013376}"/>
    <cellStyle name="Total 2 2 3" xfId="1041" xr:uid="{2FF27328-3844-457D-BF55-10F914DB050A}"/>
    <cellStyle name="Total 2 2 4" xfId="1584" xr:uid="{A58643AA-EBDA-47C8-8784-09F64C0DA34A}"/>
    <cellStyle name="Total 2 2 5" xfId="1956" xr:uid="{FAB6A7DB-A8C0-4850-9EF9-118C2DC33E94}"/>
    <cellStyle name="Total 2 3" xfId="661" xr:uid="{D2BDCBA3-6846-460D-B5E7-646DEC9C15E1}"/>
    <cellStyle name="Total 2 3 2" xfId="876" xr:uid="{5517840B-4695-43BD-A720-E5689AD6139C}"/>
    <cellStyle name="Total 2 3 2 2" xfId="1261" xr:uid="{80BD5F66-BE42-4442-B53B-39D96537DEDC}"/>
    <cellStyle name="Total 2 3 2 3" xfId="1852" xr:uid="{A8C2F10B-5FED-4664-9133-6F43ED41C745}"/>
    <cellStyle name="Total 2 3 2 4" xfId="2223" xr:uid="{010B1F17-8E68-4647-8B6D-E3BCE6638A88}"/>
    <cellStyle name="Total 2 3 3" xfId="1122" xr:uid="{C3A6B7DF-1FE2-4259-8902-D777881A5E60}"/>
    <cellStyle name="Total 2 3 4" xfId="1645" xr:uid="{560FDC31-45D3-4B40-9B18-3E4896317B3F}"/>
    <cellStyle name="Total 2 3 5" xfId="2017" xr:uid="{3E376DEC-198D-4976-BA2A-6F14FEDB33CD}"/>
    <cellStyle name="Total 2 4" xfId="549" xr:uid="{0B64B0BD-158C-4019-AB69-49B27A27D7C9}"/>
    <cellStyle name="Total 2 4 2" xfId="764" xr:uid="{0609F6C6-4F01-43CC-8EC7-C581FBA8E1E5}"/>
    <cellStyle name="Total 2 4 2 2" xfId="1074" xr:uid="{2EF0F702-6BB1-4866-A8E1-F669E1FCAD91}"/>
    <cellStyle name="Total 2 4 2 3" xfId="1740" xr:uid="{52819D54-D41E-4493-8483-1C34EB164D7E}"/>
    <cellStyle name="Total 2 4 2 4" xfId="2111" xr:uid="{A0A65F28-7301-4107-9DDA-082C0A1896B6}"/>
    <cellStyle name="Total 2 4 3" xfId="1004" xr:uid="{FC6C6DFF-1F38-42D3-971E-089883E164A7}"/>
    <cellStyle name="Total 2 4 4" xfId="1533" xr:uid="{8A046B25-123B-4328-9CB3-F0B315284B12}"/>
    <cellStyle name="Total 2 4 5" xfId="1905" xr:uid="{1C896369-C2F0-4AC6-B770-2D07766E02A1}"/>
    <cellStyle name="Total 2 5" xfId="720" xr:uid="{8707D2C5-83B4-438A-834E-2E8F7EC29E68}"/>
    <cellStyle name="Total 2 5 2" xfId="1151" xr:uid="{8FEA4CEA-B20A-47C9-AD84-6A98AC61B9D8}"/>
    <cellStyle name="Total 2 5 3" xfId="1703" xr:uid="{661131B7-F57E-4572-8B8D-9DA0460FA092}"/>
    <cellStyle name="Total 2 5 4" xfId="2075" xr:uid="{749112E4-0FDA-493F-A71D-E4940ECA4E2F}"/>
    <cellStyle name="Total 2 6" xfId="1230" xr:uid="{7228401D-A367-4C32-B6C6-BCFE596152EC}"/>
    <cellStyle name="Total 2 7" xfId="1473" xr:uid="{EC2B0237-5B01-4A9B-9A52-85E8F43E764B}"/>
    <cellStyle name="Total 2 8" xfId="1089" xr:uid="{40075CD5-48A2-449E-85E3-C499EDB86660}"/>
    <cellStyle name="Total 3" xfId="272" xr:uid="{4FDF1F9B-72C8-4AAF-BA51-E2A7F38ED4AF}"/>
    <cellStyle name="Total 3 2" xfId="624" xr:uid="{C65FB08C-04F7-4F58-A0AB-A01811AFC377}"/>
    <cellStyle name="Total 3 2 2" xfId="839" xr:uid="{FD366763-F67C-46C2-A2AB-22A9AD60981B}"/>
    <cellStyle name="Total 3 2 2 2" xfId="1260" xr:uid="{461D25A9-46AE-4136-AFB7-FAFA85149914}"/>
    <cellStyle name="Total 3 2 2 3" xfId="1815" xr:uid="{DB4261D2-2EC2-4D13-97B0-145212C8C76F}"/>
    <cellStyle name="Total 3 2 2 4" xfId="2186" xr:uid="{1C184276-D6A4-4D08-A59C-912504F442C5}"/>
    <cellStyle name="Total 3 2 3" xfId="1017" xr:uid="{57F351C9-BCAE-4771-8D64-61FBA4257ADE}"/>
    <cellStyle name="Total 3 2 4" xfId="1608" xr:uid="{0F619EA4-4532-41E9-9525-3CD345496B5C}"/>
    <cellStyle name="Total 3 2 5" xfId="1980" xr:uid="{957C6D2B-339C-4CB2-ABF8-B83F733F3BD7}"/>
    <cellStyle name="Total 3 3" xfId="587" xr:uid="{9BD86C1B-7DDB-4869-A38C-E4FDFD072BC9}"/>
    <cellStyle name="Total 3 3 2" xfId="802" xr:uid="{366FF4D2-6E93-4188-B89B-E02859634309}"/>
    <cellStyle name="Total 3 3 2 2" xfId="938" xr:uid="{B474EF8B-5AFB-4BCB-9C92-DAD093E49E64}"/>
    <cellStyle name="Total 3 3 2 3" xfId="1778" xr:uid="{A51DC36F-D3E7-4CD0-857D-8E06952C47FA}"/>
    <cellStyle name="Total 3 3 2 4" xfId="2149" xr:uid="{F145A421-91C9-47F1-8C56-4A34644A5EC1}"/>
    <cellStyle name="Total 3 3 3" xfId="1095" xr:uid="{7CEA9882-5060-4462-A0EC-1D4023876F59}"/>
    <cellStyle name="Total 3 3 4" xfId="1571" xr:uid="{49A543CF-A536-4D16-A727-8F3F3F38D736}"/>
    <cellStyle name="Total 3 3 5" xfId="1943" xr:uid="{14491D8A-6A68-4C97-8B23-EEB4556A0B06}"/>
    <cellStyle name="Total 3 4" xfId="628" xr:uid="{F4BD3497-CAD7-4DA1-8311-920F150C4290}"/>
    <cellStyle name="Total 3 4 2" xfId="843" xr:uid="{0A39445F-B1DB-405A-87EE-E106E55A0895}"/>
    <cellStyle name="Total 3 4 2 2" xfId="1153" xr:uid="{B0B79CF7-0561-488A-B08C-4EB860429A81}"/>
    <cellStyle name="Total 3 4 2 3" xfId="1819" xr:uid="{9C951B4B-01FF-40DC-9322-8EB07B99AC6F}"/>
    <cellStyle name="Total 3 4 2 4" xfId="2190" xr:uid="{C0D0C6AC-F859-4C62-8DC7-A8F0C56A155B}"/>
    <cellStyle name="Total 3 4 3" xfId="1233" xr:uid="{19142B37-81B1-4E83-AA8B-058376341F88}"/>
    <cellStyle name="Total 3 4 4" xfId="1612" xr:uid="{29850D33-F413-4352-8C5A-508648038252}"/>
    <cellStyle name="Total 3 4 5" xfId="1984" xr:uid="{B402E14B-5B70-4167-82BD-0DE774FE7A18}"/>
    <cellStyle name="Total 3 5" xfId="725" xr:uid="{216D152E-22C7-416D-85F6-35387B4DEAA1}"/>
    <cellStyle name="Total 3 5 2" xfId="1010" xr:uid="{BD27F918-5697-4225-8645-1399CAD1D59D}"/>
    <cellStyle name="Total 3 5 3" xfId="1708" xr:uid="{234AA65D-7581-45EC-911E-2BC1C45CEE53}"/>
    <cellStyle name="Total 3 5 4" xfId="2080" xr:uid="{7DC8FA6B-EE8C-4655-B90F-8FF7BF23DDF2}"/>
    <cellStyle name="Total 3 6" xfId="933" xr:uid="{8E24F8AB-0221-4E69-80E8-D8078F6D227B}"/>
    <cellStyle name="Total 3 7" xfId="1268" xr:uid="{BA615B22-C5C2-433E-88C2-3399A84C64B0}"/>
    <cellStyle name="Total 3 8" xfId="1387" xr:uid="{6D97217E-053F-4CAB-B2CE-20BF292FB5DB}"/>
    <cellStyle name="Überschrift" xfId="214" xr:uid="{B3231542-4477-4B8E-BFDF-C9FE5A87FB99}"/>
    <cellStyle name="Überschrift 1" xfId="215" xr:uid="{0CA0B2DC-7E94-4530-8F03-0F8F4E0DA56C}"/>
    <cellStyle name="Überschrift 2" xfId="216" xr:uid="{FABFC9D3-F3FF-4423-A763-32036F7222B1}"/>
    <cellStyle name="Überschrift 3" xfId="217" xr:uid="{7AC22335-31D9-4A73-98C4-0C96DE780A9F}"/>
    <cellStyle name="Überschrift 4" xfId="218" xr:uid="{0A5BBB44-1436-4B1F-B30F-32E2E4DA1CE5}"/>
    <cellStyle name="Útreikningur - Samorka" xfId="2337" xr:uid="{8C3855C6-7258-43DC-A115-F12CDA32C7C6}"/>
    <cellStyle name="Verknüpfte Zelle" xfId="219" xr:uid="{02DBAB63-6CD5-474F-A6E0-8AF8F686A617}"/>
    <cellStyle name="Warnender Text" xfId="75" hidden="1" xr:uid="{4989B21B-6A77-45AD-876B-3598219584B6}"/>
    <cellStyle name="Warnender Text" xfId="974" hidden="1" xr:uid="{35404A2A-DA5E-420B-85C2-30C264174801}"/>
    <cellStyle name="Warnender Text" xfId="1229" hidden="1" xr:uid="{14BB2D39-AD02-4113-829B-7160380CE340}"/>
    <cellStyle name="Warnender Text" xfId="1332" hidden="1" xr:uid="{F9C1F569-E237-4F38-8CA1-5A6470D6A058}"/>
    <cellStyle name="Warnender Text" xfId="1266" hidden="1" xr:uid="{857484DE-6FE7-4CB6-8236-F4A8DED02117}"/>
    <cellStyle name="Warnender Text" xfId="1136" hidden="1" xr:uid="{2C77890D-7616-4D10-9B8E-90486F1F14B8}"/>
    <cellStyle name="Warnender Text 2" xfId="429" xr:uid="{A44F75C6-44B8-487C-9B56-8C12879480AB}"/>
    <cellStyle name="Warnender Text 3" xfId="320" xr:uid="{59EA40EF-88F7-4491-B614-0724A280BAB9}"/>
    <cellStyle name="Warning Text 2" xfId="220" xr:uid="{B089E382-AD17-4849-BD4B-992D3808F6B7}"/>
    <cellStyle name="Warning Text 3" xfId="273" xr:uid="{AA187044-F858-45D2-8E24-E05629413621}"/>
    <cellStyle name="Zelle überprüfen" xfId="221" xr:uid="{004F8B6E-6298-45F9-89D2-9245D73740F7}"/>
    <cellStyle name="Гиперссылка" xfId="222" xr:uid="{0CA506AA-9493-465E-BCD2-8E5A4B2A4D6B}"/>
    <cellStyle name="Гиперссылка 2" xfId="223" xr:uid="{B0614C8D-5BD0-433E-9CF7-CAE9897BF1DA}"/>
    <cellStyle name="Гиперссылка 3" xfId="231" xr:uid="{4DEB463D-BFAB-45FA-A53A-5B937017297A}"/>
    <cellStyle name="Гиперссылка 4" xfId="403" xr:uid="{555B5C38-575C-4FCF-906F-6CADF76551F3}"/>
    <cellStyle name="Обычный_2++" xfId="52" xr:uid="{2A8F5320-7E20-4620-8822-E421688964D0}"/>
    <cellStyle name="Обычный_CRF2002 (1)" xfId="14" xr:uid="{5AEF4512-5674-4DF5-B27A-436C5AAEF99D}"/>
    <cellStyle name="Обычный_CRF2002 (1) 3" xfId="2445" xr:uid="{9841882E-196A-43F9-B110-6F44952F7E79}"/>
  </cellStyles>
  <dxfs count="11">
    <dxf>
      <font>
        <b/>
        <i val="0"/>
        <strike val="0"/>
        <condense val="0"/>
        <extend val="0"/>
        <outline val="0"/>
        <shadow val="0"/>
        <u val="none"/>
        <vertAlign val="baseline"/>
        <sz val="8"/>
        <color rgb="FF000000"/>
        <name val="Times New Roman"/>
        <family val="1"/>
        <scheme val="none"/>
      </font>
      <numFmt numFmtId="3" formatCode="#,##0"/>
      <fill>
        <patternFill patternType="solid">
          <fgColor indexed="64"/>
          <bgColor rgb="FFFFFF00"/>
        </patternFill>
      </fill>
      <alignment horizontal="right" vertical="center" textRotation="0" wrapText="0" indent="0" justifyLastLine="0" shrinkToFit="0" readingOrder="0"/>
      <border diagonalUp="0" diagonalDown="0">
        <left style="medium">
          <color indexed="64"/>
        </left>
        <right style="medium">
          <color indexed="64"/>
        </right>
        <top/>
        <bottom style="medium">
          <color indexed="64"/>
        </bottom>
        <vertical/>
        <horizontal/>
      </border>
    </dxf>
    <dxf>
      <font>
        <b/>
        <i val="0"/>
        <strike val="0"/>
        <condense val="0"/>
        <extend val="0"/>
        <outline val="0"/>
        <shadow val="0"/>
        <u val="none"/>
        <vertAlign val="baseline"/>
        <sz val="8"/>
        <color rgb="FF000000"/>
        <name val="Times New Roman"/>
        <family val="1"/>
        <scheme val="none"/>
      </font>
      <fill>
        <patternFill patternType="solid">
          <fgColor indexed="64"/>
          <bgColor rgb="FFFFFF00"/>
        </patternFill>
      </fill>
      <alignment horizontal="general" vertical="center" textRotation="0" wrapText="0" indent="0" justifyLastLine="0" shrinkToFit="0" readingOrder="0"/>
      <border diagonalUp="0" diagonalDown="0">
        <left/>
        <right/>
        <top/>
        <bottom style="medium">
          <color indexed="64"/>
        </bottom>
        <vertical/>
        <horizontal/>
      </border>
    </dxf>
    <dxf>
      <font>
        <b/>
        <i val="0"/>
        <strike val="0"/>
        <condense val="0"/>
        <extend val="0"/>
        <outline val="0"/>
        <shadow val="0"/>
        <u val="none"/>
        <vertAlign val="baseline"/>
        <sz val="8"/>
        <color rgb="FF000000"/>
        <name val="Times New Roman"/>
        <family val="1"/>
        <scheme val="none"/>
      </font>
      <fill>
        <patternFill patternType="solid">
          <fgColor indexed="64"/>
          <bgColor rgb="FFFFFF00"/>
        </patternFill>
      </fill>
      <alignment horizontal="general" vertical="center" textRotation="0" wrapText="0" indent="0" justifyLastLine="0" shrinkToFit="0" readingOrder="0"/>
      <border diagonalUp="0" diagonalDown="0">
        <left/>
        <right/>
        <top/>
        <bottom style="medium">
          <color indexed="64"/>
        </bottom>
        <vertical/>
        <horizontal/>
      </border>
    </dxf>
    <dxf>
      <font>
        <b/>
        <i val="0"/>
        <strike val="0"/>
        <condense val="0"/>
        <extend val="0"/>
        <outline val="0"/>
        <shadow val="0"/>
        <u val="none"/>
        <vertAlign val="baseline"/>
        <sz val="8"/>
        <color rgb="FF000000"/>
        <name val="Times New Roman"/>
        <family val="1"/>
        <scheme val="none"/>
      </font>
      <fill>
        <patternFill patternType="solid">
          <fgColor indexed="64"/>
          <bgColor rgb="FFFFFF00"/>
        </patternFill>
      </fill>
      <alignment horizontal="general" vertical="center" textRotation="0" wrapText="0" indent="0" justifyLastLine="0" shrinkToFit="0" readingOrder="0"/>
      <border diagonalUp="0" diagonalDown="0">
        <left/>
        <right/>
        <top/>
        <bottom style="medium">
          <color indexed="64"/>
        </bottom>
        <vertical/>
        <horizontal/>
      </border>
    </dxf>
    <dxf>
      <font>
        <b/>
        <i val="0"/>
        <strike val="0"/>
        <condense val="0"/>
        <extend val="0"/>
        <outline val="0"/>
        <shadow val="0"/>
        <u val="none"/>
        <vertAlign val="baseline"/>
        <sz val="8"/>
        <color rgb="FF000000"/>
        <name val="Times New Roman"/>
        <family val="1"/>
        <scheme val="none"/>
      </font>
      <fill>
        <patternFill patternType="solid">
          <fgColor indexed="64"/>
          <bgColor rgb="FFFFFF00"/>
        </patternFill>
      </fill>
      <alignment horizontal="general" vertical="center" textRotation="0" wrapText="0" indent="0" justifyLastLine="0" shrinkToFit="0" readingOrder="0"/>
      <border diagonalUp="0" diagonalDown="0">
        <left/>
        <right/>
        <top/>
        <bottom style="medium">
          <color indexed="64"/>
        </bottom>
        <vertical/>
        <horizontal/>
      </border>
    </dxf>
    <dxf>
      <font>
        <b/>
        <i val="0"/>
        <strike val="0"/>
        <condense val="0"/>
        <extend val="0"/>
        <outline val="0"/>
        <shadow val="0"/>
        <u val="none"/>
        <vertAlign val="baseline"/>
        <sz val="8"/>
        <color rgb="FF000000"/>
        <name val="Times New Roman"/>
        <family val="1"/>
        <scheme val="none"/>
      </font>
      <fill>
        <patternFill patternType="solid">
          <fgColor indexed="64"/>
          <bgColor rgb="FFFFFF00"/>
        </patternFill>
      </fill>
      <alignment horizontal="general" vertical="center" textRotation="0" wrapText="0" indent="0" justifyLastLine="0" shrinkToFit="0" readingOrder="0"/>
      <border diagonalUp="0" diagonalDown="0">
        <left/>
        <right/>
        <top style="medium">
          <color indexed="64"/>
        </top>
        <bottom style="medium">
          <color indexed="64"/>
        </bottom>
        <vertical/>
        <horizontal/>
      </border>
    </dxf>
    <dxf>
      <border outline="0">
        <left style="medium">
          <color indexed="64"/>
        </left>
        <top style="medium">
          <color indexed="64"/>
        </top>
        <bottom style="medium">
          <color indexed="64"/>
        </bottom>
      </border>
    </dxf>
    <dxf>
      <font>
        <b/>
        <i val="0"/>
        <strike val="0"/>
        <condense val="0"/>
        <extend val="0"/>
        <outline val="0"/>
        <shadow val="0"/>
        <u val="none"/>
        <vertAlign val="baseline"/>
        <sz val="8"/>
        <color rgb="FF000000"/>
        <name val="Times New Roman"/>
        <family val="1"/>
        <scheme val="none"/>
      </font>
      <fill>
        <patternFill patternType="solid">
          <fgColor indexed="64"/>
          <bgColor rgb="FFFFCC00"/>
        </patternFill>
      </fill>
      <alignment horizontal="right" vertical="center" textRotation="0" wrapText="1" indent="0" justifyLastLine="0" shrinkToFit="0" readingOrder="0"/>
    </dxf>
    <dxf>
      <fill>
        <patternFill patternType="solid">
          <fgColor theme="4" tint="0.79998168889431442"/>
          <bgColor theme="4" tint="0.79998168889431442"/>
        </patternFill>
      </fill>
    </dxf>
    <dxf>
      <font>
        <b/>
        <color theme="0"/>
      </font>
      <fill>
        <patternFill patternType="solid">
          <fgColor theme="4"/>
          <bgColor theme="4" tint="-0.24994659260841701"/>
        </patternFill>
      </fill>
    </dxf>
    <dxf>
      <font>
        <color theme="1"/>
      </font>
      <border>
        <left style="thin">
          <color theme="4" tint="0.39997558519241921"/>
        </left>
        <right style="thin">
          <color theme="4" tint="0.39997558519241921"/>
        </right>
        <top style="thin">
          <color theme="4" tint="0.39997558519241921"/>
        </top>
        <bottom style="thin">
          <color theme="4" tint="0.39997558519241921"/>
        </bottom>
        <horizontal style="thin">
          <color theme="4" tint="0.39997558519241921"/>
        </horizontal>
      </border>
    </dxf>
  </dxfs>
  <tableStyles count="1" defaultTableStyle="TableStyleMedium2" defaultPivotStyle="PivotStyleLight16">
    <tableStyle name="To do list for projects" pivot="0" count="3" xr9:uid="{00000000-0011-0000-FFFF-FFFF00000000}">
      <tableStyleElement type="wholeTable" dxfId="10"/>
      <tableStyleElement type="headerRow" dxfId="9"/>
      <tableStyleElement type="firstRowStripe" dxfId="8"/>
    </tableStyle>
  </tableStyles>
  <colors>
    <mruColors>
      <color rgb="FFFFD659"/>
      <color rgb="FFF77257"/>
      <color rgb="FF64D68E"/>
      <color rgb="FF0367E1"/>
      <color rgb="FFD8222F"/>
      <color rgb="FF52D9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7.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8.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9.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0.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1.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2.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3.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4.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5.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6.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7.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18.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19.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0.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1.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2.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3.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4.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6.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7.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8.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29.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0.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9.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40.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41.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45.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46.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Ex1.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2.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Basic+</a:t>
            </a:r>
          </a:p>
        </c:rich>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4068773080374278"/>
          <c:y val="0.1551458940412086"/>
          <c:w val="0.46038847904175489"/>
          <c:h val="0.77308978327721678"/>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91C-4015-B8EB-9B765B6EF88E}"/>
              </c:ext>
            </c:extLst>
          </c:dPt>
          <c:dPt>
            <c:idx val="1"/>
            <c:bubble3D val="0"/>
            <c:spPr>
              <a:solidFill>
                <a:schemeClr val="tx2"/>
              </a:solidFill>
              <a:ln w="19050">
                <a:solidFill>
                  <a:schemeClr val="lt1"/>
                </a:solidFill>
              </a:ln>
              <a:effectLst/>
            </c:spPr>
            <c:extLst>
              <c:ext xmlns:c16="http://schemas.microsoft.com/office/drawing/2014/chart" uri="{C3380CC4-5D6E-409C-BE32-E72D297353CC}">
                <c16:uniqueId val="{00000003-791C-4015-B8EB-9B765B6EF88E}"/>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7-382D-4675-8335-1AF0BEA9C98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3-DBD8-425A-B42E-E87A0A07A23A}"/>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F-382D-4675-8335-1AF0BEA9C98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Dashboard!$B$11:$B$34</c15:sqref>
                  </c15:fullRef>
                </c:ext>
              </c:extLst>
              <c:f>(Dashboard!$B$11,Dashboard!$B$16,Dashboard!$B$21,Dashboard!$B$30,Dashboard!$B$34)</c:f>
              <c:strCache>
                <c:ptCount val="5"/>
                <c:pt idx="0">
                  <c:v>Energy</c:v>
                </c:pt>
                <c:pt idx="1">
                  <c:v>Transport</c:v>
                </c:pt>
                <c:pt idx="2">
                  <c:v>Waste</c:v>
                </c:pt>
                <c:pt idx="3">
                  <c:v>AFOLU</c:v>
                </c:pt>
                <c:pt idx="4">
                  <c:v>Product use</c:v>
                </c:pt>
              </c:strCache>
            </c:strRef>
          </c:cat>
          <c:val>
            <c:numRef>
              <c:extLst>
                <c:ext xmlns:c15="http://schemas.microsoft.com/office/drawing/2012/chart" uri="{02D57815-91ED-43cb-92C2-25804820EDAC}">
                  <c15:fullRef>
                    <c15:sqref>Dashboard!$C$11:$C$34</c15:sqref>
                  </c15:fullRef>
                </c:ext>
              </c:extLst>
              <c:f>(Dashboard!$C$11,Dashboard!$C$16,Dashboard!$C$21,Dashboard!$C$30,Dashboard!$C$34)</c:f>
              <c:numCache>
                <c:formatCode>0</c:formatCode>
                <c:ptCount val="5"/>
                <c:pt idx="0">
                  <c:v>25196.680063489999</c:v>
                </c:pt>
                <c:pt idx="1">
                  <c:v>319948.74774730793</c:v>
                </c:pt>
                <c:pt idx="2">
                  <c:v>80736.348080587748</c:v>
                </c:pt>
                <c:pt idx="3">
                  <c:v>33231.810757164916</c:v>
                </c:pt>
                <c:pt idx="4">
                  <c:v>31944.836513010301</c:v>
                </c:pt>
              </c:numCache>
            </c:numRef>
          </c:val>
          <c:extLst>
            <c:ext xmlns:c15="http://schemas.microsoft.com/office/drawing/2012/chart" uri="{02D57815-91ED-43cb-92C2-25804820EDAC}">
              <c15:categoryFilterExceptions>
                <c15:categoryFilterException>
                  <c15:sqref>Dashboard!$C$18</c15:sqref>
                  <c15:spPr xmlns:c15="http://schemas.microsoft.com/office/drawing/2012/chart">
                    <a:solidFill>
                      <a:schemeClr val="accent2">
                        <a:lumMod val="60000"/>
                      </a:schemeClr>
                    </a:solidFill>
                    <a:ln w="19050">
                      <a:solidFill>
                        <a:schemeClr val="lt1"/>
                      </a:solidFill>
                    </a:ln>
                    <a:effectLst/>
                  </c15:spPr>
                  <c15:bubble3D val="0"/>
                </c15:categoryFilterException>
                <c15:categoryFilterException>
                  <c15:sqref>Dashboard!$C$19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
                  <c15:sqref>Dashboard!$C$26</c15:sqref>
                  <c15:spPr xmlns:c15="http://schemas.microsoft.com/office/drawing/2012/chart">
                    <a:solidFill>
                      <a:schemeClr val="accent4">
                        <a:lumMod val="80000"/>
                        <a:lumOff val="20000"/>
                      </a:schemeClr>
                    </a:solidFill>
                    <a:ln w="19050">
                      <a:solidFill>
                        <a:schemeClr val="lt1"/>
                      </a:solidFill>
                    </a:ln>
                    <a:effectLst/>
                  </c15:spPr>
                  <c15:bubble3D val="0"/>
                </c15:categoryFilterException>
                <c15:categoryFilterException>
                  <c15:sqref>Dashboard!$C$27</c15:sqref>
                  <c15:spPr xmlns:c15="http://schemas.microsoft.com/office/drawing/2012/chart">
                    <a:solidFill>
                      <a:schemeClr val="accent5">
                        <a:lumMod val="80000"/>
                        <a:lumOff val="20000"/>
                      </a:schemeClr>
                    </a:solidFill>
                    <a:ln w="19050">
                      <a:solidFill>
                        <a:schemeClr val="lt1"/>
                      </a:solidFill>
                    </a:ln>
                    <a:effectLst/>
                  </c15:spPr>
                  <c15:bubble3D val="0"/>
                </c15:categoryFilterException>
                <c15:categoryFilterException>
                  <c15:sqref>Dashboard!$C$28</c15:sqref>
                  <c15:spPr xmlns:c15="http://schemas.microsoft.com/office/drawing/2012/chart">
                    <a:solidFill>
                      <a:schemeClr val="accent3">
                        <a:lumMod val="80000"/>
                        <a:lumOff val="20000"/>
                      </a:schemeClr>
                    </a:solidFill>
                    <a:ln w="19050">
                      <a:solidFill>
                        <a:schemeClr val="lt1"/>
                      </a:solidFill>
                    </a:ln>
                    <a:effectLst/>
                  </c15:spPr>
                  <c15:bubble3D val="0"/>
                </c15:categoryFilterException>
                <c15:categoryFilterException>
                  <c15:sqref>Dashboard!$C$31</c15:sqref>
                  <c15:spPr xmlns:c15="http://schemas.microsoft.com/office/drawing/2012/chart">
                    <a:solidFill>
                      <a:schemeClr val="accent6">
                        <a:lumMod val="80000"/>
                        <a:lumOff val="20000"/>
                      </a:schemeClr>
                    </a:solidFill>
                    <a:ln w="19050">
                      <a:solidFill>
                        <a:schemeClr val="lt1"/>
                      </a:solidFill>
                    </a:ln>
                    <a:effectLst/>
                  </c15:spPr>
                  <c15:bubble3D val="0"/>
                </c15:categoryFilterException>
                <c15:categoryFilterException>
                  <c15:sqref>Dashboard!$C$32</c15:sqref>
                  <c15:spPr xmlns:c15="http://schemas.microsoft.com/office/drawing/2012/chart">
                    <a:solidFill>
                      <a:schemeClr val="accent1">
                        <a:lumMod val="80000"/>
                      </a:schemeClr>
                    </a:solidFill>
                    <a:ln w="19050">
                      <a:solidFill>
                        <a:schemeClr val="lt1"/>
                      </a:solidFill>
                    </a:ln>
                    <a:effectLst/>
                  </c15:spPr>
                  <c15:bubble3D val="0"/>
                </c15:categoryFilterException>
                <c15:categoryFilterException>
                  <c15:sqref>Dashboard!$C$33</c15:sqref>
                  <c15:spPr xmlns:c15="http://schemas.microsoft.com/office/drawing/2012/chart">
                    <a:solidFill>
                      <a:schemeClr val="accent2">
                        <a:lumMod val="8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A-791C-4015-B8EB-9B765B6EF88E}"/>
            </c:ext>
          </c:extLst>
        </c:ser>
        <c:dLbls>
          <c:showLegendKey val="0"/>
          <c:showVal val="0"/>
          <c:showCatName val="0"/>
          <c:showSerName val="0"/>
          <c:showPercent val="0"/>
          <c:showBubbleSize val="0"/>
          <c:showLeaderLines val="1"/>
        </c:dLbls>
        <c:firstSliceAng val="0"/>
      </c:pieChart>
      <c:spPr>
        <a:noFill/>
        <a:ln>
          <a:noFill/>
        </a:ln>
        <a:effectLst/>
      </c:spPr>
    </c:plotArea>
    <c:legend>
      <c:legendPos val="r"/>
      <c:layout>
        <c:manualLayout>
          <c:xMode val="edge"/>
          <c:yMode val="edge"/>
          <c:x val="0.69210854023536039"/>
          <c:y val="0.20006871867035939"/>
          <c:w val="0.29133973203143787"/>
          <c:h val="0.7249345549499510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Emissions</c:v>
          </c:tx>
          <c:spPr>
            <a:solidFill>
              <a:schemeClr val="accent1"/>
            </a:solidFill>
            <a:ln>
              <a:noFill/>
            </a:ln>
            <a:effectLst/>
          </c:spPr>
          <c:invertIfNegative val="0"/>
          <c:cat>
            <c:numRef>
              <c:extLst>
                <c:ext xmlns:c15="http://schemas.microsoft.com/office/drawing/2012/chart" uri="{02D57815-91ED-43cb-92C2-25804820EDAC}">
                  <c15:fullRef>
                    <c15:sqref>Reykjavík!$R$163:$AA$163</c15:sqref>
                  </c15:fullRef>
                </c:ext>
              </c:extLst>
              <c:f>Reykjavík!$U$163:$AA$163</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Reykjavík!$R$164:$AA$164</c15:sqref>
                  </c15:fullRef>
                </c:ext>
              </c:extLst>
              <c:f>Reykjavík!$U$164:$AA$164</c:f>
              <c:numCache>
                <c:formatCode>#,##0</c:formatCode>
                <c:ptCount val="7"/>
                <c:pt idx="0">
                  <c:v>445821.98354376038</c:v>
                </c:pt>
                <c:pt idx="1">
                  <c:v>410897.19854802109</c:v>
                </c:pt>
                <c:pt idx="2">
                  <c:v>434506.95741438027</c:v>
                </c:pt>
                <c:pt idx="3">
                  <c:v>416292.90356580273</c:v>
                </c:pt>
                <c:pt idx="4">
                  <c:v>447478.44946677727</c:v>
                </c:pt>
                <c:pt idx="5">
                  <c:v>445882.79524029628</c:v>
                </c:pt>
                <c:pt idx="6">
                  <c:v>425641.28316233394</c:v>
                </c:pt>
              </c:numCache>
            </c:numRef>
          </c:val>
          <c:extLst>
            <c:ext xmlns:c16="http://schemas.microsoft.com/office/drawing/2014/chart" uri="{C3380CC4-5D6E-409C-BE32-E72D297353CC}">
              <c16:uniqueId val="{00000000-E029-45E4-BE69-492439045DD1}"/>
            </c:ext>
          </c:extLst>
        </c:ser>
        <c:dLbls>
          <c:showLegendKey val="0"/>
          <c:showVal val="0"/>
          <c:showCatName val="0"/>
          <c:showSerName val="0"/>
          <c:showPercent val="0"/>
          <c:showBubbleSize val="0"/>
        </c:dLbls>
        <c:gapWidth val="219"/>
        <c:axId val="1341811855"/>
        <c:axId val="1132602367"/>
      </c:barChart>
      <c:lineChart>
        <c:grouping val="standard"/>
        <c:varyColors val="0"/>
        <c:ser>
          <c:idx val="1"/>
          <c:order val="1"/>
          <c:tx>
            <c:v>Emissions per capita</c:v>
          </c:tx>
          <c:spPr>
            <a:ln w="28575" cap="rnd">
              <a:solidFill>
                <a:schemeClr val="accent2"/>
              </a:solidFill>
              <a:round/>
            </a:ln>
            <a:effectLst/>
          </c:spPr>
          <c:marker>
            <c:symbol val="none"/>
          </c:marker>
          <c:cat>
            <c:numRef>
              <c:extLst>
                <c:ext xmlns:c15="http://schemas.microsoft.com/office/drawing/2012/chart" uri="{02D57815-91ED-43cb-92C2-25804820EDAC}">
                  <c15:fullRef>
                    <c15:sqref>Reykjavík!$R$163:$Z$163</c15:sqref>
                  </c15:fullRef>
                </c:ext>
              </c:extLst>
              <c:f>Reykjavík!$U$163:$Z$163</c:f>
              <c:numCache>
                <c:formatCode>General</c:formatCode>
                <c:ptCount val="6"/>
                <c:pt idx="0">
                  <c:v>2019</c:v>
                </c:pt>
                <c:pt idx="1">
                  <c:v>2020</c:v>
                </c:pt>
                <c:pt idx="2">
                  <c:v>2021</c:v>
                </c:pt>
                <c:pt idx="3">
                  <c:v>2022</c:v>
                </c:pt>
                <c:pt idx="4">
                  <c:v>2023</c:v>
                </c:pt>
                <c:pt idx="5">
                  <c:v>2024</c:v>
                </c:pt>
              </c:numCache>
            </c:numRef>
          </c:cat>
          <c:val>
            <c:numRef>
              <c:extLst>
                <c:ext xmlns:c15="http://schemas.microsoft.com/office/drawing/2012/chart" uri="{02D57815-91ED-43cb-92C2-25804820EDAC}">
                  <c15:fullRef>
                    <c15:sqref>Reykjavík!$R$165:$AA$165</c15:sqref>
                  </c15:fullRef>
                </c:ext>
              </c:extLst>
              <c:f>Reykjavík!$U$165:$AA$165</c:f>
              <c:numCache>
                <c:formatCode>#,##0.00</c:formatCode>
                <c:ptCount val="7"/>
                <c:pt idx="0">
                  <c:v>3.5563336275028745</c:v>
                </c:pt>
                <c:pt idx="1">
                  <c:v>3.2469414894469422</c:v>
                </c:pt>
                <c:pt idx="2">
                  <c:v>3.3784850121637531</c:v>
                </c:pt>
                <c:pt idx="3">
                  <c:v>3.186614182441577</c:v>
                </c:pt>
                <c:pt idx="4">
                  <c:v>3.3319814849571645</c:v>
                </c:pt>
                <c:pt idx="5">
                  <c:v>3.2571390655565349</c:v>
                </c:pt>
                <c:pt idx="6">
                  <c:v>3.0671985931047612</c:v>
                </c:pt>
              </c:numCache>
            </c:numRef>
          </c:val>
          <c:smooth val="0"/>
          <c:extLst>
            <c:ext xmlns:c16="http://schemas.microsoft.com/office/drawing/2014/chart" uri="{C3380CC4-5D6E-409C-BE32-E72D297353CC}">
              <c16:uniqueId val="{00000001-E029-45E4-BE69-492439045DD1}"/>
            </c:ext>
          </c:extLst>
        </c:ser>
        <c:dLbls>
          <c:showLegendKey val="0"/>
          <c:showVal val="0"/>
          <c:showCatName val="0"/>
          <c:showSerName val="0"/>
          <c:showPercent val="0"/>
          <c:showBubbleSize val="0"/>
        </c:dLbls>
        <c:marker val="1"/>
        <c:smooth val="0"/>
        <c:axId val="1138432623"/>
        <c:axId val="3597487"/>
      </c:lineChart>
      <c:catAx>
        <c:axId val="13418118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32602367"/>
        <c:crosses val="autoZero"/>
        <c:auto val="1"/>
        <c:lblAlgn val="ctr"/>
        <c:lblOffset val="100"/>
        <c:noMultiLvlLbl val="0"/>
      </c:catAx>
      <c:valAx>
        <c:axId val="1132602367"/>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900" b="0" i="0" baseline="0">
                    <a:effectLst/>
                  </a:rPr>
                  <a:t>Emissions (t CO</a:t>
                </a:r>
                <a:r>
                  <a:rPr lang="en-US" sz="900" b="0" i="0" baseline="-25000">
                    <a:effectLst/>
                  </a:rPr>
                  <a:t>2</a:t>
                </a:r>
                <a:r>
                  <a:rPr lang="en-US" sz="900" b="0" i="0" baseline="0">
                    <a:effectLst/>
                  </a:rPr>
                  <a:t> eq)</a:t>
                </a:r>
                <a:endParaRPr lang="is-IS" sz="3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41811855"/>
        <c:crosses val="autoZero"/>
        <c:crossBetween val="between"/>
      </c:valAx>
      <c:valAx>
        <c:axId val="3597487"/>
        <c:scaling>
          <c:orientation val="minMax"/>
          <c:min val="0"/>
        </c:scaling>
        <c:delete val="0"/>
        <c:axPos val="r"/>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38432623"/>
        <c:crosses val="max"/>
        <c:crossBetween val="between"/>
      </c:valAx>
      <c:catAx>
        <c:axId val="1138432623"/>
        <c:scaling>
          <c:orientation val="minMax"/>
        </c:scaling>
        <c:delete val="1"/>
        <c:axPos val="b"/>
        <c:numFmt formatCode="General" sourceLinked="1"/>
        <c:majorTickMark val="out"/>
        <c:minorTickMark val="none"/>
        <c:tickLblPos val="nextTo"/>
        <c:crossAx val="3597487"/>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cat>
            <c:strRef>
              <c:f>Dashboard!$D$10:$F$10</c:f>
              <c:strCache>
                <c:ptCount val="3"/>
                <c:pt idx="0">
                  <c:v>Scope 1</c:v>
                </c:pt>
                <c:pt idx="1">
                  <c:v>Scope 2</c:v>
                </c:pt>
                <c:pt idx="2">
                  <c:v>Scope 3</c:v>
                </c:pt>
              </c:strCache>
            </c:strRef>
          </c:cat>
          <c:val>
            <c:numRef>
              <c:f>Dashboard!$D$37:$F$37</c:f>
              <c:numCache>
                <c:formatCode>0</c:formatCode>
                <c:ptCount val="3"/>
                <c:pt idx="0">
                  <c:v>448730.55345176515</c:v>
                </c:pt>
                <c:pt idx="1">
                  <c:v>14705.370054438288</c:v>
                </c:pt>
                <c:pt idx="2">
                  <c:v>100450.36578108721</c:v>
                </c:pt>
              </c:numCache>
            </c:numRef>
          </c:val>
          <c:extLst>
            <c:ext xmlns:c16="http://schemas.microsoft.com/office/drawing/2014/chart" uri="{C3380CC4-5D6E-409C-BE32-E72D297353CC}">
              <c16:uniqueId val="{00000000-77E2-4882-986B-DDF8F6E88CC0}"/>
            </c:ext>
          </c:extLst>
        </c:ser>
        <c:dLbls>
          <c:showLegendKey val="0"/>
          <c:showVal val="0"/>
          <c:showCatName val="0"/>
          <c:showSerName val="0"/>
          <c:showPercent val="0"/>
          <c:showBubbleSize val="0"/>
        </c:dLbls>
        <c:gapWidth val="219"/>
        <c:overlap val="-27"/>
        <c:axId val="1805119551"/>
        <c:axId val="946072575"/>
      </c:barChart>
      <c:catAx>
        <c:axId val="18051195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946072575"/>
        <c:crosses val="autoZero"/>
        <c:auto val="1"/>
        <c:lblAlgn val="ctr"/>
        <c:lblOffset val="100"/>
        <c:noMultiLvlLbl val="0"/>
      </c:catAx>
      <c:valAx>
        <c:axId val="946072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rgbClr val="000000">
                        <a:lumMod val="65000"/>
                        <a:lumOff val="35000"/>
                      </a:srgbClr>
                    </a:solidFill>
                    <a:latin typeface="+mn-lt"/>
                    <a:ea typeface="+mn-ea"/>
                    <a:cs typeface="+mn-cs"/>
                  </a:defRPr>
                </a:pPr>
                <a:r>
                  <a:rPr lang="en-US" sz="900" b="0" i="0" baseline="0">
                    <a:effectLst/>
                  </a:rPr>
                  <a:t>Emissions (t CO</a:t>
                </a:r>
                <a:r>
                  <a:rPr lang="en-US" sz="900" b="0" i="0" baseline="-25000">
                    <a:effectLst/>
                  </a:rPr>
                  <a:t>2</a:t>
                </a:r>
                <a:r>
                  <a:rPr lang="en-US" sz="900" b="0" i="0" baseline="0">
                    <a:effectLst/>
                  </a:rPr>
                  <a:t> eq)</a:t>
                </a:r>
                <a:endParaRPr lang="is-IS" sz="900">
                  <a:effectLst/>
                </a:endParaRPr>
              </a:p>
              <a:p>
                <a:pPr marL="0" marR="0" lvl="0" indent="0" algn="ctr" defTabSz="914400" rtl="0" eaLnBrk="1" fontAlgn="auto" latinLnBrk="0" hangingPunct="1">
                  <a:lnSpc>
                    <a:spcPct val="100000"/>
                  </a:lnSpc>
                  <a:spcBef>
                    <a:spcPts val="0"/>
                  </a:spcBef>
                  <a:spcAft>
                    <a:spcPts val="0"/>
                  </a:spcAft>
                  <a:buClrTx/>
                  <a:buSzTx/>
                  <a:buFontTx/>
                  <a:buNone/>
                  <a:tabLst/>
                  <a:defRPr>
                    <a:solidFill>
                      <a:srgbClr val="000000">
                        <a:lumMod val="65000"/>
                        <a:lumOff val="35000"/>
                      </a:srgbClr>
                    </a:solidFill>
                  </a:defRPr>
                </a:pPr>
                <a:endParaRPr lang="is-IS" sz="900"/>
              </a:p>
            </c:rich>
          </c:tx>
          <c:overlay val="0"/>
          <c:spPr>
            <a:noFill/>
            <a:ln>
              <a:noFill/>
            </a:ln>
            <a:effectLst/>
          </c:spPr>
          <c:txPr>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rgbClr val="000000">
                      <a:lumMod val="65000"/>
                      <a:lumOff val="35000"/>
                    </a:srgb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05119551"/>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Emissions</c:v>
          </c:tx>
          <c:spPr>
            <a:solidFill>
              <a:schemeClr val="accent1"/>
            </a:solidFill>
            <a:ln>
              <a:noFill/>
            </a:ln>
            <a:effectLst/>
          </c:spPr>
          <c:invertIfNegative val="0"/>
          <c:cat>
            <c:numRef>
              <c:extLst>
                <c:ext xmlns:c15="http://schemas.microsoft.com/office/drawing/2012/chart" uri="{02D57815-91ED-43cb-92C2-25804820EDAC}">
                  <c15:fullRef>
                    <c15:sqref>Reykjavík!$R$168:$AA$168</c15:sqref>
                  </c15:fullRef>
                </c:ext>
              </c:extLst>
              <c:f>Reykjavík!$U$168:$AA$168</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Reykjavík!$R$169:$AA$169</c15:sqref>
                  </c15:fullRef>
                </c:ext>
              </c:extLst>
              <c:f>Reykjavík!$U$169:$AA$169</c:f>
              <c:numCache>
                <c:formatCode>#,##0</c:formatCode>
                <c:ptCount val="7"/>
                <c:pt idx="0">
                  <c:v>522605.25108272373</c:v>
                </c:pt>
                <c:pt idx="1">
                  <c:v>490963.97520302155</c:v>
                </c:pt>
                <c:pt idx="2">
                  <c:v>507581.91122789454</c:v>
                </c:pt>
                <c:pt idx="3">
                  <c:v>484629.41996219428</c:v>
                </c:pt>
                <c:pt idx="4">
                  <c:v>510464.18710276426</c:v>
                </c:pt>
                <c:pt idx="5">
                  <c:v>505112.12943228381</c:v>
                </c:pt>
                <c:pt idx="6">
                  <c:v>491058.4231615609</c:v>
                </c:pt>
              </c:numCache>
            </c:numRef>
          </c:val>
          <c:extLst>
            <c:ext xmlns:c16="http://schemas.microsoft.com/office/drawing/2014/chart" uri="{C3380CC4-5D6E-409C-BE32-E72D297353CC}">
              <c16:uniqueId val="{00000000-088C-4A7A-AEF6-825362F16E25}"/>
            </c:ext>
          </c:extLst>
        </c:ser>
        <c:dLbls>
          <c:showLegendKey val="0"/>
          <c:showVal val="0"/>
          <c:showCatName val="0"/>
          <c:showSerName val="0"/>
          <c:showPercent val="0"/>
          <c:showBubbleSize val="0"/>
        </c:dLbls>
        <c:gapWidth val="219"/>
        <c:axId val="945015567"/>
        <c:axId val="1764603839"/>
      </c:barChart>
      <c:lineChart>
        <c:grouping val="standard"/>
        <c:varyColors val="0"/>
        <c:ser>
          <c:idx val="1"/>
          <c:order val="1"/>
          <c:tx>
            <c:v>Emissions per capita</c:v>
          </c:tx>
          <c:spPr>
            <a:ln w="28575" cap="rnd">
              <a:solidFill>
                <a:schemeClr val="accent2"/>
              </a:solidFill>
              <a:round/>
            </a:ln>
            <a:effectLst/>
          </c:spPr>
          <c:marker>
            <c:symbol val="none"/>
          </c:marker>
          <c:cat>
            <c:numRef>
              <c:extLst>
                <c:ext xmlns:c15="http://schemas.microsoft.com/office/drawing/2012/chart" uri="{02D57815-91ED-43cb-92C2-25804820EDAC}">
                  <c15:fullRef>
                    <c15:sqref>Reykjavík!$R$168:$AA$168</c15:sqref>
                  </c15:fullRef>
                </c:ext>
              </c:extLst>
              <c:f>Reykjavík!$U$168:$AA$168</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Reykjavík!$R$170:$AA$170</c15:sqref>
                  </c15:fullRef>
                </c:ext>
              </c:extLst>
              <c:f>Reykjavík!$U$170:$AA$170</c:f>
              <c:numCache>
                <c:formatCode>#,##0.00</c:formatCode>
                <c:ptCount val="7"/>
                <c:pt idx="0">
                  <c:v>4.168835761668185</c:v>
                </c:pt>
                <c:pt idx="1">
                  <c:v>3.8796353602400773</c:v>
                </c:pt>
                <c:pt idx="2">
                  <c:v>3.9466753069582032</c:v>
                </c:pt>
                <c:pt idx="3">
                  <c:v>3.7097124876543908</c:v>
                </c:pt>
                <c:pt idx="4">
                  <c:v>3.8009813035396229</c:v>
                </c:pt>
                <c:pt idx="5">
                  <c:v>3.6898047352863079</c:v>
                </c:pt>
                <c:pt idx="6">
                  <c:v>3.5385987314556315</c:v>
                </c:pt>
              </c:numCache>
            </c:numRef>
          </c:val>
          <c:smooth val="0"/>
          <c:extLst>
            <c:ext xmlns:c16="http://schemas.microsoft.com/office/drawing/2014/chart" uri="{C3380CC4-5D6E-409C-BE32-E72D297353CC}">
              <c16:uniqueId val="{00000001-088C-4A7A-AEF6-825362F16E25}"/>
            </c:ext>
          </c:extLst>
        </c:ser>
        <c:dLbls>
          <c:showLegendKey val="0"/>
          <c:showVal val="0"/>
          <c:showCatName val="0"/>
          <c:showSerName val="0"/>
          <c:showPercent val="0"/>
          <c:showBubbleSize val="0"/>
        </c:dLbls>
        <c:marker val="1"/>
        <c:smooth val="0"/>
        <c:axId val="1805127151"/>
        <c:axId val="946072991"/>
      </c:lineChart>
      <c:catAx>
        <c:axId val="9450155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764603839"/>
        <c:crosses val="autoZero"/>
        <c:auto val="1"/>
        <c:lblAlgn val="ctr"/>
        <c:lblOffset val="100"/>
        <c:noMultiLvlLbl val="0"/>
      </c:catAx>
      <c:valAx>
        <c:axId val="1764603839"/>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900" b="0" i="0" baseline="0">
                    <a:effectLst/>
                  </a:rPr>
                  <a:t>Emissions (t CO</a:t>
                </a:r>
                <a:r>
                  <a:rPr lang="en-US" sz="900" b="0" i="0" baseline="-25000">
                    <a:effectLst/>
                  </a:rPr>
                  <a:t>2</a:t>
                </a:r>
                <a:r>
                  <a:rPr lang="en-US" sz="900" b="0" i="0" baseline="0">
                    <a:effectLst/>
                  </a:rPr>
                  <a:t> eq)</a:t>
                </a:r>
                <a:endParaRPr lang="is-IS" sz="3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945015567"/>
        <c:crosses val="autoZero"/>
        <c:crossBetween val="between"/>
      </c:valAx>
      <c:valAx>
        <c:axId val="946072991"/>
        <c:scaling>
          <c:orientation val="minMax"/>
          <c:min val="0"/>
        </c:scaling>
        <c:delete val="0"/>
        <c:axPos val="r"/>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05127151"/>
        <c:crosses val="max"/>
        <c:crossBetween val="between"/>
      </c:valAx>
      <c:catAx>
        <c:axId val="1805127151"/>
        <c:scaling>
          <c:orientation val="minMax"/>
        </c:scaling>
        <c:delete val="1"/>
        <c:axPos val="b"/>
        <c:numFmt formatCode="General" sourceLinked="1"/>
        <c:majorTickMark val="out"/>
        <c:minorTickMark val="none"/>
        <c:tickLblPos val="nextTo"/>
        <c:crossAx val="946072991"/>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Basic</a:t>
            </a:r>
          </a:p>
        </c:rich>
      </c:tx>
      <c:layout>
        <c:manualLayout>
          <c:xMode val="edge"/>
          <c:yMode val="edge"/>
          <c:x val="0.46356233595800522"/>
          <c:y val="2.7777777777777776E-2"/>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8810367454068241"/>
          <c:y val="0.1875"/>
          <c:w val="0.46388888888888891"/>
          <c:h val="0.77314814814814814"/>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9520-485D-AAC0-23B3E10F0F1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9520-485D-AAC0-23B3E10F0F11}"/>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9520-485D-AAC0-23B3E10F0F11}"/>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9-9520-485D-AAC0-23B3E10F0F11}"/>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B-860B-4BD2-967B-D557DD90472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Dashboard!$B$11:$B$21</c15:sqref>
                  </c15:fullRef>
                </c:ext>
              </c:extLst>
              <c:f>(Dashboard!$B$11,Dashboard!$B$17:$B$18,Dashboard!$B$20:$B$21)</c:f>
              <c:strCache>
                <c:ptCount val="5"/>
                <c:pt idx="0">
                  <c:v>Energy</c:v>
                </c:pt>
                <c:pt idx="1">
                  <c:v>On-road</c:v>
                </c:pt>
                <c:pt idx="2">
                  <c:v>Waterborne navigation</c:v>
                </c:pt>
                <c:pt idx="3">
                  <c:v>Aviation</c:v>
                </c:pt>
                <c:pt idx="4">
                  <c:v>Waste</c:v>
                </c:pt>
              </c:strCache>
            </c:strRef>
          </c:cat>
          <c:val>
            <c:numRef>
              <c:extLst>
                <c:ext xmlns:c15="http://schemas.microsoft.com/office/drawing/2012/chart" uri="{02D57815-91ED-43cb-92C2-25804820EDAC}">
                  <c15:fullRef>
                    <c15:sqref>Dashboard!$C$11:$C$21</c15:sqref>
                  </c15:fullRef>
                </c:ext>
              </c:extLst>
              <c:f>(Dashboard!$C$11,Dashboard!$C$17:$C$18,Dashboard!$C$20:$C$21)</c:f>
              <c:numCache>
                <c:formatCode>0</c:formatCode>
                <c:ptCount val="5"/>
                <c:pt idx="0">
                  <c:v>25196.680063489999</c:v>
                </c:pt>
                <c:pt idx="1">
                  <c:v>267348.79204361769</c:v>
                </c:pt>
                <c:pt idx="2">
                  <c:v>48360</c:v>
                </c:pt>
                <c:pt idx="3">
                  <c:v>4239.9557036902197</c:v>
                </c:pt>
                <c:pt idx="4">
                  <c:v>80736.348080587748</c:v>
                </c:pt>
              </c:numCache>
            </c:numRef>
          </c:val>
          <c:extLst>
            <c:ext xmlns:c15="http://schemas.microsoft.com/office/drawing/2012/chart" uri="{02D57815-91ED-43cb-92C2-25804820EDAC}">
              <c15:categoryFilterExceptions>
                <c15:categoryFilterException>
                  <c15:sqref>Dashboard!$C$16</c15:sqref>
                  <c15:spPr xmlns:c15="http://schemas.microsoft.com/office/drawing/2012/chart">
                    <a:solidFill>
                      <a:schemeClr val="accent6"/>
                    </a:solidFill>
                    <a:ln w="19050">
                      <a:solidFill>
                        <a:schemeClr val="lt1"/>
                      </a:solidFill>
                    </a:ln>
                    <a:effectLst/>
                  </c15:spPr>
                  <c15:bubble3D val="0"/>
                </c15:categoryFilterException>
                <c15:categoryFilterException>
                  <c15:sqref>Dashboard!$C$19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A-9520-485D-AAC0-23B3E10F0F11}"/>
            </c:ext>
          </c:extLst>
        </c:ser>
        <c:dLbls>
          <c:showLegendKey val="0"/>
          <c:showVal val="0"/>
          <c:showCatName val="0"/>
          <c:showSerName val="0"/>
          <c:showPercent val="0"/>
          <c:showBubbleSize val="0"/>
          <c:showLeaderLines val="1"/>
        </c:dLbls>
        <c:firstSliceAng val="0"/>
      </c:pieChart>
      <c:spPr>
        <a:noFill/>
        <a:ln>
          <a:noFill/>
        </a:ln>
        <a:effectLst/>
      </c:spPr>
    </c:plotArea>
    <c:legend>
      <c:legendPos val="r"/>
      <c:layout>
        <c:manualLayout>
          <c:xMode val="edge"/>
          <c:yMode val="edge"/>
          <c:x val="0.7317629046369204"/>
          <c:y val="0.22117025124509618"/>
          <c:w val="0.23684948840968209"/>
          <c:h val="0.7134307151535386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Basic+</a:t>
            </a:r>
          </a:p>
        </c:rich>
      </c:tx>
      <c:layout>
        <c:manualLayout>
          <c:xMode val="edge"/>
          <c:yMode val="edge"/>
          <c:x val="0.64477256909353242"/>
          <c:y val="4.3160903697941642E-2"/>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4068773080374278"/>
          <c:y val="0.1551458940412086"/>
          <c:w val="0.46038847904175489"/>
          <c:h val="0.77308978327721678"/>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DDD-4CE6-AD7F-7CFF3C30068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E-561D-4CEE-862C-686C094BE23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7-EBA9-4790-8D4E-F76024A3A6B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5-0C3A-4C83-80B2-185FCE24ABE5}"/>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D9E2-489C-A702-5BB30188E35B}"/>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Mælaborð!$B$11:$B$35</c15:sqref>
                  </c15:fullRef>
                </c:ext>
              </c:extLst>
              <c:f>(Mælaborð!$B$11,Mælaborð!$B$16,Mælaborð!$B$21,Mælaborð!$B$30,Mælaborð!$B$35)</c:f>
              <c:strCache>
                <c:ptCount val="5"/>
                <c:pt idx="0">
                  <c:v>Orkunotkun</c:v>
                </c:pt>
                <c:pt idx="1">
                  <c:v>Samgöngur</c:v>
                </c:pt>
                <c:pt idx="2">
                  <c:v>Úrgangur</c:v>
                </c:pt>
                <c:pt idx="3">
                  <c:v>Landbúnaður og landnotkun</c:v>
                </c:pt>
                <c:pt idx="4">
                  <c:v>Efnanotkun</c:v>
                </c:pt>
              </c:strCache>
            </c:strRef>
          </c:cat>
          <c:val>
            <c:numRef>
              <c:extLst>
                <c:ext xmlns:c15="http://schemas.microsoft.com/office/drawing/2012/chart" uri="{02D57815-91ED-43cb-92C2-25804820EDAC}">
                  <c15:fullRef>
                    <c15:sqref>Mælaborð!$C$11:$C$35</c15:sqref>
                  </c15:fullRef>
                </c:ext>
              </c:extLst>
              <c:f>(Mælaborð!$C$11,Mælaborð!$C$16,Mælaborð!$C$21,Mælaborð!$C$30,Mælaborð!$C$35)</c:f>
              <c:numCache>
                <c:formatCode>0</c:formatCode>
                <c:ptCount val="5"/>
                <c:pt idx="0">
                  <c:v>25196.680063489999</c:v>
                </c:pt>
                <c:pt idx="1">
                  <c:v>319948.74774730793</c:v>
                </c:pt>
                <c:pt idx="2">
                  <c:v>80736.348080587748</c:v>
                </c:pt>
                <c:pt idx="3">
                  <c:v>33231.810757164916</c:v>
                </c:pt>
                <c:pt idx="4">
                  <c:v>31944.836513010301</c:v>
                </c:pt>
              </c:numCache>
            </c:numRef>
          </c:val>
          <c:extLst>
            <c:ext xmlns:c15="http://schemas.microsoft.com/office/drawing/2012/chart" uri="{02D57815-91ED-43cb-92C2-25804820EDAC}">
              <c15:categoryFilterExceptions>
                <c15:categoryFilterException>
                  <c15:sqref>Mælaborð!$C$14</c15:sqref>
                  <c15:spPr xmlns:c15="http://schemas.microsoft.com/office/drawing/2012/chart">
                    <a:solidFill>
                      <a:schemeClr val="accent4"/>
                    </a:solidFill>
                    <a:ln w="19050">
                      <a:solidFill>
                        <a:schemeClr val="lt1"/>
                      </a:solidFill>
                    </a:ln>
                    <a:effectLst/>
                  </c15:spPr>
                  <c15:bubble3D val="0"/>
                </c15:categoryFilterException>
                <c15:categoryFilterException>
                  <c15:sqref>Mælaborð!$C$18</c15:sqref>
                  <c15:spPr xmlns:c15="http://schemas.microsoft.com/office/drawing/2012/chart">
                    <a:solidFill>
                      <a:schemeClr val="accent2">
                        <a:lumMod val="60000"/>
                      </a:schemeClr>
                    </a:solidFill>
                    <a:ln w="19050">
                      <a:solidFill>
                        <a:schemeClr val="lt1"/>
                      </a:solidFill>
                    </a:ln>
                    <a:effectLst/>
                  </c15:spPr>
                  <c15:bubble3D val="0"/>
                </c15:categoryFilterException>
                <c15:categoryFilterException>
                  <c15:sqref>Mælaborð!$C$19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
                  <c15:sqref>Mælaborð!$C$26</c15:sqref>
                  <c15:spPr xmlns:c15="http://schemas.microsoft.com/office/drawing/2012/chart">
                    <a:solidFill>
                      <a:schemeClr val="accent4">
                        <a:lumMod val="80000"/>
                        <a:lumOff val="20000"/>
                      </a:schemeClr>
                    </a:solidFill>
                    <a:ln w="19050">
                      <a:solidFill>
                        <a:schemeClr val="lt1"/>
                      </a:solidFill>
                    </a:ln>
                    <a:effectLst/>
                  </c15:spPr>
                  <c15:bubble3D val="0"/>
                </c15:categoryFilterException>
                <c15:categoryFilterException>
                  <c15:sqref>Mælaborð!$C$27</c15:sqref>
                  <c15:spPr xmlns:c15="http://schemas.microsoft.com/office/drawing/2012/chart">
                    <a:solidFill>
                      <a:schemeClr val="accent5">
                        <a:lumMod val="80000"/>
                        <a:lumOff val="20000"/>
                      </a:schemeClr>
                    </a:solidFill>
                    <a:ln w="19050">
                      <a:solidFill>
                        <a:schemeClr val="lt1"/>
                      </a:solidFill>
                    </a:ln>
                    <a:effectLst/>
                  </c15:spPr>
                  <c15:bubble3D val="0"/>
                </c15:categoryFilterException>
                <c15:categoryFilterException>
                  <c15:sqref>Mælaborð!$C$28</c15:sqref>
                  <c15:spPr xmlns:c15="http://schemas.microsoft.com/office/drawing/2012/chart">
                    <a:solidFill>
                      <a:schemeClr val="accent3">
                        <a:lumMod val="80000"/>
                        <a:lumOff val="20000"/>
                      </a:schemeClr>
                    </a:solidFill>
                    <a:ln w="19050">
                      <a:solidFill>
                        <a:schemeClr val="lt1"/>
                      </a:solidFill>
                    </a:ln>
                    <a:effectLst/>
                  </c15:spPr>
                  <c15:bubble3D val="0"/>
                </c15:categoryFilterException>
                <c15:categoryFilterException>
                  <c15:sqref>Mælaborð!$C$31</c15:sqref>
                  <c15:spPr xmlns:c15="http://schemas.microsoft.com/office/drawing/2012/chart">
                    <a:solidFill>
                      <a:schemeClr val="accent6">
                        <a:lumMod val="80000"/>
                        <a:lumOff val="20000"/>
                      </a:schemeClr>
                    </a:solidFill>
                    <a:ln w="19050">
                      <a:solidFill>
                        <a:schemeClr val="lt1"/>
                      </a:solidFill>
                    </a:ln>
                    <a:effectLst/>
                  </c15:spPr>
                  <c15:bubble3D val="0"/>
                </c15:categoryFilterException>
                <c15:categoryFilterException>
                  <c15:sqref>Mælaborð!$C$32</c15:sqref>
                  <c15:spPr xmlns:c15="http://schemas.microsoft.com/office/drawing/2012/chart">
                    <a:solidFill>
                      <a:schemeClr val="accent1">
                        <a:lumMod val="80000"/>
                      </a:schemeClr>
                    </a:solidFill>
                    <a:ln w="19050">
                      <a:solidFill>
                        <a:schemeClr val="lt1"/>
                      </a:solidFill>
                    </a:ln>
                    <a:effectLst/>
                  </c15:spPr>
                  <c15:bubble3D val="0"/>
                </c15:categoryFilterException>
                <c15:categoryFilterException>
                  <c15:sqref>Mælaborð!$C$34</c15:sqref>
                  <c15:spPr xmlns:c15="http://schemas.microsoft.com/office/drawing/2012/chart">
                    <a:solidFill>
                      <a:schemeClr val="accent2">
                        <a:lumMod val="8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A-BDDD-4CE6-AD7F-7CFF3C300681}"/>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Losun</c:v>
          </c:tx>
          <c:spPr>
            <a:solidFill>
              <a:schemeClr val="accent1"/>
            </a:solidFill>
            <a:ln>
              <a:noFill/>
            </a:ln>
            <a:effectLst/>
          </c:spPr>
          <c:invertIfNegative val="0"/>
          <c:cat>
            <c:numRef>
              <c:extLst>
                <c:ext xmlns:c15="http://schemas.microsoft.com/office/drawing/2012/chart" uri="{02D57815-91ED-43cb-92C2-25804820EDAC}">
                  <c15:fullRef>
                    <c15:sqref>Reykjavík!$R$124:$AA$124</c15:sqref>
                  </c15:fullRef>
                </c:ext>
              </c:extLst>
              <c:f>Reykjavík!$U$124:$AA$124</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Reykjavík!$R$125:$AA$125</c15:sqref>
                  </c15:fullRef>
                </c:ext>
              </c:extLst>
              <c:f>Reykjavík!$U$125:$AA$125</c:f>
              <c:numCache>
                <c:formatCode>#,##0</c:formatCode>
                <c:ptCount val="7"/>
                <c:pt idx="0">
                  <c:v>445821.98354376038</c:v>
                </c:pt>
                <c:pt idx="1">
                  <c:v>410897.19854802109</c:v>
                </c:pt>
                <c:pt idx="2">
                  <c:v>434506.95741438027</c:v>
                </c:pt>
                <c:pt idx="3">
                  <c:v>416292.90356580273</c:v>
                </c:pt>
                <c:pt idx="4">
                  <c:v>447478.44946677727</c:v>
                </c:pt>
                <c:pt idx="5">
                  <c:v>445882.79524029628</c:v>
                </c:pt>
                <c:pt idx="6">
                  <c:v>425641.28316233394</c:v>
                </c:pt>
              </c:numCache>
            </c:numRef>
          </c:val>
          <c:extLst>
            <c:ext xmlns:c16="http://schemas.microsoft.com/office/drawing/2014/chart" uri="{C3380CC4-5D6E-409C-BE32-E72D297353CC}">
              <c16:uniqueId val="{00000000-CBA5-4A5C-9261-8EFD92EA7453}"/>
            </c:ext>
          </c:extLst>
        </c:ser>
        <c:dLbls>
          <c:showLegendKey val="0"/>
          <c:showVal val="0"/>
          <c:showCatName val="0"/>
          <c:showSerName val="0"/>
          <c:showPercent val="0"/>
          <c:showBubbleSize val="0"/>
        </c:dLbls>
        <c:gapWidth val="60"/>
        <c:axId val="1341811855"/>
        <c:axId val="1132602367"/>
      </c:barChart>
      <c:lineChart>
        <c:grouping val="standard"/>
        <c:varyColors val="0"/>
        <c:ser>
          <c:idx val="1"/>
          <c:order val="1"/>
          <c:tx>
            <c:v>Losun á íbúa</c:v>
          </c:tx>
          <c:spPr>
            <a:ln w="28575" cap="rnd">
              <a:solidFill>
                <a:schemeClr val="accent2"/>
              </a:solidFill>
              <a:round/>
            </a:ln>
            <a:effectLst/>
          </c:spPr>
          <c:marker>
            <c:symbol val="none"/>
          </c:marker>
          <c:cat>
            <c:numRef>
              <c:extLst>
                <c:ext xmlns:c15="http://schemas.microsoft.com/office/drawing/2012/chart" uri="{02D57815-91ED-43cb-92C2-25804820EDAC}">
                  <c15:fullRef>
                    <c15:sqref>Reykjavík!$R$124:$AA$124</c15:sqref>
                  </c15:fullRef>
                </c:ext>
              </c:extLst>
              <c:f>Reykjavík!$U$124:$AA$124</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Reykjavík!$R$126:$AA$126</c15:sqref>
                  </c15:fullRef>
                </c:ext>
              </c:extLst>
              <c:f>Reykjavík!$U$126:$AA$126</c:f>
              <c:numCache>
                <c:formatCode>#,##0.00</c:formatCode>
                <c:ptCount val="7"/>
                <c:pt idx="0">
                  <c:v>3.5563336275028745</c:v>
                </c:pt>
                <c:pt idx="1">
                  <c:v>3.2469414894469422</c:v>
                </c:pt>
                <c:pt idx="2">
                  <c:v>3.3784850121637531</c:v>
                </c:pt>
                <c:pt idx="3">
                  <c:v>3.186614182441577</c:v>
                </c:pt>
                <c:pt idx="4">
                  <c:v>3.3319814849571645</c:v>
                </c:pt>
                <c:pt idx="5">
                  <c:v>3.2571390655565349</c:v>
                </c:pt>
                <c:pt idx="6">
                  <c:v>3.0671985931047612</c:v>
                </c:pt>
              </c:numCache>
            </c:numRef>
          </c:val>
          <c:smooth val="0"/>
          <c:extLst>
            <c:ext xmlns:c16="http://schemas.microsoft.com/office/drawing/2014/chart" uri="{C3380CC4-5D6E-409C-BE32-E72D297353CC}">
              <c16:uniqueId val="{00000001-CBA5-4A5C-9261-8EFD92EA7453}"/>
            </c:ext>
          </c:extLst>
        </c:ser>
        <c:dLbls>
          <c:showLegendKey val="0"/>
          <c:showVal val="0"/>
          <c:showCatName val="0"/>
          <c:showSerName val="0"/>
          <c:showPercent val="0"/>
          <c:showBubbleSize val="0"/>
        </c:dLbls>
        <c:marker val="1"/>
        <c:smooth val="0"/>
        <c:axId val="1138432623"/>
        <c:axId val="3597487"/>
      </c:lineChart>
      <c:catAx>
        <c:axId val="13418118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32602367"/>
        <c:crosses val="autoZero"/>
        <c:auto val="1"/>
        <c:lblAlgn val="ctr"/>
        <c:lblOffset val="100"/>
        <c:noMultiLvlLbl val="0"/>
      </c:catAx>
      <c:valAx>
        <c:axId val="1132602367"/>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900" b="0" i="0" baseline="0">
                    <a:effectLst/>
                  </a:rPr>
                  <a:t>Losun (t CO</a:t>
                </a:r>
                <a:r>
                  <a:rPr lang="en-US" sz="900" b="0" i="0" baseline="-25000">
                    <a:effectLst/>
                  </a:rPr>
                  <a:t>2</a:t>
                </a:r>
                <a:r>
                  <a:rPr lang="en-US" sz="900" b="0" i="0" baseline="0">
                    <a:effectLst/>
                  </a:rPr>
                  <a:t> ígildi)</a:t>
                </a:r>
                <a:endParaRPr lang="is-IS" sz="3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41811855"/>
        <c:crosses val="autoZero"/>
        <c:crossBetween val="between"/>
      </c:valAx>
      <c:valAx>
        <c:axId val="3597487"/>
        <c:scaling>
          <c:orientation val="minMax"/>
          <c:min val="0"/>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baseline="0">
                    <a:solidFill>
                      <a:sysClr val="windowText" lastClr="000000">
                        <a:lumMod val="65000"/>
                        <a:lumOff val="35000"/>
                      </a:sysClr>
                    </a:solidFill>
                    <a:effectLst/>
                  </a:rPr>
                  <a:t>Losun (t CO</a:t>
                </a:r>
                <a:r>
                  <a:rPr lang="en-US" sz="1000" b="0" i="0" u="none" strike="noStrike" kern="1200" baseline="-25000">
                    <a:solidFill>
                      <a:sysClr val="windowText" lastClr="000000">
                        <a:lumMod val="65000"/>
                        <a:lumOff val="35000"/>
                      </a:sysClr>
                    </a:solidFill>
                    <a:effectLst/>
                  </a:rPr>
                  <a:t>2</a:t>
                </a:r>
                <a:r>
                  <a:rPr lang="en-US" sz="1000" b="0" i="0" u="none" strike="noStrike" kern="1200" baseline="0">
                    <a:solidFill>
                      <a:sysClr val="windowText" lastClr="000000">
                        <a:lumMod val="65000"/>
                        <a:lumOff val="35000"/>
                      </a:sysClr>
                    </a:solidFill>
                    <a:effectLst/>
                  </a:rPr>
                  <a:t> ígildi/íbúa)</a:t>
                </a:r>
                <a:endParaRPr lang="is-IS" sz="4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38432623"/>
        <c:crosses val="max"/>
        <c:crossBetween val="between"/>
      </c:valAx>
      <c:catAx>
        <c:axId val="1138432623"/>
        <c:scaling>
          <c:orientation val="minMax"/>
        </c:scaling>
        <c:delete val="1"/>
        <c:axPos val="b"/>
        <c:numFmt formatCode="General" sourceLinked="1"/>
        <c:majorTickMark val="out"/>
        <c:minorTickMark val="none"/>
        <c:tickLblPos val="nextTo"/>
        <c:crossAx val="3597487"/>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cat>
            <c:strRef>
              <c:f>Mælaborð!$D$10:$F$10</c:f>
              <c:strCache>
                <c:ptCount val="3"/>
                <c:pt idx="0">
                  <c:v>Umfang 1</c:v>
                </c:pt>
                <c:pt idx="1">
                  <c:v>Umfang 2</c:v>
                </c:pt>
                <c:pt idx="2">
                  <c:v>Umfang 3</c:v>
                </c:pt>
              </c:strCache>
            </c:strRef>
          </c:cat>
          <c:val>
            <c:numRef>
              <c:f>Mælaborð!$D$38:$F$38</c:f>
              <c:numCache>
                <c:formatCode>0</c:formatCode>
                <c:ptCount val="3"/>
                <c:pt idx="0">
                  <c:v>448730.55345176515</c:v>
                </c:pt>
                <c:pt idx="1">
                  <c:v>14705.370054438288</c:v>
                </c:pt>
                <c:pt idx="2">
                  <c:v>100450.36578108721</c:v>
                </c:pt>
              </c:numCache>
            </c:numRef>
          </c:val>
          <c:extLst>
            <c:ext xmlns:c16="http://schemas.microsoft.com/office/drawing/2014/chart" uri="{C3380CC4-5D6E-409C-BE32-E72D297353CC}">
              <c16:uniqueId val="{00000000-4682-41A2-A5BD-5FF2A07A2CAD}"/>
            </c:ext>
          </c:extLst>
        </c:ser>
        <c:dLbls>
          <c:showLegendKey val="0"/>
          <c:showVal val="0"/>
          <c:showCatName val="0"/>
          <c:showSerName val="0"/>
          <c:showPercent val="0"/>
          <c:showBubbleSize val="0"/>
        </c:dLbls>
        <c:gapWidth val="219"/>
        <c:overlap val="-27"/>
        <c:axId val="1805119551"/>
        <c:axId val="946072575"/>
      </c:barChart>
      <c:catAx>
        <c:axId val="18051195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946072575"/>
        <c:crosses val="autoZero"/>
        <c:auto val="1"/>
        <c:lblAlgn val="ctr"/>
        <c:lblOffset val="100"/>
        <c:noMultiLvlLbl val="0"/>
      </c:catAx>
      <c:valAx>
        <c:axId val="946072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rgbClr val="000000">
                        <a:lumMod val="65000"/>
                        <a:lumOff val="35000"/>
                      </a:srgbClr>
                    </a:solidFill>
                    <a:latin typeface="+mn-lt"/>
                    <a:ea typeface="+mn-ea"/>
                    <a:cs typeface="+mn-cs"/>
                  </a:defRPr>
                </a:pPr>
                <a:r>
                  <a:rPr lang="en-US" sz="900" b="0" i="0" baseline="0">
                    <a:effectLst/>
                  </a:rPr>
                  <a:t>Losun (t CO</a:t>
                </a:r>
                <a:r>
                  <a:rPr lang="en-US" sz="900" b="0" i="0" baseline="-25000">
                    <a:effectLst/>
                  </a:rPr>
                  <a:t>2</a:t>
                </a:r>
                <a:r>
                  <a:rPr lang="en-US" sz="900" b="0" i="0" baseline="0">
                    <a:effectLst/>
                  </a:rPr>
                  <a:t> ígildi)</a:t>
                </a:r>
                <a:endParaRPr lang="is-IS" sz="900">
                  <a:effectLst/>
                </a:endParaRPr>
              </a:p>
              <a:p>
                <a:pPr marL="0" marR="0" lvl="0" indent="0" algn="ctr" defTabSz="914400" rtl="0" eaLnBrk="1" fontAlgn="auto" latinLnBrk="0" hangingPunct="1">
                  <a:lnSpc>
                    <a:spcPct val="100000"/>
                  </a:lnSpc>
                  <a:spcBef>
                    <a:spcPts val="0"/>
                  </a:spcBef>
                  <a:spcAft>
                    <a:spcPts val="0"/>
                  </a:spcAft>
                  <a:buClrTx/>
                  <a:buSzTx/>
                  <a:buFontTx/>
                  <a:buNone/>
                  <a:tabLst/>
                  <a:defRPr>
                    <a:solidFill>
                      <a:srgbClr val="000000">
                        <a:lumMod val="65000"/>
                        <a:lumOff val="35000"/>
                      </a:srgbClr>
                    </a:solidFill>
                  </a:defRPr>
                </a:pPr>
                <a:endParaRPr lang="is-IS" sz="900"/>
              </a:p>
            </c:rich>
          </c:tx>
          <c:overlay val="0"/>
          <c:spPr>
            <a:noFill/>
            <a:ln>
              <a:noFill/>
            </a:ln>
            <a:effectLst/>
          </c:spPr>
          <c:txPr>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rgbClr val="000000">
                      <a:lumMod val="65000"/>
                      <a:lumOff val="35000"/>
                    </a:srgb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05119551"/>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Losun</c:v>
          </c:tx>
          <c:spPr>
            <a:solidFill>
              <a:schemeClr val="accent1"/>
            </a:solidFill>
            <a:ln>
              <a:noFill/>
            </a:ln>
            <a:effectLst/>
          </c:spPr>
          <c:invertIfNegative val="0"/>
          <c:cat>
            <c:numRef>
              <c:extLst>
                <c:ext xmlns:c15="http://schemas.microsoft.com/office/drawing/2012/chart" uri="{02D57815-91ED-43cb-92C2-25804820EDAC}">
                  <c15:fullRef>
                    <c15:sqref>Reykjavík!$R$129:$AA$129</c15:sqref>
                  </c15:fullRef>
                </c:ext>
              </c:extLst>
              <c:f>Reykjavík!$U$129:$AA$129</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Reykjavík!$R$130:$AA$130</c15:sqref>
                  </c15:fullRef>
                </c:ext>
              </c:extLst>
              <c:f>Reykjavík!$U$130:$AA$130</c:f>
              <c:numCache>
                <c:formatCode>#,##0</c:formatCode>
                <c:ptCount val="7"/>
                <c:pt idx="0">
                  <c:v>522605.25108272373</c:v>
                </c:pt>
                <c:pt idx="1">
                  <c:v>490963.97520302155</c:v>
                </c:pt>
                <c:pt idx="2">
                  <c:v>507581.91122789454</c:v>
                </c:pt>
                <c:pt idx="3">
                  <c:v>484629.41996219428</c:v>
                </c:pt>
                <c:pt idx="4">
                  <c:v>510464.18710276426</c:v>
                </c:pt>
                <c:pt idx="5">
                  <c:v>505112.12943228381</c:v>
                </c:pt>
                <c:pt idx="6">
                  <c:v>491058.4231615609</c:v>
                </c:pt>
              </c:numCache>
            </c:numRef>
          </c:val>
          <c:extLst>
            <c:ext xmlns:c16="http://schemas.microsoft.com/office/drawing/2014/chart" uri="{C3380CC4-5D6E-409C-BE32-E72D297353CC}">
              <c16:uniqueId val="{00000000-5C8A-442F-BB73-FE00D41D695E}"/>
            </c:ext>
          </c:extLst>
        </c:ser>
        <c:dLbls>
          <c:showLegendKey val="0"/>
          <c:showVal val="0"/>
          <c:showCatName val="0"/>
          <c:showSerName val="0"/>
          <c:showPercent val="0"/>
          <c:showBubbleSize val="0"/>
        </c:dLbls>
        <c:gapWidth val="60"/>
        <c:axId val="945015567"/>
        <c:axId val="1764603839"/>
      </c:barChart>
      <c:lineChart>
        <c:grouping val="standard"/>
        <c:varyColors val="0"/>
        <c:ser>
          <c:idx val="1"/>
          <c:order val="1"/>
          <c:tx>
            <c:v>Losun á íbúa</c:v>
          </c:tx>
          <c:spPr>
            <a:ln w="28575" cap="rnd">
              <a:solidFill>
                <a:schemeClr val="accent2"/>
              </a:solidFill>
              <a:round/>
            </a:ln>
            <a:effectLst/>
          </c:spPr>
          <c:marker>
            <c:symbol val="none"/>
          </c:marker>
          <c:cat>
            <c:numRef>
              <c:extLst>
                <c:ext xmlns:c15="http://schemas.microsoft.com/office/drawing/2012/chart" uri="{02D57815-91ED-43cb-92C2-25804820EDAC}">
                  <c15:fullRef>
                    <c15:sqref>Reykjavík!$R$129:$AA$129</c15:sqref>
                  </c15:fullRef>
                </c:ext>
              </c:extLst>
              <c:f>Reykjavík!$U$129:$AA$129</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Reykjavík!$R$131:$AA$131</c15:sqref>
                  </c15:fullRef>
                </c:ext>
              </c:extLst>
              <c:f>Reykjavík!$U$131:$AA$131</c:f>
              <c:numCache>
                <c:formatCode>#,##0.00</c:formatCode>
                <c:ptCount val="7"/>
                <c:pt idx="0">
                  <c:v>4.168835761668185</c:v>
                </c:pt>
                <c:pt idx="1">
                  <c:v>3.8796353602400773</c:v>
                </c:pt>
                <c:pt idx="2">
                  <c:v>3.9466753069582032</c:v>
                </c:pt>
                <c:pt idx="3">
                  <c:v>3.7097124876543908</c:v>
                </c:pt>
                <c:pt idx="4">
                  <c:v>3.8009813035396229</c:v>
                </c:pt>
                <c:pt idx="5">
                  <c:v>3.6898047352863079</c:v>
                </c:pt>
                <c:pt idx="6">
                  <c:v>3.5385987314556315</c:v>
                </c:pt>
              </c:numCache>
            </c:numRef>
          </c:val>
          <c:smooth val="0"/>
          <c:extLst>
            <c:ext xmlns:c16="http://schemas.microsoft.com/office/drawing/2014/chart" uri="{C3380CC4-5D6E-409C-BE32-E72D297353CC}">
              <c16:uniqueId val="{00000001-5C8A-442F-BB73-FE00D41D695E}"/>
            </c:ext>
          </c:extLst>
        </c:ser>
        <c:dLbls>
          <c:showLegendKey val="0"/>
          <c:showVal val="0"/>
          <c:showCatName val="0"/>
          <c:showSerName val="0"/>
          <c:showPercent val="0"/>
          <c:showBubbleSize val="0"/>
        </c:dLbls>
        <c:marker val="1"/>
        <c:smooth val="0"/>
        <c:axId val="1805127151"/>
        <c:axId val="946072991"/>
      </c:lineChart>
      <c:catAx>
        <c:axId val="9450155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764603839"/>
        <c:crosses val="autoZero"/>
        <c:auto val="1"/>
        <c:lblAlgn val="ctr"/>
        <c:lblOffset val="100"/>
        <c:noMultiLvlLbl val="0"/>
      </c:catAx>
      <c:valAx>
        <c:axId val="1764603839"/>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900" b="0" i="0" baseline="0">
                    <a:effectLst/>
                  </a:rPr>
                  <a:t>Losun (t CO</a:t>
                </a:r>
                <a:r>
                  <a:rPr lang="en-US" sz="900" b="0" i="0" baseline="-25000">
                    <a:effectLst/>
                  </a:rPr>
                  <a:t>2</a:t>
                </a:r>
                <a:r>
                  <a:rPr lang="en-US" sz="900" b="0" i="0" baseline="0">
                    <a:effectLst/>
                  </a:rPr>
                  <a:t> ígildi)</a:t>
                </a:r>
                <a:endParaRPr lang="is-IS" sz="3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945015567"/>
        <c:crosses val="autoZero"/>
        <c:crossBetween val="between"/>
      </c:valAx>
      <c:valAx>
        <c:axId val="946072991"/>
        <c:scaling>
          <c:orientation val="minMax"/>
          <c:min val="0"/>
        </c:scaling>
        <c:delete val="0"/>
        <c:axPos val="r"/>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05127151"/>
        <c:crosses val="max"/>
        <c:crossBetween val="between"/>
      </c:valAx>
      <c:catAx>
        <c:axId val="1805127151"/>
        <c:scaling>
          <c:orientation val="minMax"/>
        </c:scaling>
        <c:delete val="1"/>
        <c:axPos val="b"/>
        <c:numFmt formatCode="General" sourceLinked="1"/>
        <c:majorTickMark val="out"/>
        <c:minorTickMark val="none"/>
        <c:tickLblPos val="nextTo"/>
        <c:crossAx val="946072991"/>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Basic</a:t>
            </a:r>
          </a:p>
        </c:rich>
      </c:tx>
      <c:layout>
        <c:manualLayout>
          <c:xMode val="edge"/>
          <c:yMode val="edge"/>
          <c:x val="0.68644010856577553"/>
          <c:y val="3.7393246517262266E-2"/>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8810367454068241"/>
          <c:y val="0.1875"/>
          <c:w val="0.46388888888888891"/>
          <c:h val="0.77314814814814814"/>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8AA-47D1-B26F-D0B2E6CD2E8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7-78AA-47D1-B26F-D0B2E6CD2E8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9-78AA-47D1-B26F-D0B2E6CD2E85}"/>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9-F115-4838-8F32-906866A1143B}"/>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B-230B-4D92-A57F-277424E2143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Mælaborð!$B$11:$B$21</c15:sqref>
                  </c15:fullRef>
                </c:ext>
              </c:extLst>
              <c:f>(Mælaborð!$B$11,Mælaborð!$B$17:$B$18,Mælaborð!$B$20:$B$21)</c:f>
              <c:strCache>
                <c:ptCount val="5"/>
                <c:pt idx="0">
                  <c:v>Orkunotkun</c:v>
                </c:pt>
                <c:pt idx="1">
                  <c:v>Götuumferð</c:v>
                </c:pt>
                <c:pt idx="2">
                  <c:v>Skipaumferð</c:v>
                </c:pt>
                <c:pt idx="3">
                  <c:v>Flugumferð</c:v>
                </c:pt>
                <c:pt idx="4">
                  <c:v>Úrgangur</c:v>
                </c:pt>
              </c:strCache>
            </c:strRef>
          </c:cat>
          <c:val>
            <c:numRef>
              <c:extLst>
                <c:ext xmlns:c15="http://schemas.microsoft.com/office/drawing/2012/chart" uri="{02D57815-91ED-43cb-92C2-25804820EDAC}">
                  <c15:fullRef>
                    <c15:sqref>Mælaborð!$C$11:$C$21</c15:sqref>
                  </c15:fullRef>
                </c:ext>
              </c:extLst>
              <c:f>(Mælaborð!$C$11,Mælaborð!$C$17:$C$18,Mælaborð!$C$20:$C$21)</c:f>
              <c:numCache>
                <c:formatCode>0</c:formatCode>
                <c:ptCount val="5"/>
                <c:pt idx="0">
                  <c:v>25196.680063489999</c:v>
                </c:pt>
                <c:pt idx="1">
                  <c:v>267348.79204361769</c:v>
                </c:pt>
                <c:pt idx="2">
                  <c:v>48360</c:v>
                </c:pt>
                <c:pt idx="3">
                  <c:v>4239.9557036902197</c:v>
                </c:pt>
                <c:pt idx="4">
                  <c:v>80736.348080587748</c:v>
                </c:pt>
              </c:numCache>
            </c:numRef>
          </c:val>
          <c:extLst>
            <c:ext xmlns:c15="http://schemas.microsoft.com/office/drawing/2012/chart" uri="{02D57815-91ED-43cb-92C2-25804820EDAC}">
              <c15:categoryFilterExceptions>
                <c15:categoryFilterException>
                  <c15:sqref>Mælaborð!$C$15</c15:sqref>
                  <c15:spPr xmlns:c15="http://schemas.microsoft.com/office/drawing/2012/chart">
                    <a:solidFill>
                      <a:schemeClr val="accent5"/>
                    </a:solidFill>
                    <a:ln w="19050">
                      <a:solidFill>
                        <a:schemeClr val="lt1"/>
                      </a:solidFill>
                    </a:ln>
                    <a:effectLst/>
                  </c15:spPr>
                  <c15:bubble3D val="0"/>
                </c15:categoryFilterException>
                <c15:categoryFilterException>
                  <c15:sqref>Mælaborð!$C$16</c15:sqref>
                  <c15:spPr xmlns:c15="http://schemas.microsoft.com/office/drawing/2012/chart">
                    <a:solidFill>
                      <a:schemeClr val="accent6"/>
                    </a:solidFill>
                    <a:ln w="19050">
                      <a:solidFill>
                        <a:schemeClr val="lt1"/>
                      </a:solidFill>
                    </a:ln>
                    <a:effectLst/>
                  </c15:spPr>
                  <c15:bubble3D val="0"/>
                </c15:categoryFilterException>
                <c15:categoryFilterException>
                  <c15:sqref>Mælaborð!$C$19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0-9FB8-4ADA-AAC4-11CAA3728B1A}"/>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Basic+</a:t>
            </a:r>
          </a:p>
        </c:rich>
      </c:tx>
      <c:layout>
        <c:manualLayout>
          <c:xMode val="edge"/>
          <c:yMode val="edge"/>
          <c:x val="0.64477256909353242"/>
          <c:y val="4.3160903697941642E-2"/>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4068773080374278"/>
          <c:y val="0.1551458940412086"/>
          <c:w val="0.46038847904175489"/>
          <c:h val="0.77308978327721678"/>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EFE7-450C-A577-AB633B307D7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EFE7-450C-A577-AB633B307D7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EFE7-450C-A577-AB633B307D7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EFE7-450C-A577-AB633B307D78}"/>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EFE7-450C-A577-AB633B307D7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Samantekt!$B$11:$B$35</c15:sqref>
                  </c15:fullRef>
                </c:ext>
              </c:extLst>
              <c:f>(Samantekt!$B$11,Samantekt!$B$16,Samantekt!$B$21,Samantekt!$B$30,Samantekt!$B$35)</c:f>
              <c:strCache>
                <c:ptCount val="5"/>
                <c:pt idx="0">
                  <c:v>Orkunotkun</c:v>
                </c:pt>
                <c:pt idx="1">
                  <c:v>Samgöngur</c:v>
                </c:pt>
                <c:pt idx="2">
                  <c:v>Úrgangur</c:v>
                </c:pt>
                <c:pt idx="3">
                  <c:v>Landbúnaður og landnotkun</c:v>
                </c:pt>
                <c:pt idx="4">
                  <c:v>Efnanotkun</c:v>
                </c:pt>
              </c:strCache>
            </c:strRef>
          </c:cat>
          <c:val>
            <c:numRef>
              <c:extLst>
                <c:ext xmlns:c15="http://schemas.microsoft.com/office/drawing/2012/chart" uri="{02D57815-91ED-43cb-92C2-25804820EDAC}">
                  <c15:fullRef>
                    <c15:sqref>Samantekt!$C$11:$C$35</c15:sqref>
                  </c15:fullRef>
                </c:ext>
              </c:extLst>
              <c:f>(Samantekt!$C$11,Samantekt!$C$16,Samantekt!$C$21,Samantekt!$C$30,Samantekt!$C$35)</c:f>
              <c:numCache>
                <c:formatCode>0</c:formatCode>
                <c:ptCount val="5"/>
                <c:pt idx="0">
                  <c:v>25196.680063489999</c:v>
                </c:pt>
                <c:pt idx="1">
                  <c:v>319948.74774730793</c:v>
                </c:pt>
                <c:pt idx="2">
                  <c:v>80736.348080587748</c:v>
                </c:pt>
                <c:pt idx="3">
                  <c:v>33231.810757164916</c:v>
                </c:pt>
                <c:pt idx="4">
                  <c:v>31944.836513010301</c:v>
                </c:pt>
              </c:numCache>
            </c:numRef>
          </c:val>
          <c:extLst>
            <c:ext xmlns:c15="http://schemas.microsoft.com/office/drawing/2012/chart" uri="{02D57815-91ED-43cb-92C2-25804820EDAC}">
              <c15:categoryFilterExceptions>
                <c15:categoryFilterException>
                  <c15:sqref>Samantekt!$C$14</c15:sqref>
                  <c15:spPr xmlns:c15="http://schemas.microsoft.com/office/drawing/2012/chart">
                    <a:solidFill>
                      <a:schemeClr val="accent4"/>
                    </a:solidFill>
                    <a:ln w="19050">
                      <a:solidFill>
                        <a:schemeClr val="lt1"/>
                      </a:solidFill>
                    </a:ln>
                    <a:effectLst/>
                  </c15:spPr>
                  <c15:bubble3D val="0"/>
                </c15:categoryFilterException>
                <c15:categoryFilterException>
                  <c15:sqref>Samantekt!$C$18</c15:sqref>
                  <c15:spPr xmlns:c15="http://schemas.microsoft.com/office/drawing/2012/chart">
                    <a:solidFill>
                      <a:schemeClr val="accent2">
                        <a:lumMod val="60000"/>
                      </a:schemeClr>
                    </a:solidFill>
                    <a:ln w="19050">
                      <a:solidFill>
                        <a:schemeClr val="lt1"/>
                      </a:solidFill>
                    </a:ln>
                    <a:effectLst/>
                  </c15:spPr>
                  <c15:bubble3D val="0"/>
                </c15:categoryFilterException>
                <c15:categoryFilterException>
                  <c15:sqref>Samantekt!$C$19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
                  <c15:sqref>Samantekt!$C$26</c15:sqref>
                  <c15:spPr xmlns:c15="http://schemas.microsoft.com/office/drawing/2012/chart">
                    <a:solidFill>
                      <a:schemeClr val="accent4">
                        <a:lumMod val="80000"/>
                        <a:lumOff val="20000"/>
                      </a:schemeClr>
                    </a:solidFill>
                    <a:ln w="19050">
                      <a:solidFill>
                        <a:schemeClr val="lt1"/>
                      </a:solidFill>
                    </a:ln>
                    <a:effectLst/>
                  </c15:spPr>
                  <c15:bubble3D val="0"/>
                </c15:categoryFilterException>
                <c15:categoryFilterException>
                  <c15:sqref>Samantekt!$C$27</c15:sqref>
                  <c15:spPr xmlns:c15="http://schemas.microsoft.com/office/drawing/2012/chart">
                    <a:solidFill>
                      <a:schemeClr val="accent5">
                        <a:lumMod val="80000"/>
                        <a:lumOff val="20000"/>
                      </a:schemeClr>
                    </a:solidFill>
                    <a:ln w="19050">
                      <a:solidFill>
                        <a:schemeClr val="lt1"/>
                      </a:solidFill>
                    </a:ln>
                    <a:effectLst/>
                  </c15:spPr>
                  <c15:bubble3D val="0"/>
                </c15:categoryFilterException>
                <c15:categoryFilterException>
                  <c15:sqref>Samantekt!$C$28</c15:sqref>
                  <c15:spPr xmlns:c15="http://schemas.microsoft.com/office/drawing/2012/chart">
                    <a:solidFill>
                      <a:schemeClr val="accent3">
                        <a:lumMod val="80000"/>
                        <a:lumOff val="20000"/>
                      </a:schemeClr>
                    </a:solidFill>
                    <a:ln w="19050">
                      <a:solidFill>
                        <a:schemeClr val="lt1"/>
                      </a:solidFill>
                    </a:ln>
                    <a:effectLst/>
                  </c15:spPr>
                  <c15:bubble3D val="0"/>
                </c15:categoryFilterException>
                <c15:categoryFilterException>
                  <c15:sqref>Samantekt!$C$31</c15:sqref>
                  <c15:spPr xmlns:c15="http://schemas.microsoft.com/office/drawing/2012/chart">
                    <a:solidFill>
                      <a:schemeClr val="accent6">
                        <a:lumMod val="80000"/>
                        <a:lumOff val="20000"/>
                      </a:schemeClr>
                    </a:solidFill>
                    <a:ln w="19050">
                      <a:solidFill>
                        <a:schemeClr val="lt1"/>
                      </a:solidFill>
                    </a:ln>
                    <a:effectLst/>
                  </c15:spPr>
                  <c15:bubble3D val="0"/>
                </c15:categoryFilterException>
                <c15:categoryFilterException>
                  <c15:sqref>Samantekt!$C$32</c15:sqref>
                  <c15:spPr xmlns:c15="http://schemas.microsoft.com/office/drawing/2012/chart">
                    <a:solidFill>
                      <a:schemeClr val="accent1">
                        <a:lumMod val="80000"/>
                      </a:schemeClr>
                    </a:solidFill>
                    <a:ln w="19050">
                      <a:solidFill>
                        <a:schemeClr val="lt1"/>
                      </a:solidFill>
                    </a:ln>
                    <a:effectLst/>
                  </c15:spPr>
                  <c15:bubble3D val="0"/>
                </c15:categoryFilterException>
                <c15:categoryFilterException>
                  <c15:sqref>Samantekt!$C$34</c15:sqref>
                  <c15:spPr xmlns:c15="http://schemas.microsoft.com/office/drawing/2012/chart">
                    <a:solidFill>
                      <a:schemeClr val="accent2">
                        <a:lumMod val="8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A-EFE7-450C-A577-AB633B307D78}"/>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Losun</c:v>
          </c:tx>
          <c:spPr>
            <a:solidFill>
              <a:schemeClr val="accent1"/>
            </a:solidFill>
            <a:ln>
              <a:noFill/>
            </a:ln>
            <a:effectLst/>
          </c:spPr>
          <c:invertIfNegative val="0"/>
          <c:cat>
            <c:numRef>
              <c:extLst>
                <c:ext xmlns:c15="http://schemas.microsoft.com/office/drawing/2012/chart" uri="{02D57815-91ED-43cb-92C2-25804820EDAC}">
                  <c15:fullRef>
                    <c15:sqref>Reykjavík!$R$124:$AA$124</c15:sqref>
                  </c15:fullRef>
                </c:ext>
              </c:extLst>
              <c:f>Reykjavík!$U$124:$AA$124</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Reykjavík!$R$125:$AA$125</c15:sqref>
                  </c15:fullRef>
                </c:ext>
              </c:extLst>
              <c:f>Reykjavík!$U$125:$AA$125</c:f>
              <c:numCache>
                <c:formatCode>#,##0</c:formatCode>
                <c:ptCount val="7"/>
                <c:pt idx="0">
                  <c:v>445821.98354376038</c:v>
                </c:pt>
                <c:pt idx="1">
                  <c:v>410897.19854802109</c:v>
                </c:pt>
                <c:pt idx="2">
                  <c:v>434506.95741438027</c:v>
                </c:pt>
                <c:pt idx="3">
                  <c:v>416292.90356580273</c:v>
                </c:pt>
                <c:pt idx="4">
                  <c:v>447478.44946677727</c:v>
                </c:pt>
                <c:pt idx="5">
                  <c:v>445882.79524029628</c:v>
                </c:pt>
                <c:pt idx="6">
                  <c:v>425641.28316233394</c:v>
                </c:pt>
              </c:numCache>
            </c:numRef>
          </c:val>
          <c:extLst>
            <c:ext xmlns:c16="http://schemas.microsoft.com/office/drawing/2014/chart" uri="{C3380CC4-5D6E-409C-BE32-E72D297353CC}">
              <c16:uniqueId val="{00000000-850C-49A1-A98C-45BD9C06B9D0}"/>
            </c:ext>
          </c:extLst>
        </c:ser>
        <c:dLbls>
          <c:showLegendKey val="0"/>
          <c:showVal val="0"/>
          <c:showCatName val="0"/>
          <c:showSerName val="0"/>
          <c:showPercent val="0"/>
          <c:showBubbleSize val="0"/>
        </c:dLbls>
        <c:gapWidth val="60"/>
        <c:axId val="1341811855"/>
        <c:axId val="1132602367"/>
      </c:barChart>
      <c:lineChart>
        <c:grouping val="standard"/>
        <c:varyColors val="0"/>
        <c:ser>
          <c:idx val="1"/>
          <c:order val="1"/>
          <c:tx>
            <c:v>Losun á íbúa</c:v>
          </c:tx>
          <c:spPr>
            <a:ln w="28575" cap="rnd">
              <a:solidFill>
                <a:schemeClr val="accent2"/>
              </a:solidFill>
              <a:round/>
            </a:ln>
            <a:effectLst/>
          </c:spPr>
          <c:marker>
            <c:symbol val="none"/>
          </c:marker>
          <c:cat>
            <c:numRef>
              <c:extLst>
                <c:ext xmlns:c15="http://schemas.microsoft.com/office/drawing/2012/chart" uri="{02D57815-91ED-43cb-92C2-25804820EDAC}">
                  <c15:fullRef>
                    <c15:sqref>Reykjavík!$R$124:$AA$124</c15:sqref>
                  </c15:fullRef>
                </c:ext>
              </c:extLst>
              <c:f>Reykjavík!$U$124:$AA$124</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Reykjavík!$R$126:$AA$126</c15:sqref>
                  </c15:fullRef>
                </c:ext>
              </c:extLst>
              <c:f>Reykjavík!$U$126:$AA$126</c:f>
              <c:numCache>
                <c:formatCode>#,##0.00</c:formatCode>
                <c:ptCount val="7"/>
                <c:pt idx="0">
                  <c:v>3.5563336275028745</c:v>
                </c:pt>
                <c:pt idx="1">
                  <c:v>3.2469414894469422</c:v>
                </c:pt>
                <c:pt idx="2">
                  <c:v>3.3784850121637531</c:v>
                </c:pt>
                <c:pt idx="3">
                  <c:v>3.186614182441577</c:v>
                </c:pt>
                <c:pt idx="4">
                  <c:v>3.3319814849571645</c:v>
                </c:pt>
                <c:pt idx="5">
                  <c:v>3.2571390655565349</c:v>
                </c:pt>
                <c:pt idx="6">
                  <c:v>3.0671985931047612</c:v>
                </c:pt>
              </c:numCache>
            </c:numRef>
          </c:val>
          <c:smooth val="0"/>
          <c:extLst>
            <c:ext xmlns:c16="http://schemas.microsoft.com/office/drawing/2014/chart" uri="{C3380CC4-5D6E-409C-BE32-E72D297353CC}">
              <c16:uniqueId val="{00000001-850C-49A1-A98C-45BD9C06B9D0}"/>
            </c:ext>
          </c:extLst>
        </c:ser>
        <c:dLbls>
          <c:showLegendKey val="0"/>
          <c:showVal val="0"/>
          <c:showCatName val="0"/>
          <c:showSerName val="0"/>
          <c:showPercent val="0"/>
          <c:showBubbleSize val="0"/>
        </c:dLbls>
        <c:marker val="1"/>
        <c:smooth val="0"/>
        <c:axId val="1138432623"/>
        <c:axId val="3597487"/>
      </c:lineChart>
      <c:catAx>
        <c:axId val="13418118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32602367"/>
        <c:crosses val="autoZero"/>
        <c:auto val="1"/>
        <c:lblAlgn val="ctr"/>
        <c:lblOffset val="100"/>
        <c:noMultiLvlLbl val="0"/>
      </c:catAx>
      <c:valAx>
        <c:axId val="1132602367"/>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900" b="0" i="0" baseline="0">
                    <a:effectLst/>
                  </a:rPr>
                  <a:t>Losun (t CO</a:t>
                </a:r>
                <a:r>
                  <a:rPr lang="en-US" sz="900" b="0" i="0" baseline="-25000">
                    <a:effectLst/>
                  </a:rPr>
                  <a:t>2</a:t>
                </a:r>
                <a:r>
                  <a:rPr lang="en-US" sz="900" b="0" i="0" baseline="0">
                    <a:effectLst/>
                  </a:rPr>
                  <a:t> ígildi)</a:t>
                </a:r>
                <a:endParaRPr lang="is-IS" sz="3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41811855"/>
        <c:crosses val="autoZero"/>
        <c:crossBetween val="between"/>
      </c:valAx>
      <c:valAx>
        <c:axId val="3597487"/>
        <c:scaling>
          <c:orientation val="minMax"/>
          <c:min val="0"/>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baseline="0">
                    <a:solidFill>
                      <a:sysClr val="windowText" lastClr="000000">
                        <a:lumMod val="65000"/>
                        <a:lumOff val="35000"/>
                      </a:sysClr>
                    </a:solidFill>
                    <a:effectLst/>
                  </a:rPr>
                  <a:t>Losun (t CO</a:t>
                </a:r>
                <a:r>
                  <a:rPr lang="en-US" sz="1000" b="0" i="0" u="none" strike="noStrike" kern="1200" baseline="-25000">
                    <a:solidFill>
                      <a:sysClr val="windowText" lastClr="000000">
                        <a:lumMod val="65000"/>
                        <a:lumOff val="35000"/>
                      </a:sysClr>
                    </a:solidFill>
                    <a:effectLst/>
                  </a:rPr>
                  <a:t>2</a:t>
                </a:r>
                <a:r>
                  <a:rPr lang="en-US" sz="1000" b="0" i="0" u="none" strike="noStrike" kern="1200" baseline="0">
                    <a:solidFill>
                      <a:sysClr val="windowText" lastClr="000000">
                        <a:lumMod val="65000"/>
                        <a:lumOff val="35000"/>
                      </a:sysClr>
                    </a:solidFill>
                    <a:effectLst/>
                  </a:rPr>
                  <a:t> ígildi/íbúa)</a:t>
                </a:r>
                <a:endParaRPr lang="is-IS" sz="4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38432623"/>
        <c:crosses val="max"/>
        <c:crossBetween val="between"/>
      </c:valAx>
      <c:catAx>
        <c:axId val="1138432623"/>
        <c:scaling>
          <c:orientation val="minMax"/>
        </c:scaling>
        <c:delete val="1"/>
        <c:axPos val="b"/>
        <c:numFmt formatCode="General" sourceLinked="1"/>
        <c:majorTickMark val="out"/>
        <c:minorTickMark val="none"/>
        <c:tickLblPos val="nextTo"/>
        <c:crossAx val="3597487"/>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Losun</c:v>
          </c:tx>
          <c:spPr>
            <a:solidFill>
              <a:schemeClr val="accent1"/>
            </a:solidFill>
            <a:ln>
              <a:noFill/>
            </a:ln>
            <a:effectLst/>
          </c:spPr>
          <c:invertIfNegative val="0"/>
          <c:cat>
            <c:numRef>
              <c:extLst>
                <c:ext xmlns:c15="http://schemas.microsoft.com/office/drawing/2012/chart" uri="{02D57815-91ED-43cb-92C2-25804820EDAC}">
                  <c15:fullRef>
                    <c15:sqref>Reykjavík!$R$129:$AA$129</c15:sqref>
                  </c15:fullRef>
                </c:ext>
              </c:extLst>
              <c:f>Reykjavík!$U$129:$AA$129</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Reykjavík!$R$130:$AA$130</c15:sqref>
                  </c15:fullRef>
                </c:ext>
              </c:extLst>
              <c:f>Reykjavík!$U$130:$AA$130</c:f>
              <c:numCache>
                <c:formatCode>#,##0</c:formatCode>
                <c:ptCount val="7"/>
                <c:pt idx="0">
                  <c:v>522605.25108272373</c:v>
                </c:pt>
                <c:pt idx="1">
                  <c:v>490963.97520302155</c:v>
                </c:pt>
                <c:pt idx="2">
                  <c:v>507581.91122789454</c:v>
                </c:pt>
                <c:pt idx="3">
                  <c:v>484629.41996219428</c:v>
                </c:pt>
                <c:pt idx="4">
                  <c:v>510464.18710276426</c:v>
                </c:pt>
                <c:pt idx="5">
                  <c:v>505112.12943228381</c:v>
                </c:pt>
                <c:pt idx="6">
                  <c:v>491058.4231615609</c:v>
                </c:pt>
              </c:numCache>
            </c:numRef>
          </c:val>
          <c:extLst>
            <c:ext xmlns:c16="http://schemas.microsoft.com/office/drawing/2014/chart" uri="{C3380CC4-5D6E-409C-BE32-E72D297353CC}">
              <c16:uniqueId val="{00000000-E882-4AFA-8114-8C3D7E52BBAE}"/>
            </c:ext>
          </c:extLst>
        </c:ser>
        <c:dLbls>
          <c:showLegendKey val="0"/>
          <c:showVal val="0"/>
          <c:showCatName val="0"/>
          <c:showSerName val="0"/>
          <c:showPercent val="0"/>
          <c:showBubbleSize val="0"/>
        </c:dLbls>
        <c:gapWidth val="60"/>
        <c:axId val="945015567"/>
        <c:axId val="1764603839"/>
      </c:barChart>
      <c:lineChart>
        <c:grouping val="standard"/>
        <c:varyColors val="0"/>
        <c:ser>
          <c:idx val="1"/>
          <c:order val="1"/>
          <c:tx>
            <c:v>Losun á íbúa</c:v>
          </c:tx>
          <c:spPr>
            <a:ln w="28575" cap="rnd">
              <a:solidFill>
                <a:schemeClr val="accent2"/>
              </a:solidFill>
              <a:round/>
            </a:ln>
            <a:effectLst/>
          </c:spPr>
          <c:marker>
            <c:symbol val="none"/>
          </c:marker>
          <c:cat>
            <c:numRef>
              <c:extLst>
                <c:ext xmlns:c15="http://schemas.microsoft.com/office/drawing/2012/chart" uri="{02D57815-91ED-43cb-92C2-25804820EDAC}">
                  <c15:fullRef>
                    <c15:sqref>Reykjavík!$R$129:$AA$129</c15:sqref>
                  </c15:fullRef>
                </c:ext>
              </c:extLst>
              <c:f>Reykjavík!$U$129:$AA$129</c:f>
              <c:numCache>
                <c:formatCode>General</c:formatCode>
                <c:ptCount val="7"/>
                <c:pt idx="0">
                  <c:v>2019</c:v>
                </c:pt>
                <c:pt idx="1">
                  <c:v>2020</c:v>
                </c:pt>
                <c:pt idx="2">
                  <c:v>2021</c:v>
                </c:pt>
                <c:pt idx="3">
                  <c:v>2022</c:v>
                </c:pt>
                <c:pt idx="4">
                  <c:v>2023</c:v>
                </c:pt>
                <c:pt idx="5">
                  <c:v>2024</c:v>
                </c:pt>
                <c:pt idx="6">
                  <c:v>2025</c:v>
                </c:pt>
              </c:numCache>
            </c:numRef>
          </c:cat>
          <c:val>
            <c:numRef>
              <c:extLst>
                <c:ext xmlns:c15="http://schemas.microsoft.com/office/drawing/2012/chart" uri="{02D57815-91ED-43cb-92C2-25804820EDAC}">
                  <c15:fullRef>
                    <c15:sqref>Reykjavík!$R$131:$AA$131</c15:sqref>
                  </c15:fullRef>
                </c:ext>
              </c:extLst>
              <c:f>Reykjavík!$U$131:$AA$131</c:f>
              <c:numCache>
                <c:formatCode>#,##0.00</c:formatCode>
                <c:ptCount val="7"/>
                <c:pt idx="0">
                  <c:v>4.168835761668185</c:v>
                </c:pt>
                <c:pt idx="1">
                  <c:v>3.8796353602400773</c:v>
                </c:pt>
                <c:pt idx="2">
                  <c:v>3.9466753069582032</c:v>
                </c:pt>
                <c:pt idx="3">
                  <c:v>3.7097124876543908</c:v>
                </c:pt>
                <c:pt idx="4">
                  <c:v>3.8009813035396229</c:v>
                </c:pt>
                <c:pt idx="5">
                  <c:v>3.6898047352863079</c:v>
                </c:pt>
                <c:pt idx="6">
                  <c:v>3.5385987314556315</c:v>
                </c:pt>
              </c:numCache>
            </c:numRef>
          </c:val>
          <c:smooth val="0"/>
          <c:extLst>
            <c:ext xmlns:c16="http://schemas.microsoft.com/office/drawing/2014/chart" uri="{C3380CC4-5D6E-409C-BE32-E72D297353CC}">
              <c16:uniqueId val="{00000001-E882-4AFA-8114-8C3D7E52BBAE}"/>
            </c:ext>
          </c:extLst>
        </c:ser>
        <c:dLbls>
          <c:showLegendKey val="0"/>
          <c:showVal val="0"/>
          <c:showCatName val="0"/>
          <c:showSerName val="0"/>
          <c:showPercent val="0"/>
          <c:showBubbleSize val="0"/>
        </c:dLbls>
        <c:marker val="1"/>
        <c:smooth val="0"/>
        <c:axId val="1805127151"/>
        <c:axId val="946072991"/>
      </c:lineChart>
      <c:catAx>
        <c:axId val="9450155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764603839"/>
        <c:crosses val="autoZero"/>
        <c:auto val="1"/>
        <c:lblAlgn val="ctr"/>
        <c:lblOffset val="100"/>
        <c:noMultiLvlLbl val="0"/>
      </c:catAx>
      <c:valAx>
        <c:axId val="1764603839"/>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900" b="0" i="0" baseline="0">
                    <a:effectLst/>
                  </a:rPr>
                  <a:t>Losun (t CO</a:t>
                </a:r>
                <a:r>
                  <a:rPr lang="en-US" sz="900" b="0" i="0" baseline="-25000">
                    <a:effectLst/>
                  </a:rPr>
                  <a:t>2</a:t>
                </a:r>
                <a:r>
                  <a:rPr lang="en-US" sz="900" b="0" i="0" baseline="0">
                    <a:effectLst/>
                  </a:rPr>
                  <a:t> ígildi)</a:t>
                </a:r>
                <a:endParaRPr lang="is-IS" sz="3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945015567"/>
        <c:crosses val="autoZero"/>
        <c:crossBetween val="between"/>
      </c:valAx>
      <c:valAx>
        <c:axId val="946072991"/>
        <c:scaling>
          <c:orientation val="minMax"/>
          <c:min val="0"/>
        </c:scaling>
        <c:delete val="0"/>
        <c:axPos val="r"/>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05127151"/>
        <c:crosses val="max"/>
        <c:crossBetween val="between"/>
      </c:valAx>
      <c:catAx>
        <c:axId val="1805127151"/>
        <c:scaling>
          <c:orientation val="minMax"/>
        </c:scaling>
        <c:delete val="1"/>
        <c:axPos val="b"/>
        <c:numFmt formatCode="General" sourceLinked="1"/>
        <c:majorTickMark val="out"/>
        <c:minorTickMark val="none"/>
        <c:tickLblPos val="nextTo"/>
        <c:crossAx val="946072991"/>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Basic</a:t>
            </a:r>
          </a:p>
        </c:rich>
      </c:tx>
      <c:layout>
        <c:manualLayout>
          <c:xMode val="edge"/>
          <c:yMode val="edge"/>
          <c:x val="0.68644010856577553"/>
          <c:y val="3.7393246517262266E-2"/>
        </c:manualLayout>
      </c:layout>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8810367454068241"/>
          <c:y val="0.1875"/>
          <c:w val="0.46388888888888891"/>
          <c:h val="0.77314814814814814"/>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F4EB-42E4-A9A0-016EF615C95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F4EB-42E4-A9A0-016EF615C95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F4EB-42E4-A9A0-016EF615C95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F4EB-42E4-A9A0-016EF615C958}"/>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F4EB-42E4-A9A0-016EF615C958}"/>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Samantekt!$B$11:$B$21</c15:sqref>
                  </c15:fullRef>
                </c:ext>
              </c:extLst>
              <c:f>(Samantekt!$B$11,Samantekt!$B$17:$B$18,Samantekt!$B$20:$B$21)</c:f>
              <c:strCache>
                <c:ptCount val="5"/>
                <c:pt idx="0">
                  <c:v>Orkunotkun</c:v>
                </c:pt>
                <c:pt idx="1">
                  <c:v>Götuumferð</c:v>
                </c:pt>
                <c:pt idx="2">
                  <c:v>Skipaumferð</c:v>
                </c:pt>
                <c:pt idx="3">
                  <c:v>Flugumferð</c:v>
                </c:pt>
                <c:pt idx="4">
                  <c:v>Úrgangur</c:v>
                </c:pt>
              </c:strCache>
            </c:strRef>
          </c:cat>
          <c:val>
            <c:numRef>
              <c:extLst>
                <c:ext xmlns:c15="http://schemas.microsoft.com/office/drawing/2012/chart" uri="{02D57815-91ED-43cb-92C2-25804820EDAC}">
                  <c15:fullRef>
                    <c15:sqref>Samantekt!$C$11:$C$21</c15:sqref>
                  </c15:fullRef>
                </c:ext>
              </c:extLst>
              <c:f>(Samantekt!$C$11,Samantekt!$C$17:$C$18,Samantekt!$C$20:$C$21)</c:f>
              <c:numCache>
                <c:formatCode>0</c:formatCode>
                <c:ptCount val="5"/>
                <c:pt idx="0">
                  <c:v>25196.680063489999</c:v>
                </c:pt>
                <c:pt idx="1">
                  <c:v>267348.79204361769</c:v>
                </c:pt>
                <c:pt idx="2">
                  <c:v>48360</c:v>
                </c:pt>
                <c:pt idx="3">
                  <c:v>4239.9557036902197</c:v>
                </c:pt>
                <c:pt idx="4">
                  <c:v>80736.348080587748</c:v>
                </c:pt>
              </c:numCache>
            </c:numRef>
          </c:val>
          <c:extLst>
            <c:ext xmlns:c15="http://schemas.microsoft.com/office/drawing/2012/chart" uri="{02D57815-91ED-43cb-92C2-25804820EDAC}">
              <c15:categoryFilterExceptions>
                <c15:categoryFilterException>
                  <c15:sqref>Samantekt!$C$15</c15:sqref>
                  <c15:spPr xmlns:c15="http://schemas.microsoft.com/office/drawing/2012/chart">
                    <a:solidFill>
                      <a:schemeClr val="accent5"/>
                    </a:solidFill>
                    <a:ln w="19050">
                      <a:solidFill>
                        <a:schemeClr val="lt1"/>
                      </a:solidFill>
                    </a:ln>
                    <a:effectLst/>
                  </c15:spPr>
                  <c15:bubble3D val="0"/>
                </c15:categoryFilterException>
                <c15:categoryFilterException>
                  <c15:sqref>Samantekt!$C$16</c15:sqref>
                  <c15:spPr xmlns:c15="http://schemas.microsoft.com/office/drawing/2012/chart">
                    <a:solidFill>
                      <a:schemeClr val="accent6"/>
                    </a:solidFill>
                    <a:ln w="19050">
                      <a:solidFill>
                        <a:schemeClr val="lt1"/>
                      </a:solidFill>
                    </a:ln>
                    <a:effectLst/>
                  </c15:spPr>
                  <c15:bubble3D val="0"/>
                </c15:categoryFilterException>
                <c15:categoryFilterException>
                  <c15:sqref>Samantekt!$C$19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A-F4EB-42E4-A9A0-016EF615C958}"/>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37022348926061"/>
          <c:y val="0.1714359135113068"/>
          <c:w val="0.46038847904175489"/>
          <c:h val="0.77308978327721678"/>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D396-4692-B7AD-1296FA647BEC}"/>
              </c:ext>
            </c:extLst>
          </c:dPt>
          <c:dPt>
            <c:idx val="1"/>
            <c:bubble3D val="0"/>
            <c:spPr>
              <a:solidFill>
                <a:srgbClr val="0367E1"/>
              </a:solidFill>
              <a:ln w="19050">
                <a:solidFill>
                  <a:schemeClr val="lt1"/>
                </a:solidFill>
              </a:ln>
              <a:effectLst/>
            </c:spPr>
            <c:extLst>
              <c:ext xmlns:c16="http://schemas.microsoft.com/office/drawing/2014/chart" uri="{C3380CC4-5D6E-409C-BE32-E72D297353CC}">
                <c16:uniqueId val="{00000003-D396-4692-B7AD-1296FA647BEC}"/>
              </c:ext>
            </c:extLst>
          </c:dPt>
          <c:dPt>
            <c:idx val="2"/>
            <c:bubble3D val="0"/>
            <c:spPr>
              <a:solidFill>
                <a:srgbClr val="64D68E"/>
              </a:solidFill>
              <a:ln w="19050">
                <a:solidFill>
                  <a:schemeClr val="lt1"/>
                </a:solidFill>
              </a:ln>
              <a:effectLst/>
            </c:spPr>
            <c:extLst>
              <c:ext xmlns:c16="http://schemas.microsoft.com/office/drawing/2014/chart" uri="{C3380CC4-5D6E-409C-BE32-E72D297353CC}">
                <c16:uniqueId val="{00000005-D396-4692-B7AD-1296FA647BEC}"/>
              </c:ext>
            </c:extLst>
          </c:dPt>
          <c:dPt>
            <c:idx val="3"/>
            <c:bubble3D val="0"/>
            <c:spPr>
              <a:solidFill>
                <a:srgbClr val="F77257"/>
              </a:solidFill>
              <a:ln w="19050">
                <a:solidFill>
                  <a:schemeClr val="lt1"/>
                </a:solidFill>
              </a:ln>
              <a:effectLst/>
            </c:spPr>
            <c:extLst>
              <c:ext xmlns:c16="http://schemas.microsoft.com/office/drawing/2014/chart" uri="{C3380CC4-5D6E-409C-BE32-E72D297353CC}">
                <c16:uniqueId val="{00000007-D396-4692-B7AD-1296FA647BEC}"/>
              </c:ext>
            </c:extLst>
          </c:dPt>
          <c:dPt>
            <c:idx val="4"/>
            <c:bubble3D val="0"/>
            <c:spPr>
              <a:solidFill>
                <a:srgbClr val="FFD659"/>
              </a:solidFill>
              <a:ln w="19050">
                <a:solidFill>
                  <a:schemeClr val="lt1"/>
                </a:solidFill>
              </a:ln>
              <a:effectLst/>
            </c:spPr>
            <c:extLst>
              <c:ext xmlns:c16="http://schemas.microsoft.com/office/drawing/2014/chart" uri="{C3380CC4-5D6E-409C-BE32-E72D297353CC}">
                <c16:uniqueId val="{0000001C-D396-4692-B7AD-1296FA647BEC}"/>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Samantekt!$B$11:$B$34</c15:sqref>
                  </c15:fullRef>
                </c:ext>
              </c:extLst>
              <c:f>(Samantekt!$B$11,Samantekt!$B$16,Samantekt!$B$21,Samantekt!$B$30,Samantekt!$B$34)</c:f>
              <c:strCache>
                <c:ptCount val="5"/>
                <c:pt idx="0">
                  <c:v>Orkunotkun</c:v>
                </c:pt>
                <c:pt idx="1">
                  <c:v>Samgöngur</c:v>
                </c:pt>
                <c:pt idx="2">
                  <c:v>Úrgangur</c:v>
                </c:pt>
                <c:pt idx="3">
                  <c:v>Landbúnaður og landnotkun</c:v>
                </c:pt>
                <c:pt idx="4">
                  <c:v>Efnanotkun og iðnaður</c:v>
                </c:pt>
              </c:strCache>
            </c:strRef>
          </c:cat>
          <c:val>
            <c:numRef>
              <c:extLst>
                <c:ext xmlns:c15="http://schemas.microsoft.com/office/drawing/2012/chart" uri="{02D57815-91ED-43cb-92C2-25804820EDAC}">
                  <c15:fullRef>
                    <c15:sqref>Samantekt!$C$11:$C$34</c15:sqref>
                  </c15:fullRef>
                </c:ext>
              </c:extLst>
              <c:f>(Samantekt!$C$11,Samantekt!$C$16,Samantekt!$C$21,Samantekt!$C$30,Samantekt!$C$34)</c:f>
              <c:numCache>
                <c:formatCode>0</c:formatCode>
                <c:ptCount val="5"/>
                <c:pt idx="0">
                  <c:v>25196.680063489999</c:v>
                </c:pt>
                <c:pt idx="1">
                  <c:v>319948.74774730793</c:v>
                </c:pt>
                <c:pt idx="2">
                  <c:v>80736.348080587748</c:v>
                </c:pt>
                <c:pt idx="3">
                  <c:v>33231.810757164916</c:v>
                </c:pt>
                <c:pt idx="4">
                  <c:v>104772.70263874003</c:v>
                </c:pt>
              </c:numCache>
            </c:numRef>
          </c:val>
          <c:extLst>
            <c:ext xmlns:c15="http://schemas.microsoft.com/office/drawing/2012/chart" uri="{02D57815-91ED-43cb-92C2-25804820EDAC}">
              <c15:categoryFilterExceptions>
                <c15:categoryFilterException>
                  <c15:sqref>Samantekt!$C$14</c15:sqref>
                  <c15:spPr xmlns:c15="http://schemas.microsoft.com/office/drawing/2012/chart">
                    <a:solidFill>
                      <a:schemeClr val="accent4"/>
                    </a:solidFill>
                    <a:ln w="19050">
                      <a:solidFill>
                        <a:schemeClr val="lt1"/>
                      </a:solidFill>
                    </a:ln>
                    <a:effectLst/>
                  </c15:spPr>
                  <c15:bubble3D val="0"/>
                </c15:categoryFilterException>
                <c15:categoryFilterException>
                  <c15:sqref>Samantekt!$C$18</c15:sqref>
                  <c15:spPr xmlns:c15="http://schemas.microsoft.com/office/drawing/2012/chart">
                    <a:solidFill>
                      <a:schemeClr val="accent2">
                        <a:lumMod val="60000"/>
                      </a:schemeClr>
                    </a:solidFill>
                    <a:ln w="19050">
                      <a:solidFill>
                        <a:schemeClr val="lt1"/>
                      </a:solidFill>
                    </a:ln>
                    <a:effectLst/>
                  </c15:spPr>
                  <c15:bubble3D val="0"/>
                </c15:categoryFilterException>
                <c15:categoryFilterException>
                  <c15:sqref>Samantekt!$C$19</c15:sqref>
                  <c15:spPr xmlns:c15="http://schemas.microsoft.com/office/drawing/2012/chart">
                    <a:solidFill>
                      <a:schemeClr val="accent3">
                        <a:lumMod val="60000"/>
                      </a:schemeClr>
                    </a:solidFill>
                    <a:ln w="19050">
                      <a:solidFill>
                        <a:schemeClr val="lt1"/>
                      </a:solidFill>
                    </a:ln>
                    <a:effectLst/>
                  </c15:spPr>
                  <c15:bubble3D val="0"/>
                </c15:categoryFilterException>
                <c15:categoryFilterException>
                  <c15:sqref>Samantekt!$C$26</c15:sqref>
                  <c15:spPr xmlns:c15="http://schemas.microsoft.com/office/drawing/2012/chart">
                    <a:solidFill>
                      <a:schemeClr val="accent4">
                        <a:lumMod val="80000"/>
                        <a:lumOff val="20000"/>
                      </a:schemeClr>
                    </a:solidFill>
                    <a:ln w="19050">
                      <a:solidFill>
                        <a:schemeClr val="lt1"/>
                      </a:solidFill>
                    </a:ln>
                    <a:effectLst/>
                  </c15:spPr>
                  <c15:bubble3D val="0"/>
                </c15:categoryFilterException>
                <c15:categoryFilterException>
                  <c15:sqref>Samantekt!$C$27</c15:sqref>
                  <c15:spPr xmlns:c15="http://schemas.microsoft.com/office/drawing/2012/chart">
                    <a:solidFill>
                      <a:schemeClr val="accent5">
                        <a:lumMod val="80000"/>
                        <a:lumOff val="20000"/>
                      </a:schemeClr>
                    </a:solidFill>
                    <a:ln w="19050">
                      <a:solidFill>
                        <a:schemeClr val="lt1"/>
                      </a:solidFill>
                    </a:ln>
                    <a:effectLst/>
                  </c15:spPr>
                  <c15:bubble3D val="0"/>
                </c15:categoryFilterException>
                <c15:categoryFilterException>
                  <c15:sqref>Samantekt!$C$28</c15:sqref>
                  <c15:spPr xmlns:c15="http://schemas.microsoft.com/office/drawing/2012/chart">
                    <a:solidFill>
                      <a:schemeClr val="accent3">
                        <a:lumMod val="80000"/>
                        <a:lumOff val="20000"/>
                      </a:schemeClr>
                    </a:solidFill>
                    <a:ln w="19050">
                      <a:solidFill>
                        <a:schemeClr val="lt1"/>
                      </a:solidFill>
                    </a:ln>
                    <a:effectLst/>
                  </c15:spPr>
                  <c15:bubble3D val="0"/>
                </c15:categoryFilterException>
                <c15:categoryFilterException>
                  <c15:sqref>Samantekt!$C$31</c15:sqref>
                  <c15:spPr xmlns:c15="http://schemas.microsoft.com/office/drawing/2012/chart">
                    <a:solidFill>
                      <a:schemeClr val="accent6">
                        <a:lumMod val="80000"/>
                        <a:lumOff val="20000"/>
                      </a:schemeClr>
                    </a:solidFill>
                    <a:ln w="19050">
                      <a:solidFill>
                        <a:schemeClr val="lt1"/>
                      </a:solidFill>
                    </a:ln>
                    <a:effectLst/>
                  </c15:spPr>
                  <c15:bubble3D val="0"/>
                </c15:categoryFilterException>
                <c15:categoryFilterException>
                  <c15:sqref>Samantekt!$C$32</c15:sqref>
                  <c15:spPr xmlns:c15="http://schemas.microsoft.com/office/drawing/2012/chart">
                    <a:solidFill>
                      <a:schemeClr val="accent1">
                        <a:lumMod val="80000"/>
                      </a:schemeClr>
                    </a:solidFill>
                    <a:ln w="19050">
                      <a:solidFill>
                        <a:schemeClr val="lt1"/>
                      </a:solidFill>
                    </a:ln>
                    <a:effectLst/>
                  </c15:spPr>
                  <c15:bubble3D val="0"/>
                </c15:categoryFilterException>
                <c15:categoryFilterException>
                  <c15:sqref>Samantekt!$C$33</c15:sqref>
                  <c15:spPr xmlns:c15="http://schemas.microsoft.com/office/drawing/2012/chart">
                    <a:solidFill>
                      <a:srgbClr val="FFD659"/>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A-D396-4692-B7AD-1296FA647BEC}"/>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B09-4E5F-BA2D-776A273F6F0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B09-4E5F-BA2D-776A273F6F0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B09-4E5F-BA2D-776A273F6F0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6B09-4E5F-BA2D-776A273F6F0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6B09-4E5F-BA2D-776A273F6F0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Samantekt!$M$19:$M$23</c:f>
              <c:strCache>
                <c:ptCount val="5"/>
                <c:pt idx="0">
                  <c:v>Fólksbifreiðar</c:v>
                </c:pt>
                <c:pt idx="1">
                  <c:v>Hópbifreiðar</c:v>
                </c:pt>
                <c:pt idx="2">
                  <c:v>Vörubifreiðar</c:v>
                </c:pt>
                <c:pt idx="3">
                  <c:v>Skipaumferð</c:v>
                </c:pt>
                <c:pt idx="4">
                  <c:v>Flugumferð</c:v>
                </c:pt>
              </c:strCache>
            </c:strRef>
          </c:cat>
          <c:val>
            <c:numRef>
              <c:f>Samantekt!$V$19:$V$23</c:f>
              <c:numCache>
                <c:formatCode>0</c:formatCode>
                <c:ptCount val="5"/>
                <c:pt idx="0">
                  <c:v>168292.77399932733</c:v>
                </c:pt>
                <c:pt idx="1">
                  <c:v>20641.09091548514</c:v>
                </c:pt>
                <c:pt idx="2">
                  <c:v>78414.927128805197</c:v>
                </c:pt>
                <c:pt idx="3">
                  <c:v>48360</c:v>
                </c:pt>
                <c:pt idx="4">
                  <c:v>4239.9557036902197</c:v>
                </c:pt>
              </c:numCache>
            </c:numRef>
          </c:val>
          <c:extLst>
            <c:ext xmlns:c16="http://schemas.microsoft.com/office/drawing/2014/chart" uri="{C3380CC4-5D6E-409C-BE32-E72D297353CC}">
              <c16:uniqueId val="{0000000A-6B09-4E5F-BA2D-776A273F6F0D}"/>
            </c:ext>
          </c:extLst>
        </c:ser>
        <c:dLbls>
          <c:showLegendKey val="0"/>
          <c:showVal val="0"/>
          <c:showCatName val="0"/>
          <c:showSerName val="0"/>
          <c:showPercent val="1"/>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7601341498979297E-2"/>
          <c:y val="2.0215968625453416E-2"/>
          <c:w val="0.88816856226305041"/>
          <c:h val="0.76348915515747995"/>
        </c:manualLayout>
      </c:layout>
      <c:barChart>
        <c:barDir val="col"/>
        <c:grouping val="stacked"/>
        <c:varyColors val="0"/>
        <c:ser>
          <c:idx val="0"/>
          <c:order val="0"/>
          <c:tx>
            <c:strRef>
              <c:f>Samantekt!$AD$21</c:f>
              <c:strCache>
                <c:ptCount val="1"/>
                <c:pt idx="0">
                  <c:v>Orkunotkun</c:v>
                </c:pt>
              </c:strCache>
            </c:strRef>
          </c:tx>
          <c:spPr>
            <a:solidFill>
              <a:srgbClr val="D8222F"/>
            </a:solidFill>
            <a:ln>
              <a:noFill/>
            </a:ln>
            <a:effectLst/>
          </c:spPr>
          <c:invertIfNegative val="0"/>
          <c:cat>
            <c:strRef>
              <c:f>Samantekt!$AE$11:$AQ$11</c:f>
              <c:strCache>
                <c:ptCount val="13"/>
                <c:pt idx="0">
                  <c:v>2019</c:v>
                </c:pt>
                <c:pt idx="1">
                  <c:v>2020</c:v>
                </c:pt>
                <c:pt idx="2">
                  <c:v>2021</c:v>
                </c:pt>
                <c:pt idx="3">
                  <c:v>2022</c:v>
                </c:pt>
                <c:pt idx="4">
                  <c:v>2023</c:v>
                </c:pt>
                <c:pt idx="5">
                  <c:v>2024</c:v>
                </c:pt>
                <c:pt idx="6">
                  <c:v>2025</c:v>
                </c:pt>
                <c:pt idx="7">
                  <c:v>2026</c:v>
                </c:pt>
                <c:pt idx="8">
                  <c:v>2027</c:v>
                </c:pt>
                <c:pt idx="9">
                  <c:v>2028</c:v>
                </c:pt>
                <c:pt idx="10">
                  <c:v>2029</c:v>
                </c:pt>
                <c:pt idx="11">
                  <c:v>2030                Áætlað</c:v>
                </c:pt>
                <c:pt idx="12">
                  <c:v>2030 Markmið</c:v>
                </c:pt>
              </c:strCache>
            </c:strRef>
          </c:cat>
          <c:val>
            <c:numRef>
              <c:f>Samantekt!$AE$21:$AQ$21</c:f>
              <c:numCache>
                <c:formatCode>General</c:formatCode>
                <c:ptCount val="13"/>
                <c:pt idx="0">
                  <c:v>22.959108273074552</c:v>
                </c:pt>
                <c:pt idx="1">
                  <c:v>25.150742326611958</c:v>
                </c:pt>
                <c:pt idx="2">
                  <c:v>25.840352454420668</c:v>
                </c:pt>
                <c:pt idx="3">
                  <c:v>26.857089023549996</c:v>
                </c:pt>
                <c:pt idx="4">
                  <c:v>27.516078305553421</c:v>
                </c:pt>
                <c:pt idx="5">
                  <c:v>28.966619302417538</c:v>
                </c:pt>
                <c:pt idx="6">
                  <c:v>25.19668006349</c:v>
                </c:pt>
                <c:pt idx="7">
                  <c:v>0</c:v>
                </c:pt>
                <c:pt idx="8">
                  <c:v>0</c:v>
                </c:pt>
                <c:pt idx="9">
                  <c:v>0</c:v>
                </c:pt>
                <c:pt idx="10">
                  <c:v>0</c:v>
                </c:pt>
                <c:pt idx="11">
                  <c:v>10.6</c:v>
                </c:pt>
                <c:pt idx="12">
                  <c:v>6.7</c:v>
                </c:pt>
              </c:numCache>
            </c:numRef>
          </c:val>
          <c:extLst>
            <c:ext xmlns:c16="http://schemas.microsoft.com/office/drawing/2014/chart" uri="{C3380CC4-5D6E-409C-BE32-E72D297353CC}">
              <c16:uniqueId val="{00000000-69BD-440E-9390-1D93D72428CC}"/>
            </c:ext>
          </c:extLst>
        </c:ser>
        <c:ser>
          <c:idx val="1"/>
          <c:order val="1"/>
          <c:tx>
            <c:strRef>
              <c:f>Samantekt!$AD$22</c:f>
              <c:strCache>
                <c:ptCount val="1"/>
                <c:pt idx="0">
                  <c:v>Samgöngur</c:v>
                </c:pt>
              </c:strCache>
            </c:strRef>
          </c:tx>
          <c:spPr>
            <a:solidFill>
              <a:srgbClr val="0367E1"/>
            </a:solidFill>
            <a:ln>
              <a:noFill/>
            </a:ln>
            <a:effectLst/>
          </c:spPr>
          <c:invertIfNegative val="0"/>
          <c:cat>
            <c:strRef>
              <c:f>Samantekt!$AE$11:$AQ$11</c:f>
              <c:strCache>
                <c:ptCount val="13"/>
                <c:pt idx="0">
                  <c:v>2019</c:v>
                </c:pt>
                <c:pt idx="1">
                  <c:v>2020</c:v>
                </c:pt>
                <c:pt idx="2">
                  <c:v>2021</c:v>
                </c:pt>
                <c:pt idx="3">
                  <c:v>2022</c:v>
                </c:pt>
                <c:pt idx="4">
                  <c:v>2023</c:v>
                </c:pt>
                <c:pt idx="5">
                  <c:v>2024</c:v>
                </c:pt>
                <c:pt idx="6">
                  <c:v>2025</c:v>
                </c:pt>
                <c:pt idx="7">
                  <c:v>2026</c:v>
                </c:pt>
                <c:pt idx="8">
                  <c:v>2027</c:v>
                </c:pt>
                <c:pt idx="9">
                  <c:v>2028</c:v>
                </c:pt>
                <c:pt idx="10">
                  <c:v>2029</c:v>
                </c:pt>
                <c:pt idx="11">
                  <c:v>2030                Áætlað</c:v>
                </c:pt>
                <c:pt idx="12">
                  <c:v>2030 Markmið</c:v>
                </c:pt>
              </c:strCache>
            </c:strRef>
          </c:cat>
          <c:val>
            <c:numRef>
              <c:f>Samantekt!$AE$22:$AQ$22</c:f>
              <c:numCache>
                <c:formatCode>General</c:formatCode>
                <c:ptCount val="13"/>
                <c:pt idx="0">
                  <c:v>369.99114416686319</c:v>
                </c:pt>
                <c:pt idx="1">
                  <c:v>316.97993016374829</c:v>
                </c:pt>
                <c:pt idx="2">
                  <c:v>335.82216223191716</c:v>
                </c:pt>
                <c:pt idx="3">
                  <c:v>312.504368180455</c:v>
                </c:pt>
                <c:pt idx="4">
                  <c:v>340.9168488326431</c:v>
                </c:pt>
                <c:pt idx="5">
                  <c:v>334.5413332095913</c:v>
                </c:pt>
                <c:pt idx="6">
                  <c:v>319.94874774730795</c:v>
                </c:pt>
                <c:pt idx="7">
                  <c:v>0</c:v>
                </c:pt>
                <c:pt idx="8">
                  <c:v>0</c:v>
                </c:pt>
                <c:pt idx="9">
                  <c:v>0</c:v>
                </c:pt>
                <c:pt idx="10">
                  <c:v>0</c:v>
                </c:pt>
                <c:pt idx="11">
                  <c:v>85.4</c:v>
                </c:pt>
                <c:pt idx="12">
                  <c:v>60.1</c:v>
                </c:pt>
              </c:numCache>
            </c:numRef>
          </c:val>
          <c:extLst>
            <c:ext xmlns:c16="http://schemas.microsoft.com/office/drawing/2014/chart" uri="{C3380CC4-5D6E-409C-BE32-E72D297353CC}">
              <c16:uniqueId val="{00000001-69BD-440E-9390-1D93D72428CC}"/>
            </c:ext>
          </c:extLst>
        </c:ser>
        <c:ser>
          <c:idx val="2"/>
          <c:order val="2"/>
          <c:tx>
            <c:strRef>
              <c:f>Samantekt!$AD$23</c:f>
              <c:strCache>
                <c:ptCount val="1"/>
                <c:pt idx="0">
                  <c:v>Úrgangur</c:v>
                </c:pt>
              </c:strCache>
            </c:strRef>
          </c:tx>
          <c:spPr>
            <a:solidFill>
              <a:srgbClr val="64D68E"/>
            </a:solidFill>
            <a:ln>
              <a:noFill/>
            </a:ln>
            <a:effectLst/>
          </c:spPr>
          <c:invertIfNegative val="0"/>
          <c:cat>
            <c:strRef>
              <c:f>Samantekt!$AE$11:$AQ$11</c:f>
              <c:strCache>
                <c:ptCount val="13"/>
                <c:pt idx="0">
                  <c:v>2019</c:v>
                </c:pt>
                <c:pt idx="1">
                  <c:v>2020</c:v>
                </c:pt>
                <c:pt idx="2">
                  <c:v>2021</c:v>
                </c:pt>
                <c:pt idx="3">
                  <c:v>2022</c:v>
                </c:pt>
                <c:pt idx="4">
                  <c:v>2023</c:v>
                </c:pt>
                <c:pt idx="5">
                  <c:v>2024</c:v>
                </c:pt>
                <c:pt idx="6">
                  <c:v>2025</c:v>
                </c:pt>
                <c:pt idx="7">
                  <c:v>2026</c:v>
                </c:pt>
                <c:pt idx="8">
                  <c:v>2027</c:v>
                </c:pt>
                <c:pt idx="9">
                  <c:v>2028</c:v>
                </c:pt>
                <c:pt idx="10">
                  <c:v>2029</c:v>
                </c:pt>
                <c:pt idx="11">
                  <c:v>2030                Áætlað</c:v>
                </c:pt>
                <c:pt idx="12">
                  <c:v>2030 Markmið</c:v>
                </c:pt>
              </c:strCache>
            </c:strRef>
          </c:cat>
          <c:val>
            <c:numRef>
              <c:f>Samantekt!$AE$23:$AQ$23</c:f>
              <c:numCache>
                <c:formatCode>General</c:formatCode>
                <c:ptCount val="13"/>
                <c:pt idx="0">
                  <c:v>53.056836599577196</c:v>
                </c:pt>
                <c:pt idx="1">
                  <c:v>69.002328539332851</c:v>
                </c:pt>
                <c:pt idx="2">
                  <c:v>73.063594417448272</c:v>
                </c:pt>
                <c:pt idx="3">
                  <c:v>77.165733614047781</c:v>
                </c:pt>
                <c:pt idx="4">
                  <c:v>79.277356794722863</c:v>
                </c:pt>
                <c:pt idx="5">
                  <c:v>82.645834813505004</c:v>
                </c:pt>
                <c:pt idx="6">
                  <c:v>80.736348080587732</c:v>
                </c:pt>
                <c:pt idx="7">
                  <c:v>0</c:v>
                </c:pt>
                <c:pt idx="8">
                  <c:v>0</c:v>
                </c:pt>
                <c:pt idx="9">
                  <c:v>0</c:v>
                </c:pt>
                <c:pt idx="10">
                  <c:v>0</c:v>
                </c:pt>
                <c:pt idx="11">
                  <c:v>32.1</c:v>
                </c:pt>
                <c:pt idx="12">
                  <c:v>13.8</c:v>
                </c:pt>
              </c:numCache>
            </c:numRef>
          </c:val>
          <c:extLst>
            <c:ext xmlns:c16="http://schemas.microsoft.com/office/drawing/2014/chart" uri="{C3380CC4-5D6E-409C-BE32-E72D297353CC}">
              <c16:uniqueId val="{00000002-69BD-440E-9390-1D93D72428CC}"/>
            </c:ext>
          </c:extLst>
        </c:ser>
        <c:ser>
          <c:idx val="3"/>
          <c:order val="3"/>
          <c:tx>
            <c:strRef>
              <c:f>Samantekt!$AD$24</c:f>
              <c:strCache>
                <c:ptCount val="1"/>
                <c:pt idx="0">
                  <c:v>Landbúnaður og landnotkun</c:v>
                </c:pt>
              </c:strCache>
            </c:strRef>
          </c:tx>
          <c:spPr>
            <a:solidFill>
              <a:srgbClr val="F77257"/>
            </a:solidFill>
            <a:ln>
              <a:noFill/>
            </a:ln>
            <a:effectLst/>
          </c:spPr>
          <c:invertIfNegative val="0"/>
          <c:cat>
            <c:strRef>
              <c:f>Samantekt!$AE$11:$AQ$11</c:f>
              <c:strCache>
                <c:ptCount val="13"/>
                <c:pt idx="0">
                  <c:v>2019</c:v>
                </c:pt>
                <c:pt idx="1">
                  <c:v>2020</c:v>
                </c:pt>
                <c:pt idx="2">
                  <c:v>2021</c:v>
                </c:pt>
                <c:pt idx="3">
                  <c:v>2022</c:v>
                </c:pt>
                <c:pt idx="4">
                  <c:v>2023</c:v>
                </c:pt>
                <c:pt idx="5">
                  <c:v>2024</c:v>
                </c:pt>
                <c:pt idx="6">
                  <c:v>2025</c:v>
                </c:pt>
                <c:pt idx="7">
                  <c:v>2026</c:v>
                </c:pt>
                <c:pt idx="8">
                  <c:v>2027</c:v>
                </c:pt>
                <c:pt idx="9">
                  <c:v>2028</c:v>
                </c:pt>
                <c:pt idx="10">
                  <c:v>2029</c:v>
                </c:pt>
                <c:pt idx="11">
                  <c:v>2030                Áætlað</c:v>
                </c:pt>
                <c:pt idx="12">
                  <c:v>2030 Markmið</c:v>
                </c:pt>
              </c:strCache>
            </c:strRef>
          </c:cat>
          <c:val>
            <c:numRef>
              <c:f>Samantekt!$AE$24:$AQ$24</c:f>
              <c:numCache>
                <c:formatCode>General</c:formatCode>
                <c:ptCount val="13"/>
                <c:pt idx="0">
                  <c:v>32.742772235252851</c:v>
                </c:pt>
                <c:pt idx="1">
                  <c:v>33.685190562420047</c:v>
                </c:pt>
                <c:pt idx="2">
                  <c:v>33.686836341007819</c:v>
                </c:pt>
                <c:pt idx="3">
                  <c:v>33.598078083519709</c:v>
                </c:pt>
                <c:pt idx="4">
                  <c:v>33.258505033778519</c:v>
                </c:pt>
                <c:pt idx="5">
                  <c:v>33.280887103457701</c:v>
                </c:pt>
                <c:pt idx="6">
                  <c:v>33.231810757164915</c:v>
                </c:pt>
                <c:pt idx="7">
                  <c:v>0</c:v>
                </c:pt>
                <c:pt idx="8">
                  <c:v>0</c:v>
                </c:pt>
                <c:pt idx="9">
                  <c:v>0</c:v>
                </c:pt>
                <c:pt idx="10">
                  <c:v>0</c:v>
                </c:pt>
                <c:pt idx="11">
                  <c:v>12.6</c:v>
                </c:pt>
                <c:pt idx="12">
                  <c:v>9.6</c:v>
                </c:pt>
              </c:numCache>
            </c:numRef>
          </c:val>
          <c:extLst>
            <c:ext xmlns:c16="http://schemas.microsoft.com/office/drawing/2014/chart" uri="{C3380CC4-5D6E-409C-BE32-E72D297353CC}">
              <c16:uniqueId val="{00000003-69BD-440E-9390-1D93D72428CC}"/>
            </c:ext>
          </c:extLst>
        </c:ser>
        <c:ser>
          <c:idx val="4"/>
          <c:order val="4"/>
          <c:tx>
            <c:strRef>
              <c:f>Samantekt!$AD$25</c:f>
              <c:strCache>
                <c:ptCount val="1"/>
                <c:pt idx="0">
                  <c:v>Efnanotkun</c:v>
                </c:pt>
              </c:strCache>
            </c:strRef>
          </c:tx>
          <c:spPr>
            <a:solidFill>
              <a:srgbClr val="FFD659"/>
            </a:solidFill>
            <a:ln>
              <a:noFill/>
            </a:ln>
            <a:effectLst/>
          </c:spPr>
          <c:invertIfNegative val="0"/>
          <c:cat>
            <c:strRef>
              <c:f>Samantekt!$AE$11:$AQ$11</c:f>
              <c:strCache>
                <c:ptCount val="13"/>
                <c:pt idx="0">
                  <c:v>2019</c:v>
                </c:pt>
                <c:pt idx="1">
                  <c:v>2020</c:v>
                </c:pt>
                <c:pt idx="2">
                  <c:v>2021</c:v>
                </c:pt>
                <c:pt idx="3">
                  <c:v>2022</c:v>
                </c:pt>
                <c:pt idx="4">
                  <c:v>2023</c:v>
                </c:pt>
                <c:pt idx="5">
                  <c:v>2024</c:v>
                </c:pt>
                <c:pt idx="6">
                  <c:v>2025</c:v>
                </c:pt>
                <c:pt idx="7">
                  <c:v>2026</c:v>
                </c:pt>
                <c:pt idx="8">
                  <c:v>2027</c:v>
                </c:pt>
                <c:pt idx="9">
                  <c:v>2028</c:v>
                </c:pt>
                <c:pt idx="10">
                  <c:v>2029</c:v>
                </c:pt>
                <c:pt idx="11">
                  <c:v>2030                Áætlað</c:v>
                </c:pt>
                <c:pt idx="12">
                  <c:v>2030 Markmið</c:v>
                </c:pt>
              </c:strCache>
            </c:strRef>
          </c:cat>
          <c:val>
            <c:numRef>
              <c:f>Samantekt!$AE$25:$AQ$25</c:f>
              <c:numCache>
                <c:formatCode>General</c:formatCode>
                <c:ptCount val="13"/>
                <c:pt idx="0">
                  <c:v>98.035723075291202</c:v>
                </c:pt>
                <c:pt idx="1">
                  <c:v>110.13562672787891</c:v>
                </c:pt>
                <c:pt idx="2">
                  <c:v>110.81147507159892</c:v>
                </c:pt>
                <c:pt idx="3">
                  <c:v>113.09808517796978</c:v>
                </c:pt>
                <c:pt idx="4">
                  <c:v>108.93420041923883</c:v>
                </c:pt>
                <c:pt idx="5">
                  <c:v>97.928562366032921</c:v>
                </c:pt>
                <c:pt idx="6">
                  <c:v>104.77270263874003</c:v>
                </c:pt>
                <c:pt idx="7">
                  <c:v>0</c:v>
                </c:pt>
                <c:pt idx="8">
                  <c:v>0</c:v>
                </c:pt>
                <c:pt idx="9">
                  <c:v>0</c:v>
                </c:pt>
                <c:pt idx="10">
                  <c:v>0</c:v>
                </c:pt>
                <c:pt idx="11">
                  <c:v>33.799999999999997</c:v>
                </c:pt>
                <c:pt idx="12">
                  <c:v>21.3</c:v>
                </c:pt>
              </c:numCache>
            </c:numRef>
          </c:val>
          <c:extLst>
            <c:ext xmlns:c16="http://schemas.microsoft.com/office/drawing/2014/chart" uri="{C3380CC4-5D6E-409C-BE32-E72D297353CC}">
              <c16:uniqueId val="{00000004-69BD-440E-9390-1D93D72428CC}"/>
            </c:ext>
          </c:extLst>
        </c:ser>
        <c:dLbls>
          <c:showLegendKey val="0"/>
          <c:showVal val="0"/>
          <c:showCatName val="0"/>
          <c:showSerName val="0"/>
          <c:showPercent val="0"/>
          <c:showBubbleSize val="0"/>
        </c:dLbls>
        <c:gapWidth val="75"/>
        <c:overlap val="100"/>
        <c:axId val="1889881856"/>
        <c:axId val="1889874296"/>
      </c:barChart>
      <c:catAx>
        <c:axId val="1889881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89874296"/>
        <c:crosses val="autoZero"/>
        <c:auto val="1"/>
        <c:lblAlgn val="ctr"/>
        <c:lblOffset val="100"/>
        <c:noMultiLvlLbl val="0"/>
      </c:catAx>
      <c:valAx>
        <c:axId val="1889874296"/>
        <c:scaling>
          <c:orientation val="minMax"/>
          <c:max val="630"/>
          <c:min val="0"/>
        </c:scaling>
        <c:delete val="0"/>
        <c:axPos val="l"/>
        <c:majorGridlines>
          <c:spPr>
            <a:ln w="9525" cap="flat" cmpd="sng" algn="ctr">
              <a:no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sz="1000" b="0" i="0" u="none" strike="noStrike" kern="1200" cap="none" baseline="0">
                    <a:solidFill>
                      <a:sysClr val="windowText" lastClr="000000">
                        <a:lumMod val="65000"/>
                        <a:lumOff val="35000"/>
                      </a:sysClr>
                    </a:solidFill>
                  </a:rPr>
                  <a:t>Losun CO</a:t>
                </a:r>
                <a:r>
                  <a:rPr lang="is-IS" sz="1000" b="0" i="0" u="none" strike="noStrike" kern="1200" cap="none" baseline="-25000">
                    <a:solidFill>
                      <a:sysClr val="windowText" lastClr="000000">
                        <a:lumMod val="65000"/>
                        <a:lumOff val="35000"/>
                      </a:sysClr>
                    </a:solidFill>
                  </a:rPr>
                  <a:t>2</a:t>
                </a:r>
                <a:r>
                  <a:rPr lang="is-IS" sz="1000" b="0" i="0" u="none" strike="noStrike" kern="1200" cap="none" baseline="0">
                    <a:solidFill>
                      <a:sysClr val="windowText" lastClr="000000">
                        <a:lumMod val="65000"/>
                        <a:lumOff val="35000"/>
                      </a:sysClr>
                    </a:solidFill>
                  </a:rPr>
                  <a:t> ígildi [þús. tonn]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89881856"/>
        <c:crosses val="autoZero"/>
        <c:crossBetween val="between"/>
        <c:majorUnit val="100"/>
      </c:valAx>
      <c:spPr>
        <a:noFill/>
        <a:ln>
          <a:noFill/>
        </a:ln>
        <a:effectLst/>
      </c:spPr>
    </c:plotArea>
    <c:legend>
      <c:legendPos val="b"/>
      <c:layout>
        <c:manualLayout>
          <c:xMode val="edge"/>
          <c:yMode val="edge"/>
          <c:x val="2.0196159690564999E-2"/>
          <c:y val="0.87376128633875416"/>
          <c:w val="0.69995855781185246"/>
          <c:h val="0.1173800156492039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CAE7-4CC9-BDF4-F3AA586B1E5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CAE7-4CC9-BDF4-F3AA586B1E5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CAE7-4CC9-BDF4-F3AA586B1E5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CAE7-4CC9-BDF4-F3AA586B1E5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CAE7-4CC9-BDF4-F3AA586B1E53}"/>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CAE7-4CC9-BDF4-F3AA586B1E53}"/>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CAE7-4CC9-BDF4-F3AA586B1E5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is-IS"/>
              </a:p>
            </c:tx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'Notkunarflokkun 2024'!$G$12:$G$18</c:f>
              <c:strCache>
                <c:ptCount val="7"/>
                <c:pt idx="0">
                  <c:v>Byggingar - Íbúðir</c:v>
                </c:pt>
                <c:pt idx="1">
                  <c:v>Byggingar - Rekstur</c:v>
                </c:pt>
                <c:pt idx="2">
                  <c:v>Atvinnurekstur</c:v>
                </c:pt>
                <c:pt idx="3">
                  <c:v>Iðnaðarferlar</c:v>
                </c:pt>
                <c:pt idx="4">
                  <c:v>Orka</c:v>
                </c:pt>
                <c:pt idx="5">
                  <c:v>Samgöngur</c:v>
                </c:pt>
                <c:pt idx="6">
                  <c:v>Þjónusta</c:v>
                </c:pt>
              </c:strCache>
            </c:strRef>
          </c:cat>
          <c:val>
            <c:numRef>
              <c:f>'Notkunarflokkun 2024'!$J$12:$J$18</c:f>
              <c:numCache>
                <c:formatCode>0%</c:formatCode>
                <c:ptCount val="7"/>
                <c:pt idx="0">
                  <c:v>0.29904083500212914</c:v>
                </c:pt>
                <c:pt idx="1">
                  <c:v>0.30940579671824969</c:v>
                </c:pt>
                <c:pt idx="2">
                  <c:v>2.8105576821897269E-2</c:v>
                </c:pt>
                <c:pt idx="3">
                  <c:v>0.10165584320322438</c:v>
                </c:pt>
                <c:pt idx="4">
                  <c:v>4.0658599292782829E-2</c:v>
                </c:pt>
                <c:pt idx="5">
                  <c:v>5.4404877633394799E-2</c:v>
                </c:pt>
                <c:pt idx="6">
                  <c:v>0.16672847132832166</c:v>
                </c:pt>
              </c:numCache>
            </c:numRef>
          </c:val>
          <c:extLst>
            <c:ext xmlns:c16="http://schemas.microsoft.com/office/drawing/2014/chart" uri="{C3380CC4-5D6E-409C-BE32-E72D297353CC}">
              <c16:uniqueId val="{00000000-D1A5-4B1E-BE0F-EF83033B3518}"/>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Mánaðarlegar breytingar á götuumferð</a:t>
            </a:r>
          </a:p>
        </c:rich>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Götuumferð!$T$103:$T$284</c:f>
              <c:numCache>
                <c:formatCode>General</c:formatCode>
                <c:ptCount val="182"/>
                <c:pt idx="0">
                  <c:v>2012</c:v>
                </c:pt>
                <c:pt idx="1">
                  <c:v>2012</c:v>
                </c:pt>
                <c:pt idx="2">
                  <c:v>2012</c:v>
                </c:pt>
                <c:pt idx="3">
                  <c:v>2012</c:v>
                </c:pt>
                <c:pt idx="4">
                  <c:v>2012</c:v>
                </c:pt>
                <c:pt idx="5">
                  <c:v>2012</c:v>
                </c:pt>
                <c:pt idx="6">
                  <c:v>2012</c:v>
                </c:pt>
                <c:pt idx="7">
                  <c:v>2012</c:v>
                </c:pt>
                <c:pt idx="8">
                  <c:v>2012</c:v>
                </c:pt>
                <c:pt idx="9">
                  <c:v>2012</c:v>
                </c:pt>
                <c:pt idx="10">
                  <c:v>2012</c:v>
                </c:pt>
                <c:pt idx="11">
                  <c:v>2012</c:v>
                </c:pt>
                <c:pt idx="12">
                  <c:v>2012</c:v>
                </c:pt>
                <c:pt idx="13">
                  <c:v>2013</c:v>
                </c:pt>
                <c:pt idx="14">
                  <c:v>2013</c:v>
                </c:pt>
                <c:pt idx="15">
                  <c:v>2013</c:v>
                </c:pt>
                <c:pt idx="16">
                  <c:v>2013</c:v>
                </c:pt>
                <c:pt idx="17">
                  <c:v>2013</c:v>
                </c:pt>
                <c:pt idx="18">
                  <c:v>2013</c:v>
                </c:pt>
                <c:pt idx="19">
                  <c:v>2013</c:v>
                </c:pt>
                <c:pt idx="20">
                  <c:v>2013</c:v>
                </c:pt>
                <c:pt idx="21">
                  <c:v>2013</c:v>
                </c:pt>
                <c:pt idx="22">
                  <c:v>2013</c:v>
                </c:pt>
                <c:pt idx="23">
                  <c:v>2013</c:v>
                </c:pt>
                <c:pt idx="24">
                  <c:v>2013</c:v>
                </c:pt>
                <c:pt idx="25">
                  <c:v>2013</c:v>
                </c:pt>
                <c:pt idx="26">
                  <c:v>2013</c:v>
                </c:pt>
                <c:pt idx="27">
                  <c:v>2013</c:v>
                </c:pt>
                <c:pt idx="28">
                  <c:v>2013</c:v>
                </c:pt>
                <c:pt idx="29">
                  <c:v>2013</c:v>
                </c:pt>
                <c:pt idx="30">
                  <c:v>2013</c:v>
                </c:pt>
                <c:pt idx="31">
                  <c:v>2013</c:v>
                </c:pt>
                <c:pt idx="32">
                  <c:v>2013</c:v>
                </c:pt>
                <c:pt idx="33">
                  <c:v>2013</c:v>
                </c:pt>
                <c:pt idx="34">
                  <c:v>2013</c:v>
                </c:pt>
                <c:pt idx="35">
                  <c:v>2013</c:v>
                </c:pt>
                <c:pt idx="36">
                  <c:v>2013</c:v>
                </c:pt>
                <c:pt idx="37">
                  <c:v>2013</c:v>
                </c:pt>
                <c:pt idx="38">
                  <c:v>2013</c:v>
                </c:pt>
                <c:pt idx="39">
                  <c:v>2013</c:v>
                </c:pt>
                <c:pt idx="40">
                  <c:v>2013</c:v>
                </c:pt>
                <c:pt idx="41">
                  <c:v>2013</c:v>
                </c:pt>
                <c:pt idx="42">
                  <c:v>2013</c:v>
                </c:pt>
                <c:pt idx="43">
                  <c:v>2013</c:v>
                </c:pt>
                <c:pt idx="44">
                  <c:v>2013</c:v>
                </c:pt>
                <c:pt idx="45">
                  <c:v>2013</c:v>
                </c:pt>
                <c:pt idx="46">
                  <c:v>2013</c:v>
                </c:pt>
                <c:pt idx="47">
                  <c:v>2013</c:v>
                </c:pt>
                <c:pt idx="48">
                  <c:v>2013</c:v>
                </c:pt>
                <c:pt idx="49">
                  <c:v>2013</c:v>
                </c:pt>
                <c:pt idx="50">
                  <c:v>2013</c:v>
                </c:pt>
                <c:pt idx="51">
                  <c:v>2013</c:v>
                </c:pt>
                <c:pt idx="52">
                  <c:v>2013</c:v>
                </c:pt>
                <c:pt idx="53">
                  <c:v>2013</c:v>
                </c:pt>
                <c:pt idx="54">
                  <c:v>2013</c:v>
                </c:pt>
                <c:pt idx="55">
                  <c:v>2013</c:v>
                </c:pt>
                <c:pt idx="56">
                  <c:v>2013</c:v>
                </c:pt>
                <c:pt idx="57">
                  <c:v>2013</c:v>
                </c:pt>
                <c:pt idx="58">
                  <c:v>2013</c:v>
                </c:pt>
                <c:pt idx="59">
                  <c:v>2013</c:v>
                </c:pt>
                <c:pt idx="60">
                  <c:v>2013</c:v>
                </c:pt>
                <c:pt idx="61">
                  <c:v>2013</c:v>
                </c:pt>
                <c:pt idx="62">
                  <c:v>2013</c:v>
                </c:pt>
                <c:pt idx="63">
                  <c:v>2013</c:v>
                </c:pt>
                <c:pt idx="64">
                  <c:v>2013</c:v>
                </c:pt>
                <c:pt idx="65">
                  <c:v>2013</c:v>
                </c:pt>
                <c:pt idx="66">
                  <c:v>2013</c:v>
                </c:pt>
                <c:pt idx="67">
                  <c:v>2013</c:v>
                </c:pt>
                <c:pt idx="68">
                  <c:v>2013</c:v>
                </c:pt>
                <c:pt idx="69">
                  <c:v>2013</c:v>
                </c:pt>
                <c:pt idx="70">
                  <c:v>2013</c:v>
                </c:pt>
                <c:pt idx="71">
                  <c:v>2013</c:v>
                </c:pt>
                <c:pt idx="72">
                  <c:v>2013</c:v>
                </c:pt>
                <c:pt idx="73">
                  <c:v>2013</c:v>
                </c:pt>
                <c:pt idx="74">
                  <c:v>2013</c:v>
                </c:pt>
                <c:pt idx="75">
                  <c:v>2013</c:v>
                </c:pt>
                <c:pt idx="76">
                  <c:v>2013</c:v>
                </c:pt>
                <c:pt idx="77">
                  <c:v>2013</c:v>
                </c:pt>
                <c:pt idx="78">
                  <c:v>2013</c:v>
                </c:pt>
                <c:pt idx="79">
                  <c:v>2013</c:v>
                </c:pt>
                <c:pt idx="80">
                  <c:v>2013</c:v>
                </c:pt>
                <c:pt idx="81">
                  <c:v>2013</c:v>
                </c:pt>
                <c:pt idx="82">
                  <c:v>2013</c:v>
                </c:pt>
                <c:pt idx="83">
                  <c:v>2013</c:v>
                </c:pt>
                <c:pt idx="84">
                  <c:v>2013</c:v>
                </c:pt>
                <c:pt idx="85">
                  <c:v>2013</c:v>
                </c:pt>
                <c:pt idx="86">
                  <c:v>2013</c:v>
                </c:pt>
                <c:pt idx="87">
                  <c:v>2013</c:v>
                </c:pt>
                <c:pt idx="88">
                  <c:v>2013</c:v>
                </c:pt>
                <c:pt idx="89">
                  <c:v>2013</c:v>
                </c:pt>
                <c:pt idx="90">
                  <c:v>2013</c:v>
                </c:pt>
                <c:pt idx="91">
                  <c:v>2013</c:v>
                </c:pt>
                <c:pt idx="92">
                  <c:v>2013</c:v>
                </c:pt>
                <c:pt idx="93">
                  <c:v>2013</c:v>
                </c:pt>
                <c:pt idx="94">
                  <c:v>2013</c:v>
                </c:pt>
                <c:pt idx="95">
                  <c:v>2013</c:v>
                </c:pt>
                <c:pt idx="96">
                  <c:v>2013</c:v>
                </c:pt>
                <c:pt idx="97">
                  <c:v>2013</c:v>
                </c:pt>
                <c:pt idx="98">
                  <c:v>2013</c:v>
                </c:pt>
                <c:pt idx="99">
                  <c:v>2013</c:v>
                </c:pt>
                <c:pt idx="100">
                  <c:v>2013</c:v>
                </c:pt>
                <c:pt idx="101">
                  <c:v>2013</c:v>
                </c:pt>
                <c:pt idx="102">
                  <c:v>2013</c:v>
                </c:pt>
                <c:pt idx="103">
                  <c:v>2013</c:v>
                </c:pt>
                <c:pt idx="104">
                  <c:v>2013</c:v>
                </c:pt>
                <c:pt idx="105">
                  <c:v>2013</c:v>
                </c:pt>
                <c:pt idx="106">
                  <c:v>2013</c:v>
                </c:pt>
                <c:pt idx="107">
                  <c:v>2013</c:v>
                </c:pt>
                <c:pt idx="108">
                  <c:v>2013</c:v>
                </c:pt>
                <c:pt idx="109">
                  <c:v>2013</c:v>
                </c:pt>
                <c:pt idx="110">
                  <c:v>2013</c:v>
                </c:pt>
                <c:pt idx="111">
                  <c:v>2013</c:v>
                </c:pt>
                <c:pt idx="112">
                  <c:v>2013</c:v>
                </c:pt>
                <c:pt idx="113">
                  <c:v>2013</c:v>
                </c:pt>
                <c:pt idx="114">
                  <c:v>2013</c:v>
                </c:pt>
                <c:pt idx="115">
                  <c:v>2013</c:v>
                </c:pt>
                <c:pt idx="116">
                  <c:v>2013</c:v>
                </c:pt>
                <c:pt idx="117">
                  <c:v>2013</c:v>
                </c:pt>
                <c:pt idx="118">
                  <c:v>2013</c:v>
                </c:pt>
                <c:pt idx="119">
                  <c:v>2013</c:v>
                </c:pt>
                <c:pt idx="120">
                  <c:v>2013</c:v>
                </c:pt>
                <c:pt idx="121">
                  <c:v>2013</c:v>
                </c:pt>
                <c:pt idx="122">
                  <c:v>2013</c:v>
                </c:pt>
                <c:pt idx="123">
                  <c:v>2013</c:v>
                </c:pt>
                <c:pt idx="124">
                  <c:v>2013</c:v>
                </c:pt>
                <c:pt idx="125">
                  <c:v>2013</c:v>
                </c:pt>
                <c:pt idx="126">
                  <c:v>2013</c:v>
                </c:pt>
                <c:pt idx="127">
                  <c:v>2013</c:v>
                </c:pt>
                <c:pt idx="128">
                  <c:v>2013</c:v>
                </c:pt>
                <c:pt idx="129">
                  <c:v>2013</c:v>
                </c:pt>
                <c:pt idx="130">
                  <c:v>2013</c:v>
                </c:pt>
                <c:pt idx="131">
                  <c:v>2013</c:v>
                </c:pt>
                <c:pt idx="132">
                  <c:v>2013</c:v>
                </c:pt>
                <c:pt idx="133">
                  <c:v>2013</c:v>
                </c:pt>
                <c:pt idx="134">
                  <c:v>2013</c:v>
                </c:pt>
                <c:pt idx="135">
                  <c:v>2013</c:v>
                </c:pt>
                <c:pt idx="136">
                  <c:v>2013</c:v>
                </c:pt>
                <c:pt idx="137">
                  <c:v>2013</c:v>
                </c:pt>
                <c:pt idx="138">
                  <c:v>2013</c:v>
                </c:pt>
                <c:pt idx="139">
                  <c:v>2013</c:v>
                </c:pt>
                <c:pt idx="140">
                  <c:v>2013</c:v>
                </c:pt>
                <c:pt idx="141">
                  <c:v>2013</c:v>
                </c:pt>
                <c:pt idx="142">
                  <c:v>2013</c:v>
                </c:pt>
                <c:pt idx="143">
                  <c:v>2013</c:v>
                </c:pt>
                <c:pt idx="144">
                  <c:v>2013</c:v>
                </c:pt>
                <c:pt idx="145">
                  <c:v>2013</c:v>
                </c:pt>
                <c:pt idx="146">
                  <c:v>2013</c:v>
                </c:pt>
                <c:pt idx="147">
                  <c:v>2013</c:v>
                </c:pt>
                <c:pt idx="148">
                  <c:v>2013</c:v>
                </c:pt>
                <c:pt idx="149">
                  <c:v>2013</c:v>
                </c:pt>
                <c:pt idx="150">
                  <c:v>2013</c:v>
                </c:pt>
                <c:pt idx="151">
                  <c:v>2013</c:v>
                </c:pt>
                <c:pt idx="152">
                  <c:v>2013</c:v>
                </c:pt>
                <c:pt idx="153">
                  <c:v>2013</c:v>
                </c:pt>
                <c:pt idx="154">
                  <c:v>2013</c:v>
                </c:pt>
                <c:pt idx="155">
                  <c:v>2013</c:v>
                </c:pt>
                <c:pt idx="156">
                  <c:v>2013</c:v>
                </c:pt>
                <c:pt idx="157">
                  <c:v>2013</c:v>
                </c:pt>
                <c:pt idx="158">
                  <c:v>2013</c:v>
                </c:pt>
                <c:pt idx="159">
                  <c:v>2013</c:v>
                </c:pt>
                <c:pt idx="160">
                  <c:v>2013</c:v>
                </c:pt>
                <c:pt idx="161">
                  <c:v>2013</c:v>
                </c:pt>
                <c:pt idx="162">
                  <c:v>2013</c:v>
                </c:pt>
                <c:pt idx="163">
                  <c:v>2013</c:v>
                </c:pt>
                <c:pt idx="164">
                  <c:v>2013</c:v>
                </c:pt>
                <c:pt idx="165">
                  <c:v>2013</c:v>
                </c:pt>
                <c:pt idx="166">
                  <c:v>2013</c:v>
                </c:pt>
                <c:pt idx="167">
                  <c:v>2013</c:v>
                </c:pt>
                <c:pt idx="168">
                  <c:v>2013</c:v>
                </c:pt>
                <c:pt idx="169">
                  <c:v>2013</c:v>
                </c:pt>
                <c:pt idx="170">
                  <c:v>2013</c:v>
                </c:pt>
                <c:pt idx="171">
                  <c:v>2013</c:v>
                </c:pt>
                <c:pt idx="172">
                  <c:v>2013</c:v>
                </c:pt>
                <c:pt idx="173">
                  <c:v>2013</c:v>
                </c:pt>
                <c:pt idx="174">
                  <c:v>2013</c:v>
                </c:pt>
                <c:pt idx="175">
                  <c:v>2013</c:v>
                </c:pt>
                <c:pt idx="176">
                  <c:v>2013</c:v>
                </c:pt>
                <c:pt idx="177">
                  <c:v>2013</c:v>
                </c:pt>
                <c:pt idx="178">
                  <c:v>2013</c:v>
                </c:pt>
                <c:pt idx="179">
                  <c:v>2013</c:v>
                </c:pt>
                <c:pt idx="180">
                  <c:v>2013</c:v>
                </c:pt>
                <c:pt idx="181">
                  <c:v>2013</c:v>
                </c:pt>
              </c:numCache>
            </c:numRef>
          </c:xVal>
          <c:yVal>
            <c:numRef>
              <c:f>Götuumferð!$L$102:$L$282</c:f>
              <c:numCache>
                <c:formatCode>0.0%</c:formatCode>
                <c:ptCount val="181"/>
                <c:pt idx="0">
                  <c:v>-6.5011411577564626E-3</c:v>
                </c:pt>
                <c:pt idx="1">
                  <c:v>2.1234936057609621E-2</c:v>
                </c:pt>
                <c:pt idx="2">
                  <c:v>2.2612482669521983E-2</c:v>
                </c:pt>
                <c:pt idx="3">
                  <c:v>-1.0773239241054333E-2</c:v>
                </c:pt>
                <c:pt idx="4">
                  <c:v>1.9932940866862481E-4</c:v>
                </c:pt>
                <c:pt idx="5">
                  <c:v>4.9997258337208361E-2</c:v>
                </c:pt>
                <c:pt idx="6">
                  <c:v>5.316617572673854E-2</c:v>
                </c:pt>
                <c:pt idx="7">
                  <c:v>-1.2102943876614258E-2</c:v>
                </c:pt>
                <c:pt idx="8">
                  <c:v>-1.2347531243904974E-2</c:v>
                </c:pt>
                <c:pt idx="9">
                  <c:v>3.7513973897249642E-2</c:v>
                </c:pt>
                <c:pt idx="10">
                  <c:v>1.3105934423409238E-2</c:v>
                </c:pt>
                <c:pt idx="11">
                  <c:v>2.0772344067444104E-2</c:v>
                </c:pt>
                <c:pt idx="13">
                  <c:v>6.7499129829446503E-2</c:v>
                </c:pt>
                <c:pt idx="14">
                  <c:v>3.1703501664594347E-2</c:v>
                </c:pt>
                <c:pt idx="15">
                  <c:v>-1.3709039907671028E-2</c:v>
                </c:pt>
                <c:pt idx="16">
                  <c:v>8.4308935834134235E-2</c:v>
                </c:pt>
                <c:pt idx="17">
                  <c:v>2.8288577696642836E-2</c:v>
                </c:pt>
                <c:pt idx="18">
                  <c:v>2.9924003598842397E-3</c:v>
                </c:pt>
                <c:pt idx="19">
                  <c:v>2.9769990578829342E-2</c:v>
                </c:pt>
                <c:pt idx="20">
                  <c:v>3.7510218064958689E-2</c:v>
                </c:pt>
                <c:pt idx="21">
                  <c:v>6.9878776376293139E-3</c:v>
                </c:pt>
                <c:pt idx="22">
                  <c:v>3.1743073660680299E-2</c:v>
                </c:pt>
                <c:pt idx="23">
                  <c:v>1.8817351057017984E-2</c:v>
                </c:pt>
                <c:pt idx="24">
                  <c:v>2.0840861172843672E-2</c:v>
                </c:pt>
                <c:pt idx="26">
                  <c:v>3.9990014951886366E-2</c:v>
                </c:pt>
                <c:pt idx="27">
                  <c:v>3.6646527793976924E-2</c:v>
                </c:pt>
                <c:pt idx="28">
                  <c:v>6.4990523714703929E-2</c:v>
                </c:pt>
                <c:pt idx="29">
                  <c:v>-1.0203119155832718E-3</c:v>
                </c:pt>
                <c:pt idx="30">
                  <c:v>3.7199896901622731E-2</c:v>
                </c:pt>
                <c:pt idx="31">
                  <c:v>1.8847036816249885E-2</c:v>
                </c:pt>
                <c:pt idx="32">
                  <c:v>3.0916320287228238E-2</c:v>
                </c:pt>
                <c:pt idx="33">
                  <c:v>9.0264401990081122E-3</c:v>
                </c:pt>
                <c:pt idx="34">
                  <c:v>5.724328377809984E-2</c:v>
                </c:pt>
                <c:pt idx="35">
                  <c:v>3.4928536858530368E-2</c:v>
                </c:pt>
                <c:pt idx="36">
                  <c:v>2.9054758032768024E-2</c:v>
                </c:pt>
                <c:pt idx="37">
                  <c:v>3.1494800755016428E-3</c:v>
                </c:pt>
                <c:pt idx="39">
                  <c:v>1.5793640482151261E-3</c:v>
                </c:pt>
                <c:pt idx="40">
                  <c:v>-8.1005421970768987E-3</c:v>
                </c:pt>
                <c:pt idx="41">
                  <c:v>3.2801366903268292E-2</c:v>
                </c:pt>
                <c:pt idx="42">
                  <c:v>2.9327215027453724E-2</c:v>
                </c:pt>
                <c:pt idx="43">
                  <c:v>1.8459559074088583E-2</c:v>
                </c:pt>
                <c:pt idx="44">
                  <c:v>7.8669907753460055E-2</c:v>
                </c:pt>
                <c:pt idx="45">
                  <c:v>7.3713859066032006E-2</c:v>
                </c:pt>
                <c:pt idx="46">
                  <c:v>6.886426124927536E-2</c:v>
                </c:pt>
                <c:pt idx="47">
                  <c:v>6.2811952275471983E-2</c:v>
                </c:pt>
                <c:pt idx="48">
                  <c:v>4.5992227390424523E-2</c:v>
                </c:pt>
                <c:pt idx="49">
                  <c:v>5.5401359542565309E-2</c:v>
                </c:pt>
                <c:pt idx="50">
                  <c:v>4.4999221248968491E-2</c:v>
                </c:pt>
                <c:pt idx="52">
                  <c:v>4.7915906712796108E-2</c:v>
                </c:pt>
                <c:pt idx="53">
                  <c:v>7.2998907075876529E-2</c:v>
                </c:pt>
                <c:pt idx="54">
                  <c:v>3.3667731816716229E-2</c:v>
                </c:pt>
                <c:pt idx="55">
                  <c:v>0.12931920139298558</c:v>
                </c:pt>
                <c:pt idx="56">
                  <c:v>7.627856086114404E-2</c:v>
                </c:pt>
                <c:pt idx="57">
                  <c:v>4.2433335217570534E-2</c:v>
                </c:pt>
                <c:pt idx="58">
                  <c:v>3.5452079310759332E-2</c:v>
                </c:pt>
                <c:pt idx="59">
                  <c:v>9.1991834476374823E-2</c:v>
                </c:pt>
                <c:pt idx="60">
                  <c:v>8.0739447700058697E-2</c:v>
                </c:pt>
                <c:pt idx="61">
                  <c:v>4.3173615921811903E-2</c:v>
                </c:pt>
                <c:pt idx="62">
                  <c:v>8.886530075069965E-2</c:v>
                </c:pt>
                <c:pt idx="63">
                  <c:v>0.12355435607004517</c:v>
                </c:pt>
                <c:pt idx="65">
                  <c:v>9.2598994248547228E-2</c:v>
                </c:pt>
                <c:pt idx="66">
                  <c:v>6.5181826417116451E-2</c:v>
                </c:pt>
                <c:pt idx="67">
                  <c:v>0.14602069686869656</c:v>
                </c:pt>
                <c:pt idx="68">
                  <c:v>5.0586704483408518E-2</c:v>
                </c:pt>
                <c:pt idx="69">
                  <c:v>8.1334498557619428E-2</c:v>
                </c:pt>
                <c:pt idx="70">
                  <c:v>0.10537924959819756</c:v>
                </c:pt>
                <c:pt idx="71">
                  <c:v>9.502970138226563E-2</c:v>
                </c:pt>
                <c:pt idx="72">
                  <c:v>6.4694654771844773E-2</c:v>
                </c:pt>
                <c:pt idx="73">
                  <c:v>7.1577712119395676E-2</c:v>
                </c:pt>
                <c:pt idx="74">
                  <c:v>9.044452708126749E-2</c:v>
                </c:pt>
                <c:pt idx="75">
                  <c:v>5.485673846222161E-2</c:v>
                </c:pt>
                <c:pt idx="76">
                  <c:v>4.9950438902150562E-2</c:v>
                </c:pt>
                <c:pt idx="78">
                  <c:v>4.6028510544006807E-2</c:v>
                </c:pt>
                <c:pt idx="79">
                  <c:v>1.9834602743784124E-2</c:v>
                </c:pt>
                <c:pt idx="80">
                  <c:v>2.4309303816771655E-2</c:v>
                </c:pt>
                <c:pt idx="81">
                  <c:v>4.1905511872618817E-2</c:v>
                </c:pt>
                <c:pt idx="82">
                  <c:v>2.6130907130897052E-2</c:v>
                </c:pt>
                <c:pt idx="83">
                  <c:v>2.5515341511492151E-2</c:v>
                </c:pt>
                <c:pt idx="84">
                  <c:v>2.5631498875323899E-2</c:v>
                </c:pt>
                <c:pt idx="85">
                  <c:v>2.386228392333134E-2</c:v>
                </c:pt>
                <c:pt idx="86">
                  <c:v>1.5010312465283171E-2</c:v>
                </c:pt>
                <c:pt idx="87">
                  <c:v>4.1026855491876901E-2</c:v>
                </c:pt>
                <c:pt idx="88">
                  <c:v>4.3795203735273347E-2</c:v>
                </c:pt>
                <c:pt idx="89">
                  <c:v>5.1712362572400306E-3</c:v>
                </c:pt>
                <c:pt idx="90">
                  <c:v>1.5241885439683404E-2</c:v>
                </c:pt>
                <c:pt idx="91">
                  <c:v>1.6218273886985379E-2</c:v>
                </c:pt>
                <c:pt idx="92">
                  <c:v>7.058472295642737E-2</c:v>
                </c:pt>
                <c:pt idx="93">
                  <c:v>8.2706372678418294E-3</c:v>
                </c:pt>
                <c:pt idx="94">
                  <c:v>-2.5650990202638724E-2</c:v>
                </c:pt>
                <c:pt idx="95">
                  <c:v>4.7355358180302565E-2</c:v>
                </c:pt>
                <c:pt idx="96">
                  <c:v>-1.4813813145482357E-2</c:v>
                </c:pt>
                <c:pt idx="97">
                  <c:v>2.2510750142982872E-2</c:v>
                </c:pt>
                <c:pt idx="98">
                  <c:v>3.564310533311188E-3</c:v>
                </c:pt>
                <c:pt idx="99">
                  <c:v>3.1536402084781923E-3</c:v>
                </c:pt>
                <c:pt idx="100">
                  <c:v>1.6088144407091498E-2</c:v>
                </c:pt>
                <c:pt idx="101">
                  <c:v>1.7113859336255199E-3</c:v>
                </c:pt>
                <c:pt idx="102">
                  <c:v>-1.0444039501341096E-2</c:v>
                </c:pt>
                <c:pt idx="104">
                  <c:v>-1.5792261795868123E-2</c:v>
                </c:pt>
                <c:pt idx="105">
                  <c:v>-8.7228827769554318E-3</c:v>
                </c:pt>
                <c:pt idx="106">
                  <c:v>-0.20666133367378603</c:v>
                </c:pt>
                <c:pt idx="107">
                  <c:v>-0.27729578970386559</c:v>
                </c:pt>
                <c:pt idx="108">
                  <c:v>1.2417322631711691E-2</c:v>
                </c:pt>
                <c:pt idx="109">
                  <c:v>1.2417322631711691E-2</c:v>
                </c:pt>
                <c:pt idx="110">
                  <c:v>-3.4211859035475745E-2</c:v>
                </c:pt>
                <c:pt idx="111">
                  <c:v>-7.2665048536431853E-2</c:v>
                </c:pt>
                <c:pt idx="112">
                  <c:v>-4.4498688906854045E-2</c:v>
                </c:pt>
                <c:pt idx="113">
                  <c:v>-0.19953389524534126</c:v>
                </c:pt>
                <c:pt idx="114">
                  <c:v>-0.20005986587488311</c:v>
                </c:pt>
                <c:pt idx="115">
                  <c:v>-7.6698257743490927E-2</c:v>
                </c:pt>
                <c:pt idx="117">
                  <c:v>-6.4187483298504433E-2</c:v>
                </c:pt>
                <c:pt idx="118">
                  <c:v>-7.7155880955463996E-3</c:v>
                </c:pt>
                <c:pt idx="119">
                  <c:v>0.24699234049298324</c:v>
                </c:pt>
                <c:pt idx="120">
                  <c:v>0.31618900213645995</c:v>
                </c:pt>
                <c:pt idx="121">
                  <c:v>7.9853339489473374E-2</c:v>
                </c:pt>
                <c:pt idx="122">
                  <c:v>5.4291794093859203E-3</c:v>
                </c:pt>
                <c:pt idx="123">
                  <c:v>-3.0995975475158422E-2</c:v>
                </c:pt>
                <c:pt idx="124">
                  <c:v>5.7811466247121412E-2</c:v>
                </c:pt>
                <c:pt idx="125">
                  <c:v>5.9638299859981148E-2</c:v>
                </c:pt>
                <c:pt idx="126">
                  <c:v>0.25038703167081477</c:v>
                </c:pt>
                <c:pt idx="127">
                  <c:v>0.23027141582643429</c:v>
                </c:pt>
                <c:pt idx="128">
                  <c:v>0.10858682701311517</c:v>
                </c:pt>
                <c:pt idx="130">
                  <c:v>-2.186596176249167E-2</c:v>
                </c:pt>
                <c:pt idx="131">
                  <c:v>-9.168900296991056E-2</c:v>
                </c:pt>
                <c:pt idx="132">
                  <c:v>2.2609340323860305E-3</c:v>
                </c:pt>
                <c:pt idx="133">
                  <c:v>8.5794784807432078E-2</c:v>
                </c:pt>
                <c:pt idx="134">
                  <c:v>5.0705727354587449E-2</c:v>
                </c:pt>
                <c:pt idx="135">
                  <c:v>2.4783669267456787E-2</c:v>
                </c:pt>
                <c:pt idx="136">
                  <c:v>2.6050828554224026E-2</c:v>
                </c:pt>
                <c:pt idx="137">
                  <c:v>5.1510210516382937E-2</c:v>
                </c:pt>
                <c:pt idx="138">
                  <c:v>2.5823978802897773E-2</c:v>
                </c:pt>
                <c:pt idx="139">
                  <c:v>1.0845547921314314E-3</c:v>
                </c:pt>
                <c:pt idx="140">
                  <c:v>4.8138090183257765E-2</c:v>
                </c:pt>
                <c:pt idx="141">
                  <c:v>-2.0438323263986424E-2</c:v>
                </c:pt>
                <c:pt idx="143">
                  <c:v>0.12092111634661062</c:v>
                </c:pt>
                <c:pt idx="144">
                  <c:v>0.12051509568130125</c:v>
                </c:pt>
                <c:pt idx="145">
                  <c:v>8.3803784853466956E-2</c:v>
                </c:pt>
                <c:pt idx="146">
                  <c:v>-2.0890036609353513E-2</c:v>
                </c:pt>
                <c:pt idx="147">
                  <c:v>-1.4999999999999999E-2</c:v>
                </c:pt>
                <c:pt idx="148">
                  <c:v>5.1999999999999998E-2</c:v>
                </c:pt>
                <c:pt idx="149">
                  <c:v>7.2999999999999995E-2</c:v>
                </c:pt>
                <c:pt idx="150">
                  <c:v>1.2999999999999999E-2</c:v>
                </c:pt>
                <c:pt idx="151">
                  <c:v>2.5999999999999999E-2</c:v>
                </c:pt>
                <c:pt idx="152">
                  <c:v>2.8000000000000001E-2</c:v>
                </c:pt>
                <c:pt idx="153">
                  <c:v>3.5000000000000003E-2</c:v>
                </c:pt>
                <c:pt idx="154">
                  <c:v>7.3999999999999996E-2</c:v>
                </c:pt>
                <c:pt idx="155" formatCode="General">
                  <c:v>0</c:v>
                </c:pt>
                <c:pt idx="156" formatCode="0.00%">
                  <c:v>3.6999999999999998E-2</c:v>
                </c:pt>
                <c:pt idx="157" formatCode="0.00%">
                  <c:v>6.7000000000000004E-2</c:v>
                </c:pt>
                <c:pt idx="158" formatCode="0.00%">
                  <c:v>-2.1999999999999999E-2</c:v>
                </c:pt>
                <c:pt idx="159" formatCode="0.00%">
                  <c:v>0.124</c:v>
                </c:pt>
                <c:pt idx="160" formatCode="0.00%">
                  <c:v>4.2999999999999997E-2</c:v>
                </c:pt>
                <c:pt idx="161" formatCode="0.00%">
                  <c:v>-1.4999999999999999E-2</c:v>
                </c:pt>
                <c:pt idx="162" formatCode="0.00%">
                  <c:v>3.2000000000000001E-2</c:v>
                </c:pt>
                <c:pt idx="163" formatCode="0.00%">
                  <c:v>2.9000000000000001E-2</c:v>
                </c:pt>
                <c:pt idx="164" formatCode="0.00%">
                  <c:v>1.7000000000000001E-2</c:v>
                </c:pt>
                <c:pt idx="165" formatCode="0.00%">
                  <c:v>4.1000000000000002E-2</c:v>
                </c:pt>
                <c:pt idx="166" formatCode="0.00%">
                  <c:v>-1.4E-2</c:v>
                </c:pt>
                <c:pt idx="167" formatCode="0.00%">
                  <c:v>1E-3</c:v>
                </c:pt>
                <c:pt idx="169" formatCode="0.00%">
                  <c:v>2.3010458182622099E-2</c:v>
                </c:pt>
                <c:pt idx="170" formatCode="0.00%">
                  <c:v>6.5246375989333634E-4</c:v>
                </c:pt>
                <c:pt idx="171" formatCode="0.00%">
                  <c:v>4.1737576823262679E-2</c:v>
                </c:pt>
                <c:pt idx="172" formatCode="0.00%">
                  <c:v>-2.6996047644536721E-2</c:v>
                </c:pt>
                <c:pt idx="173" formatCode="0.00%">
                  <c:v>2.3829773662332691E-2</c:v>
                </c:pt>
                <c:pt idx="174" formatCode="0.00%">
                  <c:v>1.7204009753454347E-2</c:v>
                </c:pt>
                <c:pt idx="175" formatCode="0.00%">
                  <c:v>2.1410806126697952E-2</c:v>
                </c:pt>
                <c:pt idx="176" formatCode="0.00%">
                  <c:v>4.845551417283365E-3</c:v>
                </c:pt>
                <c:pt idx="177" formatCode="0.00%">
                  <c:v>3.098023565982651E-3</c:v>
                </c:pt>
                <c:pt idx="178" formatCode="0.00%">
                  <c:v>-3.9529976678635829E-2</c:v>
                </c:pt>
                <c:pt idx="179" formatCode="0.00%">
                  <c:v>-1.2683787704900284E-2</c:v>
                </c:pt>
                <c:pt idx="180" formatCode="0.00%">
                  <c:v>4.2691434517334342E-2</c:v>
                </c:pt>
              </c:numCache>
            </c:numRef>
          </c:yVal>
          <c:smooth val="0"/>
          <c:extLst>
            <c:ext xmlns:c16="http://schemas.microsoft.com/office/drawing/2014/chart" uri="{C3380CC4-5D6E-409C-BE32-E72D297353CC}">
              <c16:uniqueId val="{00000000-5E26-4932-A05A-3379697B83B3}"/>
            </c:ext>
          </c:extLst>
        </c:ser>
        <c:dLbls>
          <c:showLegendKey val="0"/>
          <c:showVal val="0"/>
          <c:showCatName val="0"/>
          <c:showSerName val="0"/>
          <c:showPercent val="0"/>
          <c:showBubbleSize val="0"/>
        </c:dLbls>
        <c:axId val="1695511631"/>
        <c:axId val="30346591"/>
      </c:scatterChart>
      <c:valAx>
        <c:axId val="1695511631"/>
        <c:scaling>
          <c:orientation val="minMax"/>
          <c:max val="2025"/>
          <c:min val="2012"/>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30346591"/>
        <c:crosses val="autoZero"/>
        <c:crossBetween val="midCat"/>
      </c:valAx>
      <c:valAx>
        <c:axId val="303465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Breyting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6955116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Götuumferð!$S$116:$S$283</c:f>
              <c:numCache>
                <c:formatCode>General</c:formatCode>
                <c:ptCount val="168"/>
                <c:pt idx="0">
                  <c:v>2013</c:v>
                </c:pt>
                <c:pt idx="1">
                  <c:v>2013</c:v>
                </c:pt>
                <c:pt idx="2">
                  <c:v>2013</c:v>
                </c:pt>
                <c:pt idx="3">
                  <c:v>2013</c:v>
                </c:pt>
                <c:pt idx="4">
                  <c:v>2013</c:v>
                </c:pt>
                <c:pt idx="5">
                  <c:v>2013</c:v>
                </c:pt>
                <c:pt idx="6">
                  <c:v>2013</c:v>
                </c:pt>
                <c:pt idx="7">
                  <c:v>2013</c:v>
                </c:pt>
                <c:pt idx="8">
                  <c:v>2013</c:v>
                </c:pt>
                <c:pt idx="9">
                  <c:v>2013</c:v>
                </c:pt>
                <c:pt idx="10">
                  <c:v>2013</c:v>
                </c:pt>
                <c:pt idx="11">
                  <c:v>2013</c:v>
                </c:pt>
                <c:pt idx="13">
                  <c:v>2014</c:v>
                </c:pt>
                <c:pt idx="14">
                  <c:v>2014</c:v>
                </c:pt>
                <c:pt idx="15">
                  <c:v>2014</c:v>
                </c:pt>
                <c:pt idx="16">
                  <c:v>2014</c:v>
                </c:pt>
                <c:pt idx="17">
                  <c:v>2014</c:v>
                </c:pt>
                <c:pt idx="18">
                  <c:v>2014</c:v>
                </c:pt>
                <c:pt idx="19">
                  <c:v>2014</c:v>
                </c:pt>
                <c:pt idx="20">
                  <c:v>2014</c:v>
                </c:pt>
                <c:pt idx="21">
                  <c:v>2014</c:v>
                </c:pt>
                <c:pt idx="22">
                  <c:v>2014</c:v>
                </c:pt>
                <c:pt idx="23">
                  <c:v>2014</c:v>
                </c:pt>
                <c:pt idx="24">
                  <c:v>2014</c:v>
                </c:pt>
                <c:pt idx="26">
                  <c:v>2015</c:v>
                </c:pt>
                <c:pt idx="27">
                  <c:v>2015</c:v>
                </c:pt>
                <c:pt idx="28">
                  <c:v>2015</c:v>
                </c:pt>
                <c:pt idx="29">
                  <c:v>2015</c:v>
                </c:pt>
                <c:pt idx="30">
                  <c:v>2015</c:v>
                </c:pt>
                <c:pt idx="31">
                  <c:v>2015</c:v>
                </c:pt>
                <c:pt idx="32">
                  <c:v>2015</c:v>
                </c:pt>
                <c:pt idx="33">
                  <c:v>2015</c:v>
                </c:pt>
                <c:pt idx="34">
                  <c:v>2015</c:v>
                </c:pt>
                <c:pt idx="35">
                  <c:v>2015</c:v>
                </c:pt>
                <c:pt idx="36">
                  <c:v>2015</c:v>
                </c:pt>
                <c:pt idx="37">
                  <c:v>2015</c:v>
                </c:pt>
                <c:pt idx="39">
                  <c:v>2016</c:v>
                </c:pt>
                <c:pt idx="40">
                  <c:v>2016</c:v>
                </c:pt>
                <c:pt idx="41">
                  <c:v>2016</c:v>
                </c:pt>
                <c:pt idx="42">
                  <c:v>2016</c:v>
                </c:pt>
                <c:pt idx="43">
                  <c:v>2016</c:v>
                </c:pt>
                <c:pt idx="44">
                  <c:v>2016</c:v>
                </c:pt>
                <c:pt idx="45">
                  <c:v>2016</c:v>
                </c:pt>
                <c:pt idx="46">
                  <c:v>2016</c:v>
                </c:pt>
                <c:pt idx="47">
                  <c:v>2016</c:v>
                </c:pt>
                <c:pt idx="48">
                  <c:v>2016</c:v>
                </c:pt>
                <c:pt idx="49">
                  <c:v>2016</c:v>
                </c:pt>
                <c:pt idx="50">
                  <c:v>2016</c:v>
                </c:pt>
                <c:pt idx="52">
                  <c:v>2017</c:v>
                </c:pt>
                <c:pt idx="53">
                  <c:v>2017</c:v>
                </c:pt>
                <c:pt idx="54">
                  <c:v>2017</c:v>
                </c:pt>
                <c:pt idx="55">
                  <c:v>2017</c:v>
                </c:pt>
                <c:pt idx="56">
                  <c:v>2017</c:v>
                </c:pt>
                <c:pt idx="57">
                  <c:v>2017</c:v>
                </c:pt>
                <c:pt idx="58">
                  <c:v>2017</c:v>
                </c:pt>
                <c:pt idx="59">
                  <c:v>2017</c:v>
                </c:pt>
                <c:pt idx="60">
                  <c:v>2017</c:v>
                </c:pt>
                <c:pt idx="61">
                  <c:v>2017</c:v>
                </c:pt>
                <c:pt idx="62">
                  <c:v>2017</c:v>
                </c:pt>
                <c:pt idx="63">
                  <c:v>2017</c:v>
                </c:pt>
                <c:pt idx="65">
                  <c:v>2018</c:v>
                </c:pt>
                <c:pt idx="66">
                  <c:v>2018</c:v>
                </c:pt>
                <c:pt idx="67">
                  <c:v>2018</c:v>
                </c:pt>
                <c:pt idx="68">
                  <c:v>2018</c:v>
                </c:pt>
                <c:pt idx="69">
                  <c:v>2018</c:v>
                </c:pt>
                <c:pt idx="70">
                  <c:v>2018</c:v>
                </c:pt>
                <c:pt idx="71">
                  <c:v>2018</c:v>
                </c:pt>
                <c:pt idx="72">
                  <c:v>2018</c:v>
                </c:pt>
                <c:pt idx="73">
                  <c:v>2018</c:v>
                </c:pt>
                <c:pt idx="74">
                  <c:v>2018</c:v>
                </c:pt>
                <c:pt idx="75">
                  <c:v>2018</c:v>
                </c:pt>
                <c:pt idx="76">
                  <c:v>2018</c:v>
                </c:pt>
                <c:pt idx="78">
                  <c:v>2019</c:v>
                </c:pt>
                <c:pt idx="79">
                  <c:v>2019</c:v>
                </c:pt>
                <c:pt idx="80">
                  <c:v>2019</c:v>
                </c:pt>
                <c:pt idx="81">
                  <c:v>2019</c:v>
                </c:pt>
                <c:pt idx="82">
                  <c:v>2019</c:v>
                </c:pt>
                <c:pt idx="83">
                  <c:v>2019</c:v>
                </c:pt>
                <c:pt idx="84">
                  <c:v>2019</c:v>
                </c:pt>
                <c:pt idx="85">
                  <c:v>2019</c:v>
                </c:pt>
                <c:pt idx="86">
                  <c:v>2019</c:v>
                </c:pt>
                <c:pt idx="87">
                  <c:v>2019</c:v>
                </c:pt>
                <c:pt idx="88">
                  <c:v>2019</c:v>
                </c:pt>
                <c:pt idx="89">
                  <c:v>2019</c:v>
                </c:pt>
                <c:pt idx="91">
                  <c:v>2020</c:v>
                </c:pt>
                <c:pt idx="92">
                  <c:v>2020</c:v>
                </c:pt>
                <c:pt idx="93">
                  <c:v>2020</c:v>
                </c:pt>
                <c:pt idx="94">
                  <c:v>2020</c:v>
                </c:pt>
                <c:pt idx="95">
                  <c:v>2020</c:v>
                </c:pt>
                <c:pt idx="96">
                  <c:v>2020</c:v>
                </c:pt>
                <c:pt idx="97">
                  <c:v>2020</c:v>
                </c:pt>
                <c:pt idx="98">
                  <c:v>2020</c:v>
                </c:pt>
                <c:pt idx="99">
                  <c:v>2020</c:v>
                </c:pt>
                <c:pt idx="100">
                  <c:v>2020</c:v>
                </c:pt>
                <c:pt idx="101">
                  <c:v>2020</c:v>
                </c:pt>
                <c:pt idx="102">
                  <c:v>2020</c:v>
                </c:pt>
                <c:pt idx="104">
                  <c:v>2021</c:v>
                </c:pt>
                <c:pt idx="105">
                  <c:v>2021</c:v>
                </c:pt>
                <c:pt idx="106">
                  <c:v>2021</c:v>
                </c:pt>
                <c:pt idx="107">
                  <c:v>2021</c:v>
                </c:pt>
                <c:pt idx="108">
                  <c:v>2021</c:v>
                </c:pt>
                <c:pt idx="109">
                  <c:v>2021</c:v>
                </c:pt>
                <c:pt idx="110">
                  <c:v>2021</c:v>
                </c:pt>
                <c:pt idx="111">
                  <c:v>2021</c:v>
                </c:pt>
                <c:pt idx="112">
                  <c:v>2021</c:v>
                </c:pt>
                <c:pt idx="113">
                  <c:v>2021</c:v>
                </c:pt>
                <c:pt idx="114">
                  <c:v>2021</c:v>
                </c:pt>
                <c:pt idx="115">
                  <c:v>2021</c:v>
                </c:pt>
                <c:pt idx="117">
                  <c:v>2022</c:v>
                </c:pt>
                <c:pt idx="118">
                  <c:v>2022</c:v>
                </c:pt>
                <c:pt idx="119">
                  <c:v>2022</c:v>
                </c:pt>
                <c:pt idx="120">
                  <c:v>2022</c:v>
                </c:pt>
                <c:pt idx="121">
                  <c:v>2022</c:v>
                </c:pt>
                <c:pt idx="122">
                  <c:v>2022</c:v>
                </c:pt>
                <c:pt idx="123">
                  <c:v>2022</c:v>
                </c:pt>
                <c:pt idx="124">
                  <c:v>2022</c:v>
                </c:pt>
                <c:pt idx="125">
                  <c:v>2022</c:v>
                </c:pt>
                <c:pt idx="126">
                  <c:v>2022</c:v>
                </c:pt>
                <c:pt idx="127">
                  <c:v>2022</c:v>
                </c:pt>
                <c:pt idx="128">
                  <c:v>2022</c:v>
                </c:pt>
                <c:pt idx="130">
                  <c:v>2023</c:v>
                </c:pt>
                <c:pt idx="131">
                  <c:v>2023</c:v>
                </c:pt>
                <c:pt idx="132">
                  <c:v>2023</c:v>
                </c:pt>
                <c:pt idx="133">
                  <c:v>2023</c:v>
                </c:pt>
                <c:pt idx="134">
                  <c:v>2023</c:v>
                </c:pt>
                <c:pt idx="135">
                  <c:v>2023</c:v>
                </c:pt>
                <c:pt idx="136">
                  <c:v>2023</c:v>
                </c:pt>
                <c:pt idx="137">
                  <c:v>2023</c:v>
                </c:pt>
                <c:pt idx="138">
                  <c:v>2023</c:v>
                </c:pt>
                <c:pt idx="139">
                  <c:v>2023</c:v>
                </c:pt>
                <c:pt idx="140">
                  <c:v>2023</c:v>
                </c:pt>
                <c:pt idx="141">
                  <c:v>2023</c:v>
                </c:pt>
                <c:pt idx="143">
                  <c:v>2024</c:v>
                </c:pt>
                <c:pt idx="144">
                  <c:v>2024</c:v>
                </c:pt>
                <c:pt idx="145">
                  <c:v>2024</c:v>
                </c:pt>
                <c:pt idx="146">
                  <c:v>2024</c:v>
                </c:pt>
                <c:pt idx="147">
                  <c:v>2024</c:v>
                </c:pt>
                <c:pt idx="148">
                  <c:v>2024</c:v>
                </c:pt>
                <c:pt idx="149">
                  <c:v>2024</c:v>
                </c:pt>
                <c:pt idx="150">
                  <c:v>2024</c:v>
                </c:pt>
                <c:pt idx="151">
                  <c:v>2024</c:v>
                </c:pt>
                <c:pt idx="152">
                  <c:v>2024</c:v>
                </c:pt>
                <c:pt idx="153">
                  <c:v>2024</c:v>
                </c:pt>
                <c:pt idx="154">
                  <c:v>2024</c:v>
                </c:pt>
                <c:pt idx="156">
                  <c:v>2025</c:v>
                </c:pt>
                <c:pt idx="157">
                  <c:v>2025</c:v>
                </c:pt>
                <c:pt idx="158">
                  <c:v>2025</c:v>
                </c:pt>
                <c:pt idx="159">
                  <c:v>2025</c:v>
                </c:pt>
                <c:pt idx="160">
                  <c:v>2025</c:v>
                </c:pt>
                <c:pt idx="161">
                  <c:v>2025</c:v>
                </c:pt>
                <c:pt idx="162">
                  <c:v>2025</c:v>
                </c:pt>
                <c:pt idx="163">
                  <c:v>2025</c:v>
                </c:pt>
                <c:pt idx="164">
                  <c:v>2025</c:v>
                </c:pt>
                <c:pt idx="165">
                  <c:v>2025</c:v>
                </c:pt>
                <c:pt idx="166">
                  <c:v>2025</c:v>
                </c:pt>
                <c:pt idx="167">
                  <c:v>2025</c:v>
                </c:pt>
              </c:numCache>
            </c:numRef>
          </c:xVal>
          <c:yVal>
            <c:numRef>
              <c:f>Götuumferð!$L$115:$L$282</c:f>
              <c:numCache>
                <c:formatCode>0.0%</c:formatCode>
                <c:ptCount val="168"/>
                <c:pt idx="0">
                  <c:v>6.7499129829446503E-2</c:v>
                </c:pt>
                <c:pt idx="1">
                  <c:v>3.1703501664594347E-2</c:v>
                </c:pt>
                <c:pt idx="2">
                  <c:v>-1.3709039907671028E-2</c:v>
                </c:pt>
                <c:pt idx="3">
                  <c:v>8.4308935834134235E-2</c:v>
                </c:pt>
                <c:pt idx="4">
                  <c:v>2.8288577696642836E-2</c:v>
                </c:pt>
                <c:pt idx="5">
                  <c:v>2.9924003598842397E-3</c:v>
                </c:pt>
                <c:pt idx="6">
                  <c:v>2.9769990578829342E-2</c:v>
                </c:pt>
                <c:pt idx="7">
                  <c:v>3.7510218064958689E-2</c:v>
                </c:pt>
                <c:pt idx="8">
                  <c:v>6.9878776376293139E-3</c:v>
                </c:pt>
                <c:pt idx="9">
                  <c:v>3.1743073660680299E-2</c:v>
                </c:pt>
                <c:pt idx="10">
                  <c:v>1.8817351057017984E-2</c:v>
                </c:pt>
                <c:pt idx="11">
                  <c:v>2.0840861172843672E-2</c:v>
                </c:pt>
                <c:pt idx="13">
                  <c:v>3.9990014951886366E-2</c:v>
                </c:pt>
                <c:pt idx="14">
                  <c:v>3.6646527793976924E-2</c:v>
                </c:pt>
                <c:pt idx="15">
                  <c:v>6.4990523714703929E-2</c:v>
                </c:pt>
                <c:pt idx="16">
                  <c:v>-1.0203119155832718E-3</c:v>
                </c:pt>
                <c:pt idx="17">
                  <c:v>3.7199896901622731E-2</c:v>
                </c:pt>
                <c:pt idx="18">
                  <c:v>1.8847036816249885E-2</c:v>
                </c:pt>
                <c:pt idx="19">
                  <c:v>3.0916320287228238E-2</c:v>
                </c:pt>
                <c:pt idx="20">
                  <c:v>9.0264401990081122E-3</c:v>
                </c:pt>
                <c:pt idx="21">
                  <c:v>5.724328377809984E-2</c:v>
                </c:pt>
                <c:pt idx="22">
                  <c:v>3.4928536858530368E-2</c:v>
                </c:pt>
                <c:pt idx="23">
                  <c:v>2.9054758032768024E-2</c:v>
                </c:pt>
                <c:pt idx="24">
                  <c:v>3.1494800755016428E-3</c:v>
                </c:pt>
                <c:pt idx="26">
                  <c:v>1.5793640482151261E-3</c:v>
                </c:pt>
                <c:pt idx="27">
                  <c:v>-8.1005421970768987E-3</c:v>
                </c:pt>
                <c:pt idx="28">
                  <c:v>3.2801366903268292E-2</c:v>
                </c:pt>
                <c:pt idx="29">
                  <c:v>2.9327215027453724E-2</c:v>
                </c:pt>
                <c:pt idx="30">
                  <c:v>1.8459559074088583E-2</c:v>
                </c:pt>
                <c:pt idx="31">
                  <c:v>7.8669907753460055E-2</c:v>
                </c:pt>
                <c:pt idx="32">
                  <c:v>7.3713859066032006E-2</c:v>
                </c:pt>
                <c:pt idx="33">
                  <c:v>6.886426124927536E-2</c:v>
                </c:pt>
                <c:pt idx="34">
                  <c:v>6.2811952275471983E-2</c:v>
                </c:pt>
                <c:pt idx="35">
                  <c:v>4.5992227390424523E-2</c:v>
                </c:pt>
                <c:pt idx="36">
                  <c:v>5.5401359542565309E-2</c:v>
                </c:pt>
                <c:pt idx="37">
                  <c:v>4.4999221248968491E-2</c:v>
                </c:pt>
                <c:pt idx="39">
                  <c:v>4.7915906712796108E-2</c:v>
                </c:pt>
                <c:pt idx="40">
                  <c:v>7.2998907075876529E-2</c:v>
                </c:pt>
                <c:pt idx="41">
                  <c:v>3.3667731816716229E-2</c:v>
                </c:pt>
                <c:pt idx="42">
                  <c:v>0.12931920139298558</c:v>
                </c:pt>
                <c:pt idx="43">
                  <c:v>7.627856086114404E-2</c:v>
                </c:pt>
                <c:pt idx="44">
                  <c:v>4.2433335217570534E-2</c:v>
                </c:pt>
                <c:pt idx="45">
                  <c:v>3.5452079310759332E-2</c:v>
                </c:pt>
                <c:pt idx="46">
                  <c:v>9.1991834476374823E-2</c:v>
                </c:pt>
                <c:pt idx="47">
                  <c:v>8.0739447700058697E-2</c:v>
                </c:pt>
                <c:pt idx="48">
                  <c:v>4.3173615921811903E-2</c:v>
                </c:pt>
                <c:pt idx="49">
                  <c:v>8.886530075069965E-2</c:v>
                </c:pt>
                <c:pt idx="50">
                  <c:v>0.12355435607004517</c:v>
                </c:pt>
                <c:pt idx="52">
                  <c:v>9.2598994248547228E-2</c:v>
                </c:pt>
                <c:pt idx="53">
                  <c:v>6.5181826417116451E-2</c:v>
                </c:pt>
                <c:pt idx="54">
                  <c:v>0.14602069686869656</c:v>
                </c:pt>
                <c:pt idx="55">
                  <c:v>5.0586704483408518E-2</c:v>
                </c:pt>
                <c:pt idx="56">
                  <c:v>8.1334498557619428E-2</c:v>
                </c:pt>
                <c:pt idx="57">
                  <c:v>0.10537924959819756</c:v>
                </c:pt>
                <c:pt idx="58">
                  <c:v>9.502970138226563E-2</c:v>
                </c:pt>
                <c:pt idx="59">
                  <c:v>6.4694654771844773E-2</c:v>
                </c:pt>
                <c:pt idx="60">
                  <c:v>7.1577712119395676E-2</c:v>
                </c:pt>
                <c:pt idx="61">
                  <c:v>9.044452708126749E-2</c:v>
                </c:pt>
                <c:pt idx="62">
                  <c:v>5.485673846222161E-2</c:v>
                </c:pt>
                <c:pt idx="63">
                  <c:v>4.9950438902150562E-2</c:v>
                </c:pt>
                <c:pt idx="65">
                  <c:v>4.6028510544006807E-2</c:v>
                </c:pt>
                <c:pt idx="66">
                  <c:v>1.9834602743784124E-2</c:v>
                </c:pt>
                <c:pt idx="67">
                  <c:v>2.4309303816771655E-2</c:v>
                </c:pt>
                <c:pt idx="68">
                  <c:v>4.1905511872618817E-2</c:v>
                </c:pt>
                <c:pt idx="69">
                  <c:v>2.6130907130897052E-2</c:v>
                </c:pt>
                <c:pt idx="70">
                  <c:v>2.5515341511492151E-2</c:v>
                </c:pt>
                <c:pt idx="71">
                  <c:v>2.5631498875323899E-2</c:v>
                </c:pt>
                <c:pt idx="72">
                  <c:v>2.386228392333134E-2</c:v>
                </c:pt>
                <c:pt idx="73">
                  <c:v>1.5010312465283171E-2</c:v>
                </c:pt>
                <c:pt idx="74">
                  <c:v>4.1026855491876901E-2</c:v>
                </c:pt>
                <c:pt idx="75">
                  <c:v>4.3795203735273347E-2</c:v>
                </c:pt>
                <c:pt idx="76">
                  <c:v>5.1712362572400306E-3</c:v>
                </c:pt>
                <c:pt idx="77">
                  <c:v>1.5241885439683404E-2</c:v>
                </c:pt>
                <c:pt idx="78">
                  <c:v>1.6218273886985379E-2</c:v>
                </c:pt>
                <c:pt idx="79">
                  <c:v>7.058472295642737E-2</c:v>
                </c:pt>
                <c:pt idx="80">
                  <c:v>8.2706372678418294E-3</c:v>
                </c:pt>
                <c:pt idx="81">
                  <c:v>-2.5650990202638724E-2</c:v>
                </c:pt>
                <c:pt idx="82">
                  <c:v>4.7355358180302565E-2</c:v>
                </c:pt>
                <c:pt idx="83">
                  <c:v>-1.4813813145482357E-2</c:v>
                </c:pt>
                <c:pt idx="84">
                  <c:v>2.2510750142982872E-2</c:v>
                </c:pt>
                <c:pt idx="85">
                  <c:v>3.564310533311188E-3</c:v>
                </c:pt>
                <c:pt idx="86">
                  <c:v>3.1536402084781923E-3</c:v>
                </c:pt>
                <c:pt idx="87">
                  <c:v>1.6088144407091498E-2</c:v>
                </c:pt>
                <c:pt idx="88">
                  <c:v>1.7113859336255199E-3</c:v>
                </c:pt>
                <c:pt idx="89">
                  <c:v>-1.0444039501341096E-2</c:v>
                </c:pt>
                <c:pt idx="91">
                  <c:v>-1.5792261795868123E-2</c:v>
                </c:pt>
                <c:pt idx="92">
                  <c:v>-8.7228827769554318E-3</c:v>
                </c:pt>
                <c:pt idx="93">
                  <c:v>-0.20666133367378603</c:v>
                </c:pt>
                <c:pt idx="94">
                  <c:v>-0.27729578970386559</c:v>
                </c:pt>
                <c:pt idx="95">
                  <c:v>1.2417322631711691E-2</c:v>
                </c:pt>
                <c:pt idx="96">
                  <c:v>1.2417322631711691E-2</c:v>
                </c:pt>
                <c:pt idx="97">
                  <c:v>-3.4211859035475745E-2</c:v>
                </c:pt>
                <c:pt idx="98">
                  <c:v>-7.2665048536431853E-2</c:v>
                </c:pt>
                <c:pt idx="99">
                  <c:v>-4.4498688906854045E-2</c:v>
                </c:pt>
                <c:pt idx="100">
                  <c:v>-0.19953389524534126</c:v>
                </c:pt>
                <c:pt idx="101">
                  <c:v>-0.20005986587488311</c:v>
                </c:pt>
                <c:pt idx="102">
                  <c:v>-7.6698257743490927E-2</c:v>
                </c:pt>
                <c:pt idx="104">
                  <c:v>-6.4187483298504433E-2</c:v>
                </c:pt>
                <c:pt idx="105">
                  <c:v>-7.7155880955463996E-3</c:v>
                </c:pt>
                <c:pt idx="106">
                  <c:v>0.24699234049298324</c:v>
                </c:pt>
                <c:pt idx="107">
                  <c:v>0.31618900213645995</c:v>
                </c:pt>
                <c:pt idx="108">
                  <c:v>7.9853339489473374E-2</c:v>
                </c:pt>
                <c:pt idx="109">
                  <c:v>5.4291794093859203E-3</c:v>
                </c:pt>
                <c:pt idx="110">
                  <c:v>-3.0995975475158422E-2</c:v>
                </c:pt>
                <c:pt idx="111">
                  <c:v>5.7811466247121412E-2</c:v>
                </c:pt>
                <c:pt idx="112">
                  <c:v>5.9638299859981148E-2</c:v>
                </c:pt>
                <c:pt idx="113">
                  <c:v>0.25038703167081477</c:v>
                </c:pt>
                <c:pt idx="114">
                  <c:v>0.23027141582643429</c:v>
                </c:pt>
                <c:pt idx="115">
                  <c:v>0.10858682701311517</c:v>
                </c:pt>
                <c:pt idx="117">
                  <c:v>-2.186596176249167E-2</c:v>
                </c:pt>
                <c:pt idx="118">
                  <c:v>-9.168900296991056E-2</c:v>
                </c:pt>
                <c:pt idx="119">
                  <c:v>2.2609340323860305E-3</c:v>
                </c:pt>
                <c:pt idx="120">
                  <c:v>8.5794784807432078E-2</c:v>
                </c:pt>
                <c:pt idx="121">
                  <c:v>5.0705727354587449E-2</c:v>
                </c:pt>
                <c:pt idx="122">
                  <c:v>2.4783669267456787E-2</c:v>
                </c:pt>
                <c:pt idx="123">
                  <c:v>2.6050828554224026E-2</c:v>
                </c:pt>
                <c:pt idx="124">
                  <c:v>5.1510210516382937E-2</c:v>
                </c:pt>
                <c:pt idx="125">
                  <c:v>2.5823978802897773E-2</c:v>
                </c:pt>
                <c:pt idx="126">
                  <c:v>1.0845547921314314E-3</c:v>
                </c:pt>
                <c:pt idx="127">
                  <c:v>4.8138090183257765E-2</c:v>
                </c:pt>
                <c:pt idx="128">
                  <c:v>-2.0438323263986424E-2</c:v>
                </c:pt>
                <c:pt idx="130">
                  <c:v>0.12092111634661062</c:v>
                </c:pt>
                <c:pt idx="131">
                  <c:v>0.12051509568130125</c:v>
                </c:pt>
                <c:pt idx="132">
                  <c:v>8.3803784853466956E-2</c:v>
                </c:pt>
                <c:pt idx="133">
                  <c:v>-2.0890036609353513E-2</c:v>
                </c:pt>
                <c:pt idx="134">
                  <c:v>-1.4999999999999999E-2</c:v>
                </c:pt>
                <c:pt idx="135">
                  <c:v>5.1999999999999998E-2</c:v>
                </c:pt>
                <c:pt idx="136">
                  <c:v>7.2999999999999995E-2</c:v>
                </c:pt>
                <c:pt idx="137">
                  <c:v>1.2999999999999999E-2</c:v>
                </c:pt>
                <c:pt idx="138">
                  <c:v>2.5999999999999999E-2</c:v>
                </c:pt>
                <c:pt idx="139">
                  <c:v>2.8000000000000001E-2</c:v>
                </c:pt>
                <c:pt idx="140">
                  <c:v>3.5000000000000003E-2</c:v>
                </c:pt>
                <c:pt idx="141">
                  <c:v>7.3999999999999996E-2</c:v>
                </c:pt>
                <c:pt idx="142" formatCode="General">
                  <c:v>0</c:v>
                </c:pt>
                <c:pt idx="143" formatCode="0.00%">
                  <c:v>3.6999999999999998E-2</c:v>
                </c:pt>
                <c:pt idx="144" formatCode="0.00%">
                  <c:v>6.7000000000000004E-2</c:v>
                </c:pt>
                <c:pt idx="145" formatCode="0.00%">
                  <c:v>-2.1999999999999999E-2</c:v>
                </c:pt>
                <c:pt idx="146" formatCode="0.00%">
                  <c:v>0.124</c:v>
                </c:pt>
                <c:pt idx="147" formatCode="0.00%">
                  <c:v>4.2999999999999997E-2</c:v>
                </c:pt>
                <c:pt idx="148" formatCode="0.00%">
                  <c:v>-1.4999999999999999E-2</c:v>
                </c:pt>
                <c:pt idx="149" formatCode="0.00%">
                  <c:v>3.2000000000000001E-2</c:v>
                </c:pt>
                <c:pt idx="150" formatCode="0.00%">
                  <c:v>2.9000000000000001E-2</c:v>
                </c:pt>
                <c:pt idx="151" formatCode="0.00%">
                  <c:v>1.7000000000000001E-2</c:v>
                </c:pt>
                <c:pt idx="152" formatCode="0.00%">
                  <c:v>4.1000000000000002E-2</c:v>
                </c:pt>
                <c:pt idx="153" formatCode="0.00%">
                  <c:v>-1.4E-2</c:v>
                </c:pt>
                <c:pt idx="154" formatCode="0.00%">
                  <c:v>1E-3</c:v>
                </c:pt>
                <c:pt idx="156" formatCode="0.00%">
                  <c:v>2.3010458182622099E-2</c:v>
                </c:pt>
                <c:pt idx="157" formatCode="0.00%">
                  <c:v>6.5246375989333634E-4</c:v>
                </c:pt>
                <c:pt idx="158" formatCode="0.00%">
                  <c:v>4.1737576823262679E-2</c:v>
                </c:pt>
                <c:pt idx="159" formatCode="0.00%">
                  <c:v>-2.6996047644536721E-2</c:v>
                </c:pt>
                <c:pt idx="160" formatCode="0.00%">
                  <c:v>2.3829773662332691E-2</c:v>
                </c:pt>
                <c:pt idx="161" formatCode="0.00%">
                  <c:v>1.7204009753454347E-2</c:v>
                </c:pt>
                <c:pt idx="162" formatCode="0.00%">
                  <c:v>2.1410806126697952E-2</c:v>
                </c:pt>
                <c:pt idx="163" formatCode="0.00%">
                  <c:v>4.845551417283365E-3</c:v>
                </c:pt>
                <c:pt idx="164" formatCode="0.00%">
                  <c:v>3.098023565982651E-3</c:v>
                </c:pt>
                <c:pt idx="165" formatCode="0.00%">
                  <c:v>-3.9529976678635829E-2</c:v>
                </c:pt>
                <c:pt idx="166" formatCode="0.00%">
                  <c:v>-1.2683787704900284E-2</c:v>
                </c:pt>
                <c:pt idx="167" formatCode="0.00%">
                  <c:v>4.2691434517334342E-2</c:v>
                </c:pt>
              </c:numCache>
            </c:numRef>
          </c:yVal>
          <c:smooth val="0"/>
          <c:extLst>
            <c:ext xmlns:c16="http://schemas.microsoft.com/office/drawing/2014/chart" uri="{C3380CC4-5D6E-409C-BE32-E72D297353CC}">
              <c16:uniqueId val="{00000000-D5B7-4C21-BDB1-25962BB1A149}"/>
            </c:ext>
          </c:extLst>
        </c:ser>
        <c:dLbls>
          <c:showLegendKey val="0"/>
          <c:showVal val="0"/>
          <c:showCatName val="0"/>
          <c:showSerName val="0"/>
          <c:showPercent val="0"/>
          <c:showBubbleSize val="0"/>
        </c:dLbls>
        <c:axId val="1695511631"/>
        <c:axId val="30346591"/>
      </c:scatterChart>
      <c:valAx>
        <c:axId val="1695511631"/>
        <c:scaling>
          <c:orientation val="minMax"/>
          <c:max val="202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30346591"/>
        <c:crosses val="autoZero"/>
        <c:crossBetween val="midCat"/>
      </c:valAx>
      <c:valAx>
        <c:axId val="30346591"/>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6955116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Götuumferð!$T$116:$T$284</c:f>
              <c:numCache>
                <c:formatCode>General</c:formatCode>
                <c:ptCount val="169"/>
                <c:pt idx="0">
                  <c:v>2013</c:v>
                </c:pt>
                <c:pt idx="1">
                  <c:v>2013</c:v>
                </c:pt>
                <c:pt idx="2">
                  <c:v>2013</c:v>
                </c:pt>
                <c:pt idx="3">
                  <c:v>2013</c:v>
                </c:pt>
                <c:pt idx="4">
                  <c:v>2013</c:v>
                </c:pt>
                <c:pt idx="5">
                  <c:v>2013</c:v>
                </c:pt>
                <c:pt idx="6">
                  <c:v>2013</c:v>
                </c:pt>
                <c:pt idx="7">
                  <c:v>2013</c:v>
                </c:pt>
                <c:pt idx="8">
                  <c:v>2013</c:v>
                </c:pt>
                <c:pt idx="9">
                  <c:v>2013</c:v>
                </c:pt>
                <c:pt idx="10">
                  <c:v>2013</c:v>
                </c:pt>
                <c:pt idx="11">
                  <c:v>2013</c:v>
                </c:pt>
                <c:pt idx="12">
                  <c:v>2013</c:v>
                </c:pt>
                <c:pt idx="13">
                  <c:v>2013</c:v>
                </c:pt>
                <c:pt idx="14">
                  <c:v>2013</c:v>
                </c:pt>
                <c:pt idx="15">
                  <c:v>2013</c:v>
                </c:pt>
                <c:pt idx="16">
                  <c:v>2013</c:v>
                </c:pt>
                <c:pt idx="17">
                  <c:v>2013</c:v>
                </c:pt>
                <c:pt idx="18">
                  <c:v>2013</c:v>
                </c:pt>
                <c:pt idx="19">
                  <c:v>2013</c:v>
                </c:pt>
                <c:pt idx="20">
                  <c:v>2013</c:v>
                </c:pt>
                <c:pt idx="21">
                  <c:v>2013</c:v>
                </c:pt>
                <c:pt idx="22">
                  <c:v>2013</c:v>
                </c:pt>
                <c:pt idx="23">
                  <c:v>2013</c:v>
                </c:pt>
                <c:pt idx="24">
                  <c:v>2013</c:v>
                </c:pt>
                <c:pt idx="25">
                  <c:v>2013</c:v>
                </c:pt>
                <c:pt idx="26">
                  <c:v>2013</c:v>
                </c:pt>
                <c:pt idx="27">
                  <c:v>2013</c:v>
                </c:pt>
                <c:pt idx="28">
                  <c:v>2013</c:v>
                </c:pt>
                <c:pt idx="29">
                  <c:v>2013</c:v>
                </c:pt>
                <c:pt idx="30">
                  <c:v>2013</c:v>
                </c:pt>
                <c:pt idx="31">
                  <c:v>2013</c:v>
                </c:pt>
                <c:pt idx="32">
                  <c:v>2013</c:v>
                </c:pt>
                <c:pt idx="33">
                  <c:v>2013</c:v>
                </c:pt>
                <c:pt idx="34">
                  <c:v>2013</c:v>
                </c:pt>
                <c:pt idx="35">
                  <c:v>2013</c:v>
                </c:pt>
                <c:pt idx="36">
                  <c:v>2013</c:v>
                </c:pt>
                <c:pt idx="37">
                  <c:v>2013</c:v>
                </c:pt>
                <c:pt idx="38">
                  <c:v>2013</c:v>
                </c:pt>
                <c:pt idx="39">
                  <c:v>2013</c:v>
                </c:pt>
                <c:pt idx="40">
                  <c:v>2013</c:v>
                </c:pt>
                <c:pt idx="41">
                  <c:v>2013</c:v>
                </c:pt>
                <c:pt idx="42">
                  <c:v>2013</c:v>
                </c:pt>
                <c:pt idx="43">
                  <c:v>2013</c:v>
                </c:pt>
                <c:pt idx="44">
                  <c:v>2013</c:v>
                </c:pt>
                <c:pt idx="45">
                  <c:v>2013</c:v>
                </c:pt>
                <c:pt idx="46">
                  <c:v>2013</c:v>
                </c:pt>
                <c:pt idx="47">
                  <c:v>2013</c:v>
                </c:pt>
                <c:pt idx="48">
                  <c:v>2013</c:v>
                </c:pt>
                <c:pt idx="49">
                  <c:v>2013</c:v>
                </c:pt>
                <c:pt idx="50">
                  <c:v>2013</c:v>
                </c:pt>
                <c:pt idx="51">
                  <c:v>2013</c:v>
                </c:pt>
                <c:pt idx="52">
                  <c:v>2013</c:v>
                </c:pt>
                <c:pt idx="53">
                  <c:v>2013</c:v>
                </c:pt>
                <c:pt idx="54">
                  <c:v>2013</c:v>
                </c:pt>
                <c:pt idx="55">
                  <c:v>2013</c:v>
                </c:pt>
                <c:pt idx="56">
                  <c:v>2013</c:v>
                </c:pt>
                <c:pt idx="57">
                  <c:v>2013</c:v>
                </c:pt>
                <c:pt idx="58">
                  <c:v>2013</c:v>
                </c:pt>
                <c:pt idx="59">
                  <c:v>2013</c:v>
                </c:pt>
                <c:pt idx="60">
                  <c:v>2013</c:v>
                </c:pt>
                <c:pt idx="61">
                  <c:v>2013</c:v>
                </c:pt>
                <c:pt idx="62">
                  <c:v>2013</c:v>
                </c:pt>
                <c:pt idx="63">
                  <c:v>2013</c:v>
                </c:pt>
                <c:pt idx="64">
                  <c:v>2013</c:v>
                </c:pt>
                <c:pt idx="65">
                  <c:v>2013</c:v>
                </c:pt>
                <c:pt idx="66">
                  <c:v>2013</c:v>
                </c:pt>
                <c:pt idx="67">
                  <c:v>2013</c:v>
                </c:pt>
                <c:pt idx="68">
                  <c:v>2013</c:v>
                </c:pt>
                <c:pt idx="69">
                  <c:v>2013</c:v>
                </c:pt>
                <c:pt idx="70">
                  <c:v>2013</c:v>
                </c:pt>
                <c:pt idx="71">
                  <c:v>2013</c:v>
                </c:pt>
                <c:pt idx="72">
                  <c:v>2013</c:v>
                </c:pt>
                <c:pt idx="73">
                  <c:v>2013</c:v>
                </c:pt>
                <c:pt idx="74">
                  <c:v>2013</c:v>
                </c:pt>
                <c:pt idx="75">
                  <c:v>2013</c:v>
                </c:pt>
                <c:pt idx="76">
                  <c:v>2013</c:v>
                </c:pt>
                <c:pt idx="77">
                  <c:v>2013</c:v>
                </c:pt>
                <c:pt idx="78">
                  <c:v>2013</c:v>
                </c:pt>
                <c:pt idx="79">
                  <c:v>2013</c:v>
                </c:pt>
                <c:pt idx="80">
                  <c:v>2013</c:v>
                </c:pt>
                <c:pt idx="81">
                  <c:v>2013</c:v>
                </c:pt>
                <c:pt idx="82">
                  <c:v>2013</c:v>
                </c:pt>
                <c:pt idx="83">
                  <c:v>2013</c:v>
                </c:pt>
                <c:pt idx="84">
                  <c:v>2013</c:v>
                </c:pt>
                <c:pt idx="85">
                  <c:v>2013</c:v>
                </c:pt>
                <c:pt idx="86">
                  <c:v>2013</c:v>
                </c:pt>
                <c:pt idx="87">
                  <c:v>2013</c:v>
                </c:pt>
                <c:pt idx="88">
                  <c:v>2013</c:v>
                </c:pt>
                <c:pt idx="89">
                  <c:v>2013</c:v>
                </c:pt>
                <c:pt idx="90">
                  <c:v>2013</c:v>
                </c:pt>
                <c:pt idx="91">
                  <c:v>2013</c:v>
                </c:pt>
                <c:pt idx="92">
                  <c:v>2013</c:v>
                </c:pt>
                <c:pt idx="93">
                  <c:v>2013</c:v>
                </c:pt>
                <c:pt idx="94">
                  <c:v>2013</c:v>
                </c:pt>
                <c:pt idx="95">
                  <c:v>2013</c:v>
                </c:pt>
                <c:pt idx="96">
                  <c:v>2013</c:v>
                </c:pt>
                <c:pt idx="97">
                  <c:v>2013</c:v>
                </c:pt>
                <c:pt idx="98">
                  <c:v>2013</c:v>
                </c:pt>
                <c:pt idx="99">
                  <c:v>2013</c:v>
                </c:pt>
                <c:pt idx="100">
                  <c:v>2013</c:v>
                </c:pt>
                <c:pt idx="101">
                  <c:v>2013</c:v>
                </c:pt>
                <c:pt idx="102">
                  <c:v>2013</c:v>
                </c:pt>
                <c:pt idx="103">
                  <c:v>2013</c:v>
                </c:pt>
                <c:pt idx="104">
                  <c:v>2013</c:v>
                </c:pt>
                <c:pt idx="105">
                  <c:v>2013</c:v>
                </c:pt>
                <c:pt idx="106">
                  <c:v>2013</c:v>
                </c:pt>
                <c:pt idx="107">
                  <c:v>2013</c:v>
                </c:pt>
                <c:pt idx="108">
                  <c:v>2013</c:v>
                </c:pt>
                <c:pt idx="109">
                  <c:v>2013</c:v>
                </c:pt>
                <c:pt idx="110">
                  <c:v>2013</c:v>
                </c:pt>
                <c:pt idx="111">
                  <c:v>2013</c:v>
                </c:pt>
                <c:pt idx="112">
                  <c:v>2013</c:v>
                </c:pt>
                <c:pt idx="113">
                  <c:v>2013</c:v>
                </c:pt>
                <c:pt idx="114">
                  <c:v>2013</c:v>
                </c:pt>
                <c:pt idx="115">
                  <c:v>2013</c:v>
                </c:pt>
                <c:pt idx="116">
                  <c:v>2013</c:v>
                </c:pt>
                <c:pt idx="117">
                  <c:v>2013</c:v>
                </c:pt>
                <c:pt idx="118">
                  <c:v>2013</c:v>
                </c:pt>
                <c:pt idx="119">
                  <c:v>2013</c:v>
                </c:pt>
                <c:pt idx="120">
                  <c:v>2013</c:v>
                </c:pt>
                <c:pt idx="121">
                  <c:v>2013</c:v>
                </c:pt>
                <c:pt idx="122">
                  <c:v>2013</c:v>
                </c:pt>
                <c:pt idx="123">
                  <c:v>2013</c:v>
                </c:pt>
                <c:pt idx="124">
                  <c:v>2013</c:v>
                </c:pt>
                <c:pt idx="125">
                  <c:v>2013</c:v>
                </c:pt>
                <c:pt idx="126">
                  <c:v>2013</c:v>
                </c:pt>
                <c:pt idx="127">
                  <c:v>2013</c:v>
                </c:pt>
                <c:pt idx="128">
                  <c:v>2013</c:v>
                </c:pt>
                <c:pt idx="129">
                  <c:v>2013</c:v>
                </c:pt>
                <c:pt idx="130">
                  <c:v>2013</c:v>
                </c:pt>
                <c:pt idx="131">
                  <c:v>2013</c:v>
                </c:pt>
                <c:pt idx="132">
                  <c:v>2013</c:v>
                </c:pt>
                <c:pt idx="133">
                  <c:v>2013</c:v>
                </c:pt>
                <c:pt idx="134">
                  <c:v>2013</c:v>
                </c:pt>
                <c:pt idx="135">
                  <c:v>2013</c:v>
                </c:pt>
                <c:pt idx="136">
                  <c:v>2013</c:v>
                </c:pt>
                <c:pt idx="137">
                  <c:v>2013</c:v>
                </c:pt>
                <c:pt idx="138">
                  <c:v>2013</c:v>
                </c:pt>
                <c:pt idx="139">
                  <c:v>2013</c:v>
                </c:pt>
                <c:pt idx="140">
                  <c:v>2013</c:v>
                </c:pt>
                <c:pt idx="141">
                  <c:v>2013</c:v>
                </c:pt>
                <c:pt idx="142">
                  <c:v>2013</c:v>
                </c:pt>
                <c:pt idx="143">
                  <c:v>2013</c:v>
                </c:pt>
                <c:pt idx="144">
                  <c:v>2013</c:v>
                </c:pt>
                <c:pt idx="145">
                  <c:v>2013</c:v>
                </c:pt>
                <c:pt idx="146">
                  <c:v>2013</c:v>
                </c:pt>
                <c:pt idx="147">
                  <c:v>2013</c:v>
                </c:pt>
                <c:pt idx="148">
                  <c:v>2013</c:v>
                </c:pt>
                <c:pt idx="149">
                  <c:v>2013</c:v>
                </c:pt>
                <c:pt idx="150">
                  <c:v>2013</c:v>
                </c:pt>
                <c:pt idx="151">
                  <c:v>2013</c:v>
                </c:pt>
                <c:pt idx="152">
                  <c:v>2013</c:v>
                </c:pt>
                <c:pt idx="153">
                  <c:v>2013</c:v>
                </c:pt>
                <c:pt idx="154">
                  <c:v>2013</c:v>
                </c:pt>
                <c:pt idx="155">
                  <c:v>2013</c:v>
                </c:pt>
                <c:pt idx="156">
                  <c:v>2013</c:v>
                </c:pt>
                <c:pt idx="157">
                  <c:v>2013</c:v>
                </c:pt>
                <c:pt idx="158">
                  <c:v>2013</c:v>
                </c:pt>
                <c:pt idx="159">
                  <c:v>2013</c:v>
                </c:pt>
                <c:pt idx="160">
                  <c:v>2013</c:v>
                </c:pt>
                <c:pt idx="161">
                  <c:v>2013</c:v>
                </c:pt>
                <c:pt idx="162">
                  <c:v>2013</c:v>
                </c:pt>
                <c:pt idx="163">
                  <c:v>2013</c:v>
                </c:pt>
                <c:pt idx="164">
                  <c:v>2013</c:v>
                </c:pt>
                <c:pt idx="165">
                  <c:v>2013</c:v>
                </c:pt>
                <c:pt idx="166">
                  <c:v>2013</c:v>
                </c:pt>
                <c:pt idx="167">
                  <c:v>2013</c:v>
                </c:pt>
                <c:pt idx="168">
                  <c:v>2013</c:v>
                </c:pt>
              </c:numCache>
            </c:numRef>
          </c:xVal>
          <c:yVal>
            <c:numRef>
              <c:f>Götuumferð!$M$115:$M$283</c:f>
              <c:numCache>
                <c:formatCode>0.0%</c:formatCode>
                <c:ptCount val="169"/>
                <c:pt idx="0">
                  <c:v>6.7499129829446503E-2</c:v>
                </c:pt>
                <c:pt idx="1">
                  <c:v>4.8874047792966779E-2</c:v>
                </c:pt>
                <c:pt idx="2">
                  <c:v>2.7215886593721983E-2</c:v>
                </c:pt>
                <c:pt idx="3">
                  <c:v>4.1400719742825887E-2</c:v>
                </c:pt>
                <c:pt idx="4">
                  <c:v>3.8617362594568716E-2</c:v>
                </c:pt>
                <c:pt idx="5">
                  <c:v>3.2313802000434988E-2</c:v>
                </c:pt>
                <c:pt idx="6">
                  <c:v>3.195538063105241E-2</c:v>
                </c:pt>
                <c:pt idx="7">
                  <c:v>3.266958988378188E-2</c:v>
                </c:pt>
                <c:pt idx="8">
                  <c:v>2.9693086868847196E-2</c:v>
                </c:pt>
                <c:pt idx="9">
                  <c:v>2.9905533182804644E-2</c:v>
                </c:pt>
                <c:pt idx="10">
                  <c:v>2.8877129440049831E-2</c:v>
                </c:pt>
                <c:pt idx="11">
                  <c:v>2.8204394465260352E-2</c:v>
                </c:pt>
                <c:pt idx="12">
                  <c:v>2.8204394465260352E-2</c:v>
                </c:pt>
                <c:pt idx="13">
                  <c:v>3.9990014951886366E-2</c:v>
                </c:pt>
                <c:pt idx="14">
                  <c:v>3.8278820236276712E-2</c:v>
                </c:pt>
                <c:pt idx="15">
                  <c:v>4.7154661069458648E-2</c:v>
                </c:pt>
                <c:pt idx="16">
                  <c:v>3.469237729220187E-2</c:v>
                </c:pt>
                <c:pt idx="17">
                  <c:v>3.5219363273639503E-2</c:v>
                </c:pt>
                <c:pt idx="18">
                  <c:v>3.2404691074733316E-2</c:v>
                </c:pt>
                <c:pt idx="19">
                  <c:v>3.2195424709540399E-2</c:v>
                </c:pt>
                <c:pt idx="20">
                  <c:v>2.9202525355809028E-2</c:v>
                </c:pt>
                <c:pt idx="21">
                  <c:v>3.2380778992170844E-2</c:v>
                </c:pt>
                <c:pt idx="22">
                  <c:v>3.264528190509175E-2</c:v>
                </c:pt>
                <c:pt idx="23">
                  <c:v>3.23155249718452E-2</c:v>
                </c:pt>
                <c:pt idx="24">
                  <c:v>2.9891451882241293E-2</c:v>
                </c:pt>
                <c:pt idx="25">
                  <c:v>2.9891451882241293E-2</c:v>
                </c:pt>
                <c:pt idx="26">
                  <c:v>1.5793640482151261E-3</c:v>
                </c:pt>
                <c:pt idx="27">
                  <c:v>-3.367017624398394E-3</c:v>
                </c:pt>
                <c:pt idx="28">
                  <c:v>8.8558172624702003E-3</c:v>
                </c:pt>
                <c:pt idx="29">
                  <c:v>1.3968738017950066E-2</c:v>
                </c:pt>
                <c:pt idx="30">
                  <c:v>1.4914344744845653E-2</c:v>
                </c:pt>
                <c:pt idx="31">
                  <c:v>2.5731038412432516E-2</c:v>
                </c:pt>
                <c:pt idx="32">
                  <c:v>3.2469108948660397E-2</c:v>
                </c:pt>
                <c:pt idx="33">
                  <c:v>3.707835993910491E-2</c:v>
                </c:pt>
                <c:pt idx="34">
                  <c:v>4.0065353168157847E-2</c:v>
                </c:pt>
                <c:pt idx="35">
                  <c:v>4.0682029408591225E-2</c:v>
                </c:pt>
                <c:pt idx="36">
                  <c:v>4.2029595856515778E-2</c:v>
                </c:pt>
                <c:pt idx="37">
                  <c:v>4.227000115618762E-2</c:v>
                </c:pt>
                <c:pt idx="38">
                  <c:v>4.227000115618762E-2</c:v>
                </c:pt>
                <c:pt idx="39">
                  <c:v>4.7915906712796108E-2</c:v>
                </c:pt>
                <c:pt idx="40">
                  <c:v>6.0672313359037888E-2</c:v>
                </c:pt>
                <c:pt idx="41">
                  <c:v>5.1329708365608573E-2</c:v>
                </c:pt>
                <c:pt idx="42">
                  <c:v>7.1103345139745144E-2</c:v>
                </c:pt>
                <c:pt idx="43">
                  <c:v>7.2196867475452287E-2</c:v>
                </c:pt>
                <c:pt idx="44">
                  <c:v>6.6886605073284811E-2</c:v>
                </c:pt>
                <c:pt idx="45">
                  <c:v>6.2296018482718818E-2</c:v>
                </c:pt>
                <c:pt idx="46">
                  <c:v>6.6172101445729492E-2</c:v>
                </c:pt>
                <c:pt idx="47">
                  <c:v>6.7899967470287592E-2</c:v>
                </c:pt>
                <c:pt idx="48">
                  <c:v>6.5314125697884862E-2</c:v>
                </c:pt>
                <c:pt idx="49">
                  <c:v>6.7497922969308233E-2</c:v>
                </c:pt>
                <c:pt idx="50">
                  <c:v>7.2047840846281241E-2</c:v>
                </c:pt>
                <c:pt idx="51">
                  <c:v>7.2047840846281241E-2</c:v>
                </c:pt>
                <c:pt idx="52">
                  <c:v>9.2598994248547228E-2</c:v>
                </c:pt>
                <c:pt idx="53">
                  <c:v>7.8493461024362166E-2</c:v>
                </c:pt>
                <c:pt idx="54">
                  <c:v>0.10146296042185421</c:v>
                </c:pt>
                <c:pt idx="55">
                  <c:v>8.7862583795647042E-2</c:v>
                </c:pt>
                <c:pt idx="56">
                  <c:v>8.647794921923535E-2</c:v>
                </c:pt>
                <c:pt idx="57">
                  <c:v>8.9772932561707153E-2</c:v>
                </c:pt>
                <c:pt idx="58">
                  <c:v>9.0521213358614627E-2</c:v>
                </c:pt>
                <c:pt idx="59">
                  <c:v>8.7068532658443942E-2</c:v>
                </c:pt>
                <c:pt idx="60">
                  <c:v>8.5209039969855072E-2</c:v>
                </c:pt>
                <c:pt idx="61">
                  <c:v>8.5745179600434707E-2</c:v>
                </c:pt>
                <c:pt idx="62">
                  <c:v>8.2823700060650429E-2</c:v>
                </c:pt>
                <c:pt idx="63">
                  <c:v>8.0027290299421239E-2</c:v>
                </c:pt>
                <c:pt idx="64">
                  <c:v>8.0027290299421239E-2</c:v>
                </c:pt>
                <c:pt idx="65">
                  <c:v>4.6028510544006807E-2</c:v>
                </c:pt>
                <c:pt idx="66">
                  <c:v>3.2718651872744697E-2</c:v>
                </c:pt>
                <c:pt idx="67">
                  <c:v>2.97424838306799E-2</c:v>
                </c:pt>
                <c:pt idx="68">
                  <c:v>3.2882525131284313E-2</c:v>
                </c:pt>
                <c:pt idx="69">
                  <c:v>3.1457257701654529E-2</c:v>
                </c:pt>
                <c:pt idx="70">
                  <c:v>3.0406594910582285E-2</c:v>
                </c:pt>
                <c:pt idx="71">
                  <c:v>2.9724068261157033E-2</c:v>
                </c:pt>
                <c:pt idx="72">
                  <c:v>2.8956551510029849E-2</c:v>
                </c:pt>
                <c:pt idx="73">
                  <c:v>2.7303496041732656E-2</c:v>
                </c:pt>
                <c:pt idx="74">
                  <c:v>2.8714918169851611E-2</c:v>
                </c:pt>
                <c:pt idx="75">
                  <c:v>3.0104397697588992E-2</c:v>
                </c:pt>
                <c:pt idx="76">
                  <c:v>2.8042488962377599E-2</c:v>
                </c:pt>
                <c:pt idx="77">
                  <c:v>2.8042488962377606E-2</c:v>
                </c:pt>
                <c:pt idx="78">
                  <c:v>1.6218273886985379E-2</c:v>
                </c:pt>
                <c:pt idx="79">
                  <c:v>4.3498743375507853E-2</c:v>
                </c:pt>
                <c:pt idx="80">
                  <c:v>3.1096881117401054E-2</c:v>
                </c:pt>
                <c:pt idx="81">
                  <c:v>1.6318711963529964E-2</c:v>
                </c:pt>
                <c:pt idx="82">
                  <c:v>2.2836718877805584E-2</c:v>
                </c:pt>
                <c:pt idx="83">
                  <c:v>1.6210870710027248E-2</c:v>
                </c:pt>
                <c:pt idx="84">
                  <c:v>1.7107762869000176E-2</c:v>
                </c:pt>
                <c:pt idx="85">
                  <c:v>1.5343221199382917E-2</c:v>
                </c:pt>
                <c:pt idx="86">
                  <c:v>1.3915672977145244E-2</c:v>
                </c:pt>
                <c:pt idx="87">
                  <c:v>1.4141781770448114E-2</c:v>
                </c:pt>
                <c:pt idx="88">
                  <c:v>1.2981237795800071E-2</c:v>
                </c:pt>
                <c:pt idx="89">
                  <c:v>1.1087125087072547E-2</c:v>
                </c:pt>
                <c:pt idx="90">
                  <c:v>1.1087125087072547E-2</c:v>
                </c:pt>
                <c:pt idx="91">
                  <c:v>-1.5792261795868123E-2</c:v>
                </c:pt>
                <c:pt idx="92">
                  <c:v>-1.2152849566947066E-2</c:v>
                </c:pt>
                <c:pt idx="93">
                  <c:v>-7.9112596507291966E-2</c:v>
                </c:pt>
                <c:pt idx="94">
                  <c:v>-0.12859177792939869</c:v>
                </c:pt>
                <c:pt idx="95">
                  <c:v>-9.8600876340504406E-2</c:v>
                </c:pt>
                <c:pt idx="96">
                  <c:v>-9.8600876340504406E-2</c:v>
                </c:pt>
                <c:pt idx="97">
                  <c:v>-8.9385338220906774E-2</c:v>
                </c:pt>
                <c:pt idx="98">
                  <c:v>-8.7232166501115982E-2</c:v>
                </c:pt>
                <c:pt idx="99">
                  <c:v>-8.2280676984505474E-2</c:v>
                </c:pt>
                <c:pt idx="100">
                  <c:v>-9.4507703629290285E-2</c:v>
                </c:pt>
                <c:pt idx="101">
                  <c:v>-0.10425277413182188</c:v>
                </c:pt>
                <c:pt idx="102">
                  <c:v>-0.10207222614065981</c:v>
                </c:pt>
                <c:pt idx="103">
                  <c:v>-0.10207222614065981</c:v>
                </c:pt>
                <c:pt idx="104">
                  <c:v>-6.4187483298504433E-2</c:v>
                </c:pt>
                <c:pt idx="105">
                  <c:v>-3.5014041031198095E-2</c:v>
                </c:pt>
                <c:pt idx="106">
                  <c:v>4.8620615917666976E-2</c:v>
                </c:pt>
                <c:pt idx="107">
                  <c:v>0.10402312265492086</c:v>
                </c:pt>
                <c:pt idx="108">
                  <c:v>9.8671066070454172E-2</c:v>
                </c:pt>
                <c:pt idx="109">
                  <c:v>8.0803790800816788E-2</c:v>
                </c:pt>
                <c:pt idx="110">
                  <c:v>6.3833197401355068E-2</c:v>
                </c:pt>
                <c:pt idx="111">
                  <c:v>6.304536736652766E-2</c:v>
                </c:pt>
                <c:pt idx="112">
                  <c:v>6.2634340909827113E-2</c:v>
                </c:pt>
                <c:pt idx="113">
                  <c:v>7.9942084140375957E-2</c:v>
                </c:pt>
                <c:pt idx="114">
                  <c:v>9.2336714872945258E-2</c:v>
                </c:pt>
                <c:pt idx="115">
                  <c:v>9.3659019351192141E-2</c:v>
                </c:pt>
                <c:pt idx="116">
                  <c:v>9.3659019351192141E-2</c:v>
                </c:pt>
                <c:pt idx="117">
                  <c:v>-2.186596176249167E-2</c:v>
                </c:pt>
                <c:pt idx="118">
                  <c:v>-5.8957022088763411E-2</c:v>
                </c:pt>
                <c:pt idx="119">
                  <c:v>-3.7367075710315278E-2</c:v>
                </c:pt>
                <c:pt idx="120">
                  <c:v>-6.9644603520551129E-3</c:v>
                </c:pt>
                <c:pt idx="121">
                  <c:v>5.5870617572149062E-3</c:v>
                </c:pt>
                <c:pt idx="122">
                  <c:v>9.0090332495522674E-3</c:v>
                </c:pt>
                <c:pt idx="123">
                  <c:v>1.1365294924393865E-2</c:v>
                </c:pt>
                <c:pt idx="124">
                  <c:v>1.6591641329971152E-2</c:v>
                </c:pt>
                <c:pt idx="125">
                  <c:v>1.7702284396992285E-2</c:v>
                </c:pt>
                <c:pt idx="126">
                  <c:v>1.5928626090379927E-2</c:v>
                </c:pt>
                <c:pt idx="127">
                  <c:v>1.8919635418214398E-2</c:v>
                </c:pt>
                <c:pt idx="128">
                  <c:v>1.5673284626551043E-2</c:v>
                </c:pt>
                <c:pt idx="129">
                  <c:v>1.5673284626551043E-2</c:v>
                </c:pt>
                <c:pt idx="130">
                  <c:v>0.12092111634661062</c:v>
                </c:pt>
                <c:pt idx="131">
                  <c:v>0.12071293407638972</c:v>
                </c:pt>
                <c:pt idx="132">
                  <c:v>0.10716020165602758</c:v>
                </c:pt>
                <c:pt idx="133">
                  <c:v>7.2598266207307693E-2</c:v>
                </c:pt>
                <c:pt idx="134">
                  <c:v>5.2999999999999999E-2</c:v>
                </c:pt>
                <c:pt idx="135">
                  <c:v>5.1999999999999998E-2</c:v>
                </c:pt>
                <c:pt idx="136">
                  <c:v>5.5E-2</c:v>
                </c:pt>
                <c:pt idx="137">
                  <c:v>0.05</c:v>
                </c:pt>
                <c:pt idx="138">
                  <c:v>4.7E-2</c:v>
                </c:pt>
                <c:pt idx="139">
                  <c:v>4.4999999999999998E-2</c:v>
                </c:pt>
                <c:pt idx="140">
                  <c:v>4.3999999999999997E-2</c:v>
                </c:pt>
                <c:pt idx="141">
                  <c:v>4.5999999999999999E-2</c:v>
                </c:pt>
                <c:pt idx="142" formatCode="0.00%">
                  <c:v>4.5999999999999999E-2</c:v>
                </c:pt>
                <c:pt idx="143" formatCode="0.00%">
                  <c:v>3.6999999999999998E-2</c:v>
                </c:pt>
                <c:pt idx="144" formatCode="0.00%">
                  <c:v>5.1999999999999998E-2</c:v>
                </c:pt>
                <c:pt idx="145" formatCode="0.00%">
                  <c:v>2.5999999999999999E-2</c:v>
                </c:pt>
                <c:pt idx="146" formatCode="0.00%">
                  <c:v>0.05</c:v>
                </c:pt>
                <c:pt idx="147" formatCode="0.00%">
                  <c:v>4.8000000000000001E-2</c:v>
                </c:pt>
                <c:pt idx="148" formatCode="0.00%">
                  <c:v>3.6999999999999998E-2</c:v>
                </c:pt>
                <c:pt idx="149" formatCode="0.00%">
                  <c:v>3.5999999999999997E-2</c:v>
                </c:pt>
                <c:pt idx="150" formatCode="0.00%">
                  <c:v>3.5000000000000003E-2</c:v>
                </c:pt>
                <c:pt idx="151" formatCode="0.00%">
                  <c:v>3.3000000000000002E-2</c:v>
                </c:pt>
                <c:pt idx="152" formatCode="0.00%">
                  <c:v>3.4000000000000002E-2</c:v>
                </c:pt>
                <c:pt idx="153" formatCode="0.00%">
                  <c:v>2.9000000000000001E-2</c:v>
                </c:pt>
                <c:pt idx="154" formatCode="0.00%">
                  <c:v>2.7E-2</c:v>
                </c:pt>
                <c:pt idx="155" formatCode="0.00%">
                  <c:v>2.7E-2</c:v>
                </c:pt>
                <c:pt idx="156" formatCode="0.00%">
                  <c:v>2.3010458182622099E-2</c:v>
                </c:pt>
                <c:pt idx="157" formatCode="0.00%">
                  <c:v>1.1389172323898389E-2</c:v>
                </c:pt>
                <c:pt idx="158" formatCode="0.00%">
                  <c:v>2.1792344770244262E-2</c:v>
                </c:pt>
                <c:pt idx="159" formatCode="0.00%">
                  <c:v>8.9183551762413073E-3</c:v>
                </c:pt>
                <c:pt idx="160" formatCode="0.00%">
                  <c:v>1.2073697471429857E-2</c:v>
                </c:pt>
                <c:pt idx="161" formatCode="0.00%">
                  <c:v>1.2955597574493057E-2</c:v>
                </c:pt>
                <c:pt idx="162" formatCode="0.00%">
                  <c:v>1.4156432010127035E-2</c:v>
                </c:pt>
                <c:pt idx="163" formatCode="0.00%">
                  <c:v>1.2954166623168284E-2</c:v>
                </c:pt>
                <c:pt idx="164" formatCode="0.00%">
                  <c:v>1.1800680768325529E-2</c:v>
                </c:pt>
                <c:pt idx="165" formatCode="0.00%">
                  <c:v>6.4568129065788139E-3</c:v>
                </c:pt>
                <c:pt idx="166" formatCode="0.00%">
                  <c:v>4.6899205437009647E-3</c:v>
                </c:pt>
                <c:pt idx="167" formatCode="0.00%">
                  <c:v>7.6516741896302904E-3</c:v>
                </c:pt>
                <c:pt idx="168" formatCode="0.00%">
                  <c:v>7.6516741896302904E-3</c:v>
                </c:pt>
              </c:numCache>
            </c:numRef>
          </c:yVal>
          <c:smooth val="0"/>
          <c:extLst>
            <c:ext xmlns:c16="http://schemas.microsoft.com/office/drawing/2014/chart" uri="{C3380CC4-5D6E-409C-BE32-E72D297353CC}">
              <c16:uniqueId val="{00000000-E449-4D7F-A3CF-8B2FA84DEE27}"/>
            </c:ext>
          </c:extLst>
        </c:ser>
        <c:dLbls>
          <c:showLegendKey val="0"/>
          <c:showVal val="0"/>
          <c:showCatName val="0"/>
          <c:showSerName val="0"/>
          <c:showPercent val="0"/>
          <c:showBubbleSize val="0"/>
        </c:dLbls>
        <c:axId val="1695511631"/>
        <c:axId val="30346591"/>
      </c:scatterChart>
      <c:valAx>
        <c:axId val="1695511631"/>
        <c:scaling>
          <c:orientation val="minMax"/>
          <c:max val="202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30346591"/>
        <c:crosses val="autoZero"/>
        <c:crossBetween val="midCat"/>
      </c:valAx>
      <c:valAx>
        <c:axId val="30346591"/>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6955116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Mánaðarleg meðaluferð</a:t>
            </a:r>
          </a:p>
        </c:rich>
      </c:tx>
      <c:layout>
        <c:manualLayout>
          <c:xMode val="edge"/>
          <c:yMode val="edge"/>
          <c:x val="0.35596096858860388"/>
          <c:y val="4.166666666666666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0.17657035814071628"/>
          <c:y val="7.9120370370370396E-2"/>
          <c:w val="0.76934362035390735"/>
          <c:h val="0.81348024205307656"/>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Götuumferð!$T$103:$T$284</c:f>
              <c:numCache>
                <c:formatCode>General</c:formatCode>
                <c:ptCount val="182"/>
                <c:pt idx="0">
                  <c:v>2012</c:v>
                </c:pt>
                <c:pt idx="1">
                  <c:v>2012</c:v>
                </c:pt>
                <c:pt idx="2">
                  <c:v>2012</c:v>
                </c:pt>
                <c:pt idx="3">
                  <c:v>2012</c:v>
                </c:pt>
                <c:pt idx="4">
                  <c:v>2012</c:v>
                </c:pt>
                <c:pt idx="5">
                  <c:v>2012</c:v>
                </c:pt>
                <c:pt idx="6">
                  <c:v>2012</c:v>
                </c:pt>
                <c:pt idx="7">
                  <c:v>2012</c:v>
                </c:pt>
                <c:pt idx="8">
                  <c:v>2012</c:v>
                </c:pt>
                <c:pt idx="9">
                  <c:v>2012</c:v>
                </c:pt>
                <c:pt idx="10">
                  <c:v>2012</c:v>
                </c:pt>
                <c:pt idx="11">
                  <c:v>2012</c:v>
                </c:pt>
                <c:pt idx="12">
                  <c:v>2012</c:v>
                </c:pt>
                <c:pt idx="13">
                  <c:v>2013</c:v>
                </c:pt>
                <c:pt idx="14">
                  <c:v>2013</c:v>
                </c:pt>
                <c:pt idx="15">
                  <c:v>2013</c:v>
                </c:pt>
                <c:pt idx="16">
                  <c:v>2013</c:v>
                </c:pt>
                <c:pt idx="17">
                  <c:v>2013</c:v>
                </c:pt>
                <c:pt idx="18">
                  <c:v>2013</c:v>
                </c:pt>
                <c:pt idx="19">
                  <c:v>2013</c:v>
                </c:pt>
                <c:pt idx="20">
                  <c:v>2013</c:v>
                </c:pt>
                <c:pt idx="21">
                  <c:v>2013</c:v>
                </c:pt>
                <c:pt idx="22">
                  <c:v>2013</c:v>
                </c:pt>
                <c:pt idx="23">
                  <c:v>2013</c:v>
                </c:pt>
                <c:pt idx="24">
                  <c:v>2013</c:v>
                </c:pt>
                <c:pt idx="25">
                  <c:v>2013</c:v>
                </c:pt>
                <c:pt idx="26">
                  <c:v>2013</c:v>
                </c:pt>
                <c:pt idx="27">
                  <c:v>2013</c:v>
                </c:pt>
                <c:pt idx="28">
                  <c:v>2013</c:v>
                </c:pt>
                <c:pt idx="29">
                  <c:v>2013</c:v>
                </c:pt>
                <c:pt idx="30">
                  <c:v>2013</c:v>
                </c:pt>
                <c:pt idx="31">
                  <c:v>2013</c:v>
                </c:pt>
                <c:pt idx="32">
                  <c:v>2013</c:v>
                </c:pt>
                <c:pt idx="33">
                  <c:v>2013</c:v>
                </c:pt>
                <c:pt idx="34">
                  <c:v>2013</c:v>
                </c:pt>
                <c:pt idx="35">
                  <c:v>2013</c:v>
                </c:pt>
                <c:pt idx="36">
                  <c:v>2013</c:v>
                </c:pt>
                <c:pt idx="37">
                  <c:v>2013</c:v>
                </c:pt>
                <c:pt idx="38">
                  <c:v>2013</c:v>
                </c:pt>
                <c:pt idx="39">
                  <c:v>2013</c:v>
                </c:pt>
                <c:pt idx="40">
                  <c:v>2013</c:v>
                </c:pt>
                <c:pt idx="41">
                  <c:v>2013</c:v>
                </c:pt>
                <c:pt idx="42">
                  <c:v>2013</c:v>
                </c:pt>
                <c:pt idx="43">
                  <c:v>2013</c:v>
                </c:pt>
                <c:pt idx="44">
                  <c:v>2013</c:v>
                </c:pt>
                <c:pt idx="45">
                  <c:v>2013</c:v>
                </c:pt>
                <c:pt idx="46">
                  <c:v>2013</c:v>
                </c:pt>
                <c:pt idx="47">
                  <c:v>2013</c:v>
                </c:pt>
                <c:pt idx="48">
                  <c:v>2013</c:v>
                </c:pt>
                <c:pt idx="49">
                  <c:v>2013</c:v>
                </c:pt>
                <c:pt idx="50">
                  <c:v>2013</c:v>
                </c:pt>
                <c:pt idx="51">
                  <c:v>2013</c:v>
                </c:pt>
                <c:pt idx="52">
                  <c:v>2013</c:v>
                </c:pt>
                <c:pt idx="53">
                  <c:v>2013</c:v>
                </c:pt>
                <c:pt idx="54">
                  <c:v>2013</c:v>
                </c:pt>
                <c:pt idx="55">
                  <c:v>2013</c:v>
                </c:pt>
                <c:pt idx="56">
                  <c:v>2013</c:v>
                </c:pt>
                <c:pt idx="57">
                  <c:v>2013</c:v>
                </c:pt>
                <c:pt idx="58">
                  <c:v>2013</c:v>
                </c:pt>
                <c:pt idx="59">
                  <c:v>2013</c:v>
                </c:pt>
                <c:pt idx="60">
                  <c:v>2013</c:v>
                </c:pt>
                <c:pt idx="61">
                  <c:v>2013</c:v>
                </c:pt>
                <c:pt idx="62">
                  <c:v>2013</c:v>
                </c:pt>
                <c:pt idx="63">
                  <c:v>2013</c:v>
                </c:pt>
                <c:pt idx="64">
                  <c:v>2013</c:v>
                </c:pt>
                <c:pt idx="65">
                  <c:v>2013</c:v>
                </c:pt>
                <c:pt idx="66">
                  <c:v>2013</c:v>
                </c:pt>
                <c:pt idx="67">
                  <c:v>2013</c:v>
                </c:pt>
                <c:pt idx="68">
                  <c:v>2013</c:v>
                </c:pt>
                <c:pt idx="69">
                  <c:v>2013</c:v>
                </c:pt>
                <c:pt idx="70">
                  <c:v>2013</c:v>
                </c:pt>
                <c:pt idx="71">
                  <c:v>2013</c:v>
                </c:pt>
                <c:pt idx="72">
                  <c:v>2013</c:v>
                </c:pt>
                <c:pt idx="73">
                  <c:v>2013</c:v>
                </c:pt>
                <c:pt idx="74">
                  <c:v>2013</c:v>
                </c:pt>
                <c:pt idx="75">
                  <c:v>2013</c:v>
                </c:pt>
                <c:pt idx="76">
                  <c:v>2013</c:v>
                </c:pt>
                <c:pt idx="77">
                  <c:v>2013</c:v>
                </c:pt>
                <c:pt idx="78">
                  <c:v>2013</c:v>
                </c:pt>
                <c:pt idx="79">
                  <c:v>2013</c:v>
                </c:pt>
                <c:pt idx="80">
                  <c:v>2013</c:v>
                </c:pt>
                <c:pt idx="81">
                  <c:v>2013</c:v>
                </c:pt>
                <c:pt idx="82">
                  <c:v>2013</c:v>
                </c:pt>
                <c:pt idx="83">
                  <c:v>2013</c:v>
                </c:pt>
                <c:pt idx="84">
                  <c:v>2013</c:v>
                </c:pt>
                <c:pt idx="85">
                  <c:v>2013</c:v>
                </c:pt>
                <c:pt idx="86">
                  <c:v>2013</c:v>
                </c:pt>
                <c:pt idx="87">
                  <c:v>2013</c:v>
                </c:pt>
                <c:pt idx="88">
                  <c:v>2013</c:v>
                </c:pt>
                <c:pt idx="89">
                  <c:v>2013</c:v>
                </c:pt>
                <c:pt idx="90">
                  <c:v>2013</c:v>
                </c:pt>
                <c:pt idx="91">
                  <c:v>2013</c:v>
                </c:pt>
                <c:pt idx="92">
                  <c:v>2013</c:v>
                </c:pt>
                <c:pt idx="93">
                  <c:v>2013</c:v>
                </c:pt>
                <c:pt idx="94">
                  <c:v>2013</c:v>
                </c:pt>
                <c:pt idx="95">
                  <c:v>2013</c:v>
                </c:pt>
                <c:pt idx="96">
                  <c:v>2013</c:v>
                </c:pt>
                <c:pt idx="97">
                  <c:v>2013</c:v>
                </c:pt>
                <c:pt idx="98">
                  <c:v>2013</c:v>
                </c:pt>
                <c:pt idx="99">
                  <c:v>2013</c:v>
                </c:pt>
                <c:pt idx="100">
                  <c:v>2013</c:v>
                </c:pt>
                <c:pt idx="101">
                  <c:v>2013</c:v>
                </c:pt>
                <c:pt idx="102">
                  <c:v>2013</c:v>
                </c:pt>
                <c:pt idx="103">
                  <c:v>2013</c:v>
                </c:pt>
                <c:pt idx="104">
                  <c:v>2013</c:v>
                </c:pt>
                <c:pt idx="105">
                  <c:v>2013</c:v>
                </c:pt>
                <c:pt idx="106">
                  <c:v>2013</c:v>
                </c:pt>
                <c:pt idx="107">
                  <c:v>2013</c:v>
                </c:pt>
                <c:pt idx="108">
                  <c:v>2013</c:v>
                </c:pt>
                <c:pt idx="109">
                  <c:v>2013</c:v>
                </c:pt>
                <c:pt idx="110">
                  <c:v>2013</c:v>
                </c:pt>
                <c:pt idx="111">
                  <c:v>2013</c:v>
                </c:pt>
                <c:pt idx="112">
                  <c:v>2013</c:v>
                </c:pt>
                <c:pt idx="113">
                  <c:v>2013</c:v>
                </c:pt>
                <c:pt idx="114">
                  <c:v>2013</c:v>
                </c:pt>
                <c:pt idx="115">
                  <c:v>2013</c:v>
                </c:pt>
                <c:pt idx="116">
                  <c:v>2013</c:v>
                </c:pt>
                <c:pt idx="117">
                  <c:v>2013</c:v>
                </c:pt>
                <c:pt idx="118">
                  <c:v>2013</c:v>
                </c:pt>
                <c:pt idx="119">
                  <c:v>2013</c:v>
                </c:pt>
                <c:pt idx="120">
                  <c:v>2013</c:v>
                </c:pt>
                <c:pt idx="121">
                  <c:v>2013</c:v>
                </c:pt>
                <c:pt idx="122">
                  <c:v>2013</c:v>
                </c:pt>
                <c:pt idx="123">
                  <c:v>2013</c:v>
                </c:pt>
                <c:pt idx="124">
                  <c:v>2013</c:v>
                </c:pt>
                <c:pt idx="125">
                  <c:v>2013</c:v>
                </c:pt>
                <c:pt idx="126">
                  <c:v>2013</c:v>
                </c:pt>
                <c:pt idx="127">
                  <c:v>2013</c:v>
                </c:pt>
                <c:pt idx="128">
                  <c:v>2013</c:v>
                </c:pt>
                <c:pt idx="129">
                  <c:v>2013</c:v>
                </c:pt>
                <c:pt idx="130">
                  <c:v>2013</c:v>
                </c:pt>
                <c:pt idx="131">
                  <c:v>2013</c:v>
                </c:pt>
                <c:pt idx="132">
                  <c:v>2013</c:v>
                </c:pt>
                <c:pt idx="133">
                  <c:v>2013</c:v>
                </c:pt>
                <c:pt idx="134">
                  <c:v>2013</c:v>
                </c:pt>
                <c:pt idx="135">
                  <c:v>2013</c:v>
                </c:pt>
                <c:pt idx="136">
                  <c:v>2013</c:v>
                </c:pt>
                <c:pt idx="137">
                  <c:v>2013</c:v>
                </c:pt>
                <c:pt idx="138">
                  <c:v>2013</c:v>
                </c:pt>
                <c:pt idx="139">
                  <c:v>2013</c:v>
                </c:pt>
                <c:pt idx="140">
                  <c:v>2013</c:v>
                </c:pt>
                <c:pt idx="141">
                  <c:v>2013</c:v>
                </c:pt>
                <c:pt idx="142">
                  <c:v>2013</c:v>
                </c:pt>
                <c:pt idx="143">
                  <c:v>2013</c:v>
                </c:pt>
                <c:pt idx="144">
                  <c:v>2013</c:v>
                </c:pt>
                <c:pt idx="145">
                  <c:v>2013</c:v>
                </c:pt>
                <c:pt idx="146">
                  <c:v>2013</c:v>
                </c:pt>
                <c:pt idx="147">
                  <c:v>2013</c:v>
                </c:pt>
                <c:pt idx="148">
                  <c:v>2013</c:v>
                </c:pt>
                <c:pt idx="149">
                  <c:v>2013</c:v>
                </c:pt>
                <c:pt idx="150">
                  <c:v>2013</c:v>
                </c:pt>
                <c:pt idx="151">
                  <c:v>2013</c:v>
                </c:pt>
                <c:pt idx="152">
                  <c:v>2013</c:v>
                </c:pt>
                <c:pt idx="153">
                  <c:v>2013</c:v>
                </c:pt>
                <c:pt idx="154">
                  <c:v>2013</c:v>
                </c:pt>
                <c:pt idx="155">
                  <c:v>2013</c:v>
                </c:pt>
                <c:pt idx="156">
                  <c:v>2013</c:v>
                </c:pt>
                <c:pt idx="157">
                  <c:v>2013</c:v>
                </c:pt>
                <c:pt idx="158">
                  <c:v>2013</c:v>
                </c:pt>
                <c:pt idx="159">
                  <c:v>2013</c:v>
                </c:pt>
                <c:pt idx="160">
                  <c:v>2013</c:v>
                </c:pt>
                <c:pt idx="161">
                  <c:v>2013</c:v>
                </c:pt>
                <c:pt idx="162">
                  <c:v>2013</c:v>
                </c:pt>
                <c:pt idx="163">
                  <c:v>2013</c:v>
                </c:pt>
                <c:pt idx="164">
                  <c:v>2013</c:v>
                </c:pt>
                <c:pt idx="165">
                  <c:v>2013</c:v>
                </c:pt>
                <c:pt idx="166">
                  <c:v>2013</c:v>
                </c:pt>
                <c:pt idx="167">
                  <c:v>2013</c:v>
                </c:pt>
                <c:pt idx="168">
                  <c:v>2013</c:v>
                </c:pt>
                <c:pt idx="169">
                  <c:v>2013</c:v>
                </c:pt>
                <c:pt idx="170">
                  <c:v>2013</c:v>
                </c:pt>
                <c:pt idx="171">
                  <c:v>2013</c:v>
                </c:pt>
                <c:pt idx="172">
                  <c:v>2013</c:v>
                </c:pt>
                <c:pt idx="173">
                  <c:v>2013</c:v>
                </c:pt>
                <c:pt idx="174">
                  <c:v>2013</c:v>
                </c:pt>
                <c:pt idx="175">
                  <c:v>2013</c:v>
                </c:pt>
                <c:pt idx="176">
                  <c:v>2013</c:v>
                </c:pt>
                <c:pt idx="177">
                  <c:v>2013</c:v>
                </c:pt>
                <c:pt idx="178">
                  <c:v>2013</c:v>
                </c:pt>
                <c:pt idx="179">
                  <c:v>2013</c:v>
                </c:pt>
                <c:pt idx="180">
                  <c:v>2013</c:v>
                </c:pt>
                <c:pt idx="181">
                  <c:v>2013</c:v>
                </c:pt>
              </c:numCache>
            </c:numRef>
          </c:xVal>
          <c:yVal>
            <c:numRef>
              <c:f>Götuumferð!$F$102:$F$282</c:f>
              <c:numCache>
                <c:formatCode>#,##0</c:formatCode>
                <c:ptCount val="181"/>
                <c:pt idx="0">
                  <c:v>114920</c:v>
                </c:pt>
                <c:pt idx="1">
                  <c:v>124655</c:v>
                </c:pt>
                <c:pt idx="2">
                  <c:v>126787.12982251594</c:v>
                </c:pt>
                <c:pt idx="3">
                  <c:v>121114</c:v>
                </c:pt>
                <c:pt idx="4">
                  <c:v>131363</c:v>
                </c:pt>
                <c:pt idx="5">
                  <c:v>133039</c:v>
                </c:pt>
                <c:pt idx="6">
                  <c:v>123314</c:v>
                </c:pt>
                <c:pt idx="7">
                  <c:v>129130</c:v>
                </c:pt>
                <c:pt idx="8">
                  <c:v>131660</c:v>
                </c:pt>
                <c:pt idx="9">
                  <c:v>131336</c:v>
                </c:pt>
                <c:pt idx="10">
                  <c:v>129557</c:v>
                </c:pt>
                <c:pt idx="11">
                  <c:v>127619</c:v>
                </c:pt>
                <c:pt idx="12">
                  <c:v>127041.17748520966</c:v>
                </c:pt>
                <c:pt idx="13">
                  <c:v>122677</c:v>
                </c:pt>
                <c:pt idx="14">
                  <c:v>128607</c:v>
                </c:pt>
                <c:pt idx="15">
                  <c:v>125049</c:v>
                </c:pt>
                <c:pt idx="16">
                  <c:v>131324.99245461533</c:v>
                </c:pt>
                <c:pt idx="17">
                  <c:v>135079.0724319641</c:v>
                </c:pt>
                <c:pt idx="18">
                  <c:v>133437.10595147865</c:v>
                </c:pt>
                <c:pt idx="19">
                  <c:v>126985.05661823777</c:v>
                </c:pt>
                <c:pt idx="20">
                  <c:v>133973.6944587281</c:v>
                </c:pt>
                <c:pt idx="21">
                  <c:v>132580.02396977026</c:v>
                </c:pt>
                <c:pt idx="22">
                  <c:v>135505.00832229911</c:v>
                </c:pt>
                <c:pt idx="23">
                  <c:v>131994.91955089409</c:v>
                </c:pt>
                <c:pt idx="24">
                  <c:v>130278.68986201713</c:v>
                </c:pt>
                <c:pt idx="25">
                  <c:v>130624.29696833367</c:v>
                </c:pt>
                <c:pt idx="26">
                  <c:v>127582.85506425255</c:v>
                </c:pt>
                <c:pt idx="27">
                  <c:v>133320</c:v>
                </c:pt>
                <c:pt idx="28">
                  <c:v>133176</c:v>
                </c:pt>
                <c:pt idx="29">
                  <c:v>131191</c:v>
                </c:pt>
                <c:pt idx="30">
                  <c:v>140104</c:v>
                </c:pt>
                <c:pt idx="31">
                  <c:v>135952</c:v>
                </c:pt>
                <c:pt idx="32">
                  <c:v>130910.96730033901</c:v>
                </c:pt>
                <c:pt idx="33">
                  <c:v>135183</c:v>
                </c:pt>
                <c:pt idx="34">
                  <c:v>140169.33990517911</c:v>
                </c:pt>
                <c:pt idx="35">
                  <c:v>140238</c:v>
                </c:pt>
                <c:pt idx="36">
                  <c:v>135830</c:v>
                </c:pt>
                <c:pt idx="37">
                  <c:v>130689</c:v>
                </c:pt>
                <c:pt idx="38">
                  <c:v>134528.84685581422</c:v>
                </c:pt>
                <c:pt idx="39">
                  <c:v>127784.35483870967</c:v>
                </c:pt>
                <c:pt idx="40">
                  <c:v>132240.03571428571</c:v>
                </c:pt>
                <c:pt idx="41">
                  <c:v>137544.35483870967</c:v>
                </c:pt>
                <c:pt idx="42">
                  <c:v>135038.46666666667</c:v>
                </c:pt>
                <c:pt idx="43">
                  <c:v>142690.25806451612</c:v>
                </c:pt>
                <c:pt idx="44">
                  <c:v>146647.33129889841</c:v>
                </c:pt>
                <c:pt idx="45">
                  <c:v>140560.91989411411</c:v>
                </c:pt>
                <c:pt idx="46">
                  <c:v>144492.2774284608</c:v>
                </c:pt>
                <c:pt idx="47">
                  <c:v>148973.64979378763</c:v>
                </c:pt>
                <c:pt idx="48">
                  <c:v>146687.85798477835</c:v>
                </c:pt>
                <c:pt idx="49">
                  <c:v>143355.16666666666</c:v>
                </c:pt>
                <c:pt idx="50">
                  <c:v>136569.90322580645</c:v>
                </c:pt>
                <c:pt idx="51">
                  <c:v>140215</c:v>
                </c:pt>
                <c:pt idx="52">
                  <c:v>133907.25806451612</c:v>
                </c:pt>
                <c:pt idx="53">
                  <c:v>141893.41379310345</c:v>
                </c:pt>
                <c:pt idx="54">
                  <c:v>142175.16129032261</c:v>
                </c:pt>
                <c:pt idx="55">
                  <c:v>152501.53333333333</c:v>
                </c:pt>
                <c:pt idx="56">
                  <c:v>153574.46559858267</c:v>
                </c:pt>
                <c:pt idx="57">
                  <c:v>152870.06666666668</c:v>
                </c:pt>
                <c:pt idx="58">
                  <c:v>145544.09677419355</c:v>
                </c:pt>
                <c:pt idx="59">
                  <c:v>157784.38709677418</c:v>
                </c:pt>
                <c:pt idx="60">
                  <c:v>161001.70000000001</c:v>
                </c:pt>
                <c:pt idx="61">
                  <c:v>153020.90322580645</c:v>
                </c:pt>
                <c:pt idx="62">
                  <c:v>156094.46666666667</c:v>
                </c:pt>
                <c:pt idx="63">
                  <c:v>153443.70967741936</c:v>
                </c:pt>
                <c:pt idx="64">
                  <c:v>150300</c:v>
                </c:pt>
                <c:pt idx="65">
                  <c:v>146306.93548387097</c:v>
                </c:pt>
                <c:pt idx="66">
                  <c:v>151142.28566069758</c:v>
                </c:pt>
                <c:pt idx="67">
                  <c:v>162935.67741935485</c:v>
                </c:pt>
                <c:pt idx="68">
                  <c:v>160216.08333333334</c:v>
                </c:pt>
                <c:pt idx="69">
                  <c:v>166065.36774929776</c:v>
                </c:pt>
                <c:pt idx="70">
                  <c:v>168979.39957802644</c:v>
                </c:pt>
                <c:pt idx="71">
                  <c:v>159375.10882859671</c:v>
                </c:pt>
                <c:pt idx="72">
                  <c:v>167992.19354838709</c:v>
                </c:pt>
                <c:pt idx="73">
                  <c:v>172525.83333333331</c:v>
                </c:pt>
                <c:pt idx="74">
                  <c:v>166860.80645161291</c:v>
                </c:pt>
                <c:pt idx="75">
                  <c:v>164657.29999999999</c:v>
                </c:pt>
                <c:pt idx="76">
                  <c:v>161108.29032258064</c:v>
                </c:pt>
                <c:pt idx="77">
                  <c:v>162347.10680909097</c:v>
                </c:pt>
                <c:pt idx="78">
                  <c:v>153041.22580645164</c:v>
                </c:pt>
                <c:pt idx="79">
                  <c:v>154140.13285456505</c:v>
                </c:pt>
                <c:pt idx="80">
                  <c:v>166896.53030433343</c:v>
                </c:pt>
                <c:pt idx="81">
                  <c:v>166930.02031564282</c:v>
                </c:pt>
                <c:pt idx="82">
                  <c:v>170404.80645161291</c:v>
                </c:pt>
                <c:pt idx="83">
                  <c:v>173290.96666666667</c:v>
                </c:pt>
                <c:pt idx="84">
                  <c:v>163460.13175129151</c:v>
                </c:pt>
                <c:pt idx="85">
                  <c:v>172000.87096774194</c:v>
                </c:pt>
                <c:pt idx="86">
                  <c:v>175115.5</c:v>
                </c:pt>
                <c:pt idx="87">
                  <c:v>173706.58064516127</c:v>
                </c:pt>
                <c:pt idx="88">
                  <c:v>171868.5</c:v>
                </c:pt>
                <c:pt idx="89">
                  <c:v>161941.41935483873</c:v>
                </c:pt>
                <c:pt idx="90">
                  <c:v>166899.72375985884</c:v>
                </c:pt>
                <c:pt idx="91">
                  <c:v>155523.29032258064</c:v>
                </c:pt>
                <c:pt idx="92">
                  <c:v>165020.07142857142</c:v>
                </c:pt>
                <c:pt idx="93">
                  <c:v>168276.87096774194</c:v>
                </c:pt>
                <c:pt idx="94">
                  <c:v>162648.09999999998</c:v>
                </c:pt>
                <c:pt idx="95">
                  <c:v>178474.38709677418</c:v>
                </c:pt>
                <c:pt idx="96">
                  <c:v>170723.86666666667</c:v>
                </c:pt>
                <c:pt idx="97">
                  <c:v>167139.74193548388</c:v>
                </c:pt>
                <c:pt idx="98">
                  <c:v>172613.93548387097</c:v>
                </c:pt>
                <c:pt idx="99">
                  <c:v>175667.75128192778</c:v>
                </c:pt>
                <c:pt idx="100">
                  <c:v>176501.19719904271</c:v>
                </c:pt>
                <c:pt idx="101">
                  <c:v>172162.63333333333</c:v>
                </c:pt>
                <c:pt idx="102">
                  <c:v>160250.09677419355</c:v>
                </c:pt>
                <c:pt idx="103">
                  <c:v>168750</c:v>
                </c:pt>
                <c:pt idx="104">
                  <c:v>153067.22580645164</c:v>
                </c:pt>
                <c:pt idx="105">
                  <c:v>163580.62068965519</c:v>
                </c:pt>
                <c:pt idx="106">
                  <c:v>133500.54838709679</c:v>
                </c:pt>
                <c:pt idx="107">
                  <c:v>117546.46666666667</c:v>
                </c:pt>
                <c:pt idx="108">
                  <c:v>161461.32258064515</c:v>
                </c:pt>
                <c:pt idx="109">
                  <c:v>172843.8</c:v>
                </c:pt>
                <c:pt idx="110">
                  <c:v>161421.5806451613</c:v>
                </c:pt>
                <c:pt idx="111">
                  <c:v>160070.93548387097</c:v>
                </c:pt>
                <c:pt idx="112">
                  <c:v>167850.76666666666</c:v>
                </c:pt>
                <c:pt idx="113">
                  <c:v>141283.22580645161</c:v>
                </c:pt>
                <c:pt idx="114">
                  <c:v>137719.79999999999</c:v>
                </c:pt>
                <c:pt idx="115">
                  <c:v>147959.19354838709</c:v>
                </c:pt>
                <c:pt idx="117">
                  <c:v>143242.22580645161</c:v>
                </c:pt>
                <c:pt idx="118">
                  <c:v>162318.5</c:v>
                </c:pt>
                <c:pt idx="119">
                  <c:v>166474.16129032258</c:v>
                </c:pt>
                <c:pt idx="120">
                  <c:v>154713.36666666667</c:v>
                </c:pt>
                <c:pt idx="121">
                  <c:v>174354.54838709679</c:v>
                </c:pt>
                <c:pt idx="122">
                  <c:v>173782.2</c:v>
                </c:pt>
                <c:pt idx="123">
                  <c:v>156418.16129032258</c:v>
                </c:pt>
                <c:pt idx="124">
                  <c:v>169324.87096774194</c:v>
                </c:pt>
                <c:pt idx="125">
                  <c:v>177861.10102086107</c:v>
                </c:pt>
                <c:pt idx="126">
                  <c:v>176658.71334100649</c:v>
                </c:pt>
                <c:pt idx="127">
                  <c:v>169432.73333333334</c:v>
                </c:pt>
                <c:pt idx="128">
                  <c:v>164025.61290322582</c:v>
                </c:pt>
                <c:pt idx="130">
                  <c:v>140110.09677419355</c:v>
                </c:pt>
                <c:pt idx="131">
                  <c:v>147435.67857142858</c:v>
                </c:pt>
                <c:pt idx="132">
                  <c:v>166850.54838709679</c:v>
                </c:pt>
                <c:pt idx="133">
                  <c:v>167986.96666666667</c:v>
                </c:pt>
                <c:pt idx="134">
                  <c:v>183195.32258064515</c:v>
                </c:pt>
                <c:pt idx="135">
                  <c:v>178089.16056937104</c:v>
                </c:pt>
                <c:pt idx="136">
                  <c:v>160492.98399286374</c:v>
                </c:pt>
                <c:pt idx="137">
                  <c:v>178046.83071694971</c:v>
                </c:pt>
                <c:pt idx="138">
                  <c:v>182454.18232348384</c:v>
                </c:pt>
                <c:pt idx="139">
                  <c:v>176850.30939513227</c:v>
                </c:pt>
                <c:pt idx="140">
                  <c:v>177588.9015305292</c:v>
                </c:pt>
                <c:pt idx="141">
                  <c:v>160673.20440313619</c:v>
                </c:pt>
                <c:pt idx="143">
                  <c:v>157052.36608756069</c:v>
                </c:pt>
                <c:pt idx="144">
                  <c:v>165203.90348130188</c:v>
                </c:pt>
                <c:pt idx="145">
                  <c:v>180833.25584681204</c:v>
                </c:pt>
                <c:pt idx="146">
                  <c:v>164477.71278310576</c:v>
                </c:pt>
                <c:pt idx="147">
                  <c:v>180415</c:v>
                </c:pt>
                <c:pt idx="148">
                  <c:v>187268</c:v>
                </c:pt>
                <c:pt idx="149">
                  <c:v>172236</c:v>
                </c:pt>
                <c:pt idx="150">
                  <c:v>180369</c:v>
                </c:pt>
                <c:pt idx="151">
                  <c:v>187216</c:v>
                </c:pt>
                <c:pt idx="152">
                  <c:v>181720</c:v>
                </c:pt>
                <c:pt idx="153">
                  <c:v>183772</c:v>
                </c:pt>
                <c:pt idx="154">
                  <c:v>172630</c:v>
                </c:pt>
                <c:pt idx="156">
                  <c:v>162839</c:v>
                </c:pt>
                <c:pt idx="157">
                  <c:v>176255</c:v>
                </c:pt>
                <c:pt idx="158">
                  <c:v>176867</c:v>
                </c:pt>
                <c:pt idx="159">
                  <c:v>184953</c:v>
                </c:pt>
                <c:pt idx="160">
                  <c:v>188126</c:v>
                </c:pt>
                <c:pt idx="161">
                  <c:v>184550</c:v>
                </c:pt>
                <c:pt idx="162">
                  <c:v>177714</c:v>
                </c:pt>
                <c:pt idx="163">
                  <c:v>185531</c:v>
                </c:pt>
                <c:pt idx="164">
                  <c:v>190444</c:v>
                </c:pt>
                <c:pt idx="165">
                  <c:v>189097</c:v>
                </c:pt>
                <c:pt idx="166">
                  <c:v>184724</c:v>
                </c:pt>
                <c:pt idx="167">
                  <c:v>169144</c:v>
                </c:pt>
                <c:pt idx="169">
                  <c:v>166586</c:v>
                </c:pt>
                <c:pt idx="170">
                  <c:v>176370</c:v>
                </c:pt>
                <c:pt idx="171">
                  <c:v>184249</c:v>
                </c:pt>
                <c:pt idx="172">
                  <c:v>179960</c:v>
                </c:pt>
                <c:pt idx="173">
                  <c:v>192609</c:v>
                </c:pt>
                <c:pt idx="174">
                  <c:v>187725</c:v>
                </c:pt>
                <c:pt idx="175">
                  <c:v>181519</c:v>
                </c:pt>
                <c:pt idx="176">
                  <c:v>186430</c:v>
                </c:pt>
                <c:pt idx="177">
                  <c:v>191034</c:v>
                </c:pt>
                <c:pt idx="178">
                  <c:v>181622</c:v>
                </c:pt>
                <c:pt idx="179">
                  <c:v>182381</c:v>
                </c:pt>
                <c:pt idx="180">
                  <c:v>176365</c:v>
                </c:pt>
              </c:numCache>
            </c:numRef>
          </c:yVal>
          <c:smooth val="0"/>
          <c:extLst>
            <c:ext xmlns:c16="http://schemas.microsoft.com/office/drawing/2014/chart" uri="{C3380CC4-5D6E-409C-BE32-E72D297353CC}">
              <c16:uniqueId val="{00000000-13F9-456F-8071-AB704300D294}"/>
            </c:ext>
          </c:extLst>
        </c:ser>
        <c:dLbls>
          <c:showLegendKey val="0"/>
          <c:showVal val="0"/>
          <c:showCatName val="0"/>
          <c:showSerName val="0"/>
          <c:showPercent val="0"/>
          <c:showBubbleSize val="0"/>
        </c:dLbls>
        <c:axId val="1695511631"/>
        <c:axId val="30346591"/>
      </c:scatterChart>
      <c:valAx>
        <c:axId val="1695511631"/>
        <c:scaling>
          <c:orientation val="minMax"/>
          <c:max val="2025"/>
          <c:min val="2012"/>
        </c:scaling>
        <c:delete val="0"/>
        <c:axPos val="b"/>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30346591"/>
        <c:crosses val="autoZero"/>
        <c:crossBetween val="midCat"/>
      </c:valAx>
      <c:valAx>
        <c:axId val="303465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Meðalumferð</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6955116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Götuumferð!$T$181:$T$285</c:f>
              <c:numCache>
                <c:formatCode>General</c:formatCode>
                <c:ptCount val="105"/>
                <c:pt idx="0">
                  <c:v>2013</c:v>
                </c:pt>
                <c:pt idx="1">
                  <c:v>2013</c:v>
                </c:pt>
                <c:pt idx="2">
                  <c:v>2013</c:v>
                </c:pt>
                <c:pt idx="3">
                  <c:v>2013</c:v>
                </c:pt>
                <c:pt idx="4">
                  <c:v>2013</c:v>
                </c:pt>
                <c:pt idx="5">
                  <c:v>2013</c:v>
                </c:pt>
                <c:pt idx="6">
                  <c:v>2013</c:v>
                </c:pt>
                <c:pt idx="7">
                  <c:v>2013</c:v>
                </c:pt>
                <c:pt idx="8">
                  <c:v>2013</c:v>
                </c:pt>
                <c:pt idx="9">
                  <c:v>2013</c:v>
                </c:pt>
                <c:pt idx="10">
                  <c:v>2013</c:v>
                </c:pt>
                <c:pt idx="11">
                  <c:v>2013</c:v>
                </c:pt>
                <c:pt idx="12">
                  <c:v>2013</c:v>
                </c:pt>
                <c:pt idx="13">
                  <c:v>2013</c:v>
                </c:pt>
                <c:pt idx="14">
                  <c:v>2013</c:v>
                </c:pt>
                <c:pt idx="15">
                  <c:v>2013</c:v>
                </c:pt>
                <c:pt idx="16">
                  <c:v>2013</c:v>
                </c:pt>
                <c:pt idx="17">
                  <c:v>2013</c:v>
                </c:pt>
                <c:pt idx="18">
                  <c:v>2013</c:v>
                </c:pt>
                <c:pt idx="19">
                  <c:v>2013</c:v>
                </c:pt>
                <c:pt idx="20">
                  <c:v>2013</c:v>
                </c:pt>
                <c:pt idx="21">
                  <c:v>2013</c:v>
                </c:pt>
                <c:pt idx="22">
                  <c:v>2013</c:v>
                </c:pt>
                <c:pt idx="23">
                  <c:v>2013</c:v>
                </c:pt>
                <c:pt idx="24">
                  <c:v>2013</c:v>
                </c:pt>
                <c:pt idx="25">
                  <c:v>2013</c:v>
                </c:pt>
                <c:pt idx="26">
                  <c:v>2013</c:v>
                </c:pt>
                <c:pt idx="27">
                  <c:v>2013</c:v>
                </c:pt>
                <c:pt idx="28">
                  <c:v>2013</c:v>
                </c:pt>
                <c:pt idx="29">
                  <c:v>2013</c:v>
                </c:pt>
                <c:pt idx="30">
                  <c:v>2013</c:v>
                </c:pt>
                <c:pt idx="31">
                  <c:v>2013</c:v>
                </c:pt>
                <c:pt idx="32">
                  <c:v>2013</c:v>
                </c:pt>
                <c:pt idx="33">
                  <c:v>2013</c:v>
                </c:pt>
                <c:pt idx="34">
                  <c:v>2013</c:v>
                </c:pt>
                <c:pt idx="35">
                  <c:v>2013</c:v>
                </c:pt>
                <c:pt idx="36">
                  <c:v>2013</c:v>
                </c:pt>
                <c:pt idx="37">
                  <c:v>2013</c:v>
                </c:pt>
                <c:pt idx="38">
                  <c:v>2013</c:v>
                </c:pt>
                <c:pt idx="39">
                  <c:v>2013</c:v>
                </c:pt>
                <c:pt idx="40">
                  <c:v>2013</c:v>
                </c:pt>
                <c:pt idx="41">
                  <c:v>2013</c:v>
                </c:pt>
                <c:pt idx="42">
                  <c:v>2013</c:v>
                </c:pt>
                <c:pt idx="43">
                  <c:v>2013</c:v>
                </c:pt>
                <c:pt idx="44">
                  <c:v>2013</c:v>
                </c:pt>
                <c:pt idx="45">
                  <c:v>2013</c:v>
                </c:pt>
                <c:pt idx="46">
                  <c:v>2013</c:v>
                </c:pt>
                <c:pt idx="47">
                  <c:v>2013</c:v>
                </c:pt>
                <c:pt idx="48">
                  <c:v>2013</c:v>
                </c:pt>
                <c:pt idx="49">
                  <c:v>2013</c:v>
                </c:pt>
                <c:pt idx="50">
                  <c:v>2013</c:v>
                </c:pt>
                <c:pt idx="51">
                  <c:v>2013</c:v>
                </c:pt>
                <c:pt idx="52">
                  <c:v>2013</c:v>
                </c:pt>
                <c:pt idx="53">
                  <c:v>2013</c:v>
                </c:pt>
                <c:pt idx="54">
                  <c:v>2013</c:v>
                </c:pt>
                <c:pt idx="55">
                  <c:v>2013</c:v>
                </c:pt>
                <c:pt idx="56">
                  <c:v>2013</c:v>
                </c:pt>
                <c:pt idx="57">
                  <c:v>2013</c:v>
                </c:pt>
                <c:pt idx="58">
                  <c:v>2013</c:v>
                </c:pt>
                <c:pt idx="59">
                  <c:v>2013</c:v>
                </c:pt>
                <c:pt idx="60">
                  <c:v>2013</c:v>
                </c:pt>
                <c:pt idx="61">
                  <c:v>2013</c:v>
                </c:pt>
                <c:pt idx="62">
                  <c:v>2013</c:v>
                </c:pt>
                <c:pt idx="63">
                  <c:v>2013</c:v>
                </c:pt>
                <c:pt idx="64">
                  <c:v>2013</c:v>
                </c:pt>
                <c:pt idx="65">
                  <c:v>2013</c:v>
                </c:pt>
                <c:pt idx="66">
                  <c:v>2013</c:v>
                </c:pt>
                <c:pt idx="67">
                  <c:v>2013</c:v>
                </c:pt>
                <c:pt idx="68">
                  <c:v>2013</c:v>
                </c:pt>
                <c:pt idx="69">
                  <c:v>2013</c:v>
                </c:pt>
                <c:pt idx="70">
                  <c:v>2013</c:v>
                </c:pt>
                <c:pt idx="71">
                  <c:v>2013</c:v>
                </c:pt>
                <c:pt idx="72">
                  <c:v>2013</c:v>
                </c:pt>
                <c:pt idx="73">
                  <c:v>2013</c:v>
                </c:pt>
                <c:pt idx="74">
                  <c:v>2013</c:v>
                </c:pt>
                <c:pt idx="75">
                  <c:v>2013</c:v>
                </c:pt>
                <c:pt idx="76">
                  <c:v>2013</c:v>
                </c:pt>
                <c:pt idx="77">
                  <c:v>2013</c:v>
                </c:pt>
                <c:pt idx="78">
                  <c:v>2013</c:v>
                </c:pt>
                <c:pt idx="79">
                  <c:v>2013</c:v>
                </c:pt>
                <c:pt idx="80">
                  <c:v>2013</c:v>
                </c:pt>
                <c:pt idx="81">
                  <c:v>2013</c:v>
                </c:pt>
                <c:pt idx="82">
                  <c:v>2013</c:v>
                </c:pt>
                <c:pt idx="83">
                  <c:v>2013</c:v>
                </c:pt>
                <c:pt idx="84">
                  <c:v>2013</c:v>
                </c:pt>
                <c:pt idx="85">
                  <c:v>2013</c:v>
                </c:pt>
                <c:pt idx="86">
                  <c:v>2013</c:v>
                </c:pt>
                <c:pt idx="87">
                  <c:v>2013</c:v>
                </c:pt>
                <c:pt idx="88">
                  <c:v>2013</c:v>
                </c:pt>
                <c:pt idx="89">
                  <c:v>2013</c:v>
                </c:pt>
                <c:pt idx="90">
                  <c:v>2013</c:v>
                </c:pt>
                <c:pt idx="91">
                  <c:v>2013</c:v>
                </c:pt>
                <c:pt idx="92">
                  <c:v>2013</c:v>
                </c:pt>
                <c:pt idx="93">
                  <c:v>2013</c:v>
                </c:pt>
                <c:pt idx="94">
                  <c:v>2013</c:v>
                </c:pt>
                <c:pt idx="95">
                  <c:v>2013</c:v>
                </c:pt>
                <c:pt idx="96">
                  <c:v>2013</c:v>
                </c:pt>
                <c:pt idx="97">
                  <c:v>2013</c:v>
                </c:pt>
                <c:pt idx="98">
                  <c:v>2013</c:v>
                </c:pt>
                <c:pt idx="99">
                  <c:v>2013</c:v>
                </c:pt>
                <c:pt idx="100">
                  <c:v>2013</c:v>
                </c:pt>
                <c:pt idx="101">
                  <c:v>2013</c:v>
                </c:pt>
                <c:pt idx="102">
                  <c:v>2013</c:v>
                </c:pt>
                <c:pt idx="103">
                  <c:v>2013</c:v>
                </c:pt>
                <c:pt idx="104">
                  <c:v>2013</c:v>
                </c:pt>
              </c:numCache>
            </c:numRef>
          </c:xVal>
          <c:yVal>
            <c:numRef>
              <c:f>Götuumferð!$L$180:$L$282</c:f>
              <c:numCache>
                <c:formatCode>0.0%</c:formatCode>
                <c:ptCount val="103"/>
                <c:pt idx="0">
                  <c:v>4.6028510544006807E-2</c:v>
                </c:pt>
                <c:pt idx="1">
                  <c:v>1.9834602743784124E-2</c:v>
                </c:pt>
                <c:pt idx="2">
                  <c:v>2.4309303816771655E-2</c:v>
                </c:pt>
                <c:pt idx="3">
                  <c:v>4.1905511872618817E-2</c:v>
                </c:pt>
                <c:pt idx="4">
                  <c:v>2.6130907130897052E-2</c:v>
                </c:pt>
                <c:pt idx="5">
                  <c:v>2.5515341511492151E-2</c:v>
                </c:pt>
                <c:pt idx="6">
                  <c:v>2.5631498875323899E-2</c:v>
                </c:pt>
                <c:pt idx="7">
                  <c:v>2.386228392333134E-2</c:v>
                </c:pt>
                <c:pt idx="8">
                  <c:v>1.5010312465283171E-2</c:v>
                </c:pt>
                <c:pt idx="9">
                  <c:v>4.1026855491876901E-2</c:v>
                </c:pt>
                <c:pt idx="10">
                  <c:v>4.3795203735273347E-2</c:v>
                </c:pt>
                <c:pt idx="11">
                  <c:v>5.1712362572400306E-3</c:v>
                </c:pt>
                <c:pt idx="12">
                  <c:v>1.5241885439683404E-2</c:v>
                </c:pt>
                <c:pt idx="13">
                  <c:v>1.6218273886985379E-2</c:v>
                </c:pt>
                <c:pt idx="14">
                  <c:v>7.058472295642737E-2</c:v>
                </c:pt>
                <c:pt idx="15">
                  <c:v>8.2706372678418294E-3</c:v>
                </c:pt>
                <c:pt idx="16">
                  <c:v>-2.5650990202638724E-2</c:v>
                </c:pt>
                <c:pt idx="17">
                  <c:v>4.7355358180302565E-2</c:v>
                </c:pt>
                <c:pt idx="18">
                  <c:v>-1.4813813145482357E-2</c:v>
                </c:pt>
                <c:pt idx="19">
                  <c:v>2.2510750142982872E-2</c:v>
                </c:pt>
                <c:pt idx="20">
                  <c:v>3.564310533311188E-3</c:v>
                </c:pt>
                <c:pt idx="21">
                  <c:v>3.1536402084781923E-3</c:v>
                </c:pt>
                <c:pt idx="22">
                  <c:v>1.6088144407091498E-2</c:v>
                </c:pt>
                <c:pt idx="23">
                  <c:v>1.7113859336255199E-3</c:v>
                </c:pt>
                <c:pt idx="24">
                  <c:v>-1.0444039501341096E-2</c:v>
                </c:pt>
                <c:pt idx="26">
                  <c:v>-1.5792261795868123E-2</c:v>
                </c:pt>
                <c:pt idx="27">
                  <c:v>-8.7228827769554318E-3</c:v>
                </c:pt>
                <c:pt idx="28">
                  <c:v>-0.20666133367378603</c:v>
                </c:pt>
                <c:pt idx="29">
                  <c:v>-0.27729578970386559</c:v>
                </c:pt>
                <c:pt idx="30">
                  <c:v>1.2417322631711691E-2</c:v>
                </c:pt>
                <c:pt idx="31">
                  <c:v>1.2417322631711691E-2</c:v>
                </c:pt>
                <c:pt idx="32">
                  <c:v>-3.4211859035475745E-2</c:v>
                </c:pt>
                <c:pt idx="33">
                  <c:v>-7.2665048536431853E-2</c:v>
                </c:pt>
                <c:pt idx="34">
                  <c:v>-4.4498688906854045E-2</c:v>
                </c:pt>
                <c:pt idx="35">
                  <c:v>-0.19953389524534126</c:v>
                </c:pt>
                <c:pt idx="36">
                  <c:v>-0.20005986587488311</c:v>
                </c:pt>
                <c:pt idx="37">
                  <c:v>-7.6698257743490927E-2</c:v>
                </c:pt>
                <c:pt idx="39">
                  <c:v>-6.4187483298504433E-2</c:v>
                </c:pt>
                <c:pt idx="40">
                  <c:v>-7.7155880955463996E-3</c:v>
                </c:pt>
                <c:pt idx="41">
                  <c:v>0.24699234049298324</c:v>
                </c:pt>
                <c:pt idx="42">
                  <c:v>0.31618900213645995</c:v>
                </c:pt>
                <c:pt idx="43">
                  <c:v>7.9853339489473374E-2</c:v>
                </c:pt>
                <c:pt idx="44">
                  <c:v>5.4291794093859203E-3</c:v>
                </c:pt>
                <c:pt idx="45">
                  <c:v>-3.0995975475158422E-2</c:v>
                </c:pt>
                <c:pt idx="46">
                  <c:v>5.7811466247121412E-2</c:v>
                </c:pt>
                <c:pt idx="47">
                  <c:v>5.9638299859981148E-2</c:v>
                </c:pt>
                <c:pt idx="48">
                  <c:v>0.25038703167081477</c:v>
                </c:pt>
                <c:pt idx="49">
                  <c:v>0.23027141582643429</c:v>
                </c:pt>
                <c:pt idx="50">
                  <c:v>0.10858682701311517</c:v>
                </c:pt>
                <c:pt idx="52">
                  <c:v>-2.186596176249167E-2</c:v>
                </c:pt>
                <c:pt idx="53">
                  <c:v>-9.168900296991056E-2</c:v>
                </c:pt>
                <c:pt idx="54">
                  <c:v>2.2609340323860305E-3</c:v>
                </c:pt>
                <c:pt idx="55">
                  <c:v>8.5794784807432078E-2</c:v>
                </c:pt>
                <c:pt idx="56">
                  <c:v>5.0705727354587449E-2</c:v>
                </c:pt>
                <c:pt idx="57">
                  <c:v>2.4783669267456787E-2</c:v>
                </c:pt>
                <c:pt idx="58">
                  <c:v>2.6050828554224026E-2</c:v>
                </c:pt>
                <c:pt idx="59">
                  <c:v>5.1510210516382937E-2</c:v>
                </c:pt>
                <c:pt idx="60">
                  <c:v>2.5823978802897773E-2</c:v>
                </c:pt>
                <c:pt idx="61">
                  <c:v>1.0845547921314314E-3</c:v>
                </c:pt>
                <c:pt idx="62">
                  <c:v>4.8138090183257765E-2</c:v>
                </c:pt>
                <c:pt idx="63">
                  <c:v>-2.0438323263986424E-2</c:v>
                </c:pt>
                <c:pt idx="65">
                  <c:v>0.12092111634661062</c:v>
                </c:pt>
                <c:pt idx="66">
                  <c:v>0.12051509568130125</c:v>
                </c:pt>
                <c:pt idx="67">
                  <c:v>8.3803784853466956E-2</c:v>
                </c:pt>
                <c:pt idx="68">
                  <c:v>-2.0890036609353513E-2</c:v>
                </c:pt>
                <c:pt idx="69">
                  <c:v>-1.4999999999999999E-2</c:v>
                </c:pt>
                <c:pt idx="70">
                  <c:v>5.1999999999999998E-2</c:v>
                </c:pt>
                <c:pt idx="71">
                  <c:v>7.2999999999999995E-2</c:v>
                </c:pt>
                <c:pt idx="72">
                  <c:v>1.2999999999999999E-2</c:v>
                </c:pt>
                <c:pt idx="73">
                  <c:v>2.5999999999999999E-2</c:v>
                </c:pt>
                <c:pt idx="74">
                  <c:v>2.8000000000000001E-2</c:v>
                </c:pt>
                <c:pt idx="75">
                  <c:v>3.5000000000000003E-2</c:v>
                </c:pt>
                <c:pt idx="76">
                  <c:v>7.3999999999999996E-2</c:v>
                </c:pt>
                <c:pt idx="77" formatCode="General">
                  <c:v>0</c:v>
                </c:pt>
                <c:pt idx="78" formatCode="0.00%">
                  <c:v>3.6999999999999998E-2</c:v>
                </c:pt>
                <c:pt idx="79" formatCode="0.00%">
                  <c:v>6.7000000000000004E-2</c:v>
                </c:pt>
                <c:pt idx="80" formatCode="0.00%">
                  <c:v>-2.1999999999999999E-2</c:v>
                </c:pt>
                <c:pt idx="81" formatCode="0.00%">
                  <c:v>0.124</c:v>
                </c:pt>
                <c:pt idx="82" formatCode="0.00%">
                  <c:v>4.2999999999999997E-2</c:v>
                </c:pt>
                <c:pt idx="83" formatCode="0.00%">
                  <c:v>-1.4999999999999999E-2</c:v>
                </c:pt>
                <c:pt idx="84" formatCode="0.00%">
                  <c:v>3.2000000000000001E-2</c:v>
                </c:pt>
                <c:pt idx="85" formatCode="0.00%">
                  <c:v>2.9000000000000001E-2</c:v>
                </c:pt>
                <c:pt idx="86" formatCode="0.00%">
                  <c:v>1.7000000000000001E-2</c:v>
                </c:pt>
                <c:pt idx="87" formatCode="0.00%">
                  <c:v>4.1000000000000002E-2</c:v>
                </c:pt>
                <c:pt idx="88" formatCode="0.00%">
                  <c:v>-1.4E-2</c:v>
                </c:pt>
                <c:pt idx="89" formatCode="0.00%">
                  <c:v>1E-3</c:v>
                </c:pt>
                <c:pt idx="91" formatCode="0.00%">
                  <c:v>2.3010458182622099E-2</c:v>
                </c:pt>
                <c:pt idx="92" formatCode="0.00%">
                  <c:v>6.5246375989333634E-4</c:v>
                </c:pt>
                <c:pt idx="93" formatCode="0.00%">
                  <c:v>4.1737576823262679E-2</c:v>
                </c:pt>
                <c:pt idx="94" formatCode="0.00%">
                  <c:v>-2.6996047644536721E-2</c:v>
                </c:pt>
                <c:pt idx="95" formatCode="0.00%">
                  <c:v>2.3829773662332691E-2</c:v>
                </c:pt>
                <c:pt idx="96" formatCode="0.00%">
                  <c:v>1.7204009753454347E-2</c:v>
                </c:pt>
                <c:pt idx="97" formatCode="0.00%">
                  <c:v>2.1410806126697952E-2</c:v>
                </c:pt>
                <c:pt idx="98" formatCode="0.00%">
                  <c:v>4.845551417283365E-3</c:v>
                </c:pt>
                <c:pt idx="99" formatCode="0.00%">
                  <c:v>3.098023565982651E-3</c:v>
                </c:pt>
                <c:pt idx="100" formatCode="0.00%">
                  <c:v>-3.9529976678635829E-2</c:v>
                </c:pt>
                <c:pt idx="101" formatCode="0.00%">
                  <c:v>-1.2683787704900284E-2</c:v>
                </c:pt>
                <c:pt idx="102" formatCode="0.00%">
                  <c:v>4.2691434517334342E-2</c:v>
                </c:pt>
              </c:numCache>
            </c:numRef>
          </c:yVal>
          <c:smooth val="0"/>
          <c:extLst>
            <c:ext xmlns:c16="http://schemas.microsoft.com/office/drawing/2014/chart" uri="{C3380CC4-5D6E-409C-BE32-E72D297353CC}">
              <c16:uniqueId val="{00000000-EB16-4C7A-9AEC-EA5A2C3D3226}"/>
            </c:ext>
          </c:extLst>
        </c:ser>
        <c:dLbls>
          <c:showLegendKey val="0"/>
          <c:showVal val="0"/>
          <c:showCatName val="0"/>
          <c:showSerName val="0"/>
          <c:showPercent val="0"/>
          <c:showBubbleSize val="0"/>
        </c:dLbls>
        <c:axId val="1695511631"/>
        <c:axId val="30346591"/>
      </c:scatterChart>
      <c:valAx>
        <c:axId val="169551163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30346591"/>
        <c:crosses val="autoZero"/>
        <c:crossBetween val="midCat"/>
      </c:valAx>
      <c:valAx>
        <c:axId val="30346591"/>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6955116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areaChart>
        <c:grouping val="stacked"/>
        <c:varyColors val="0"/>
        <c:ser>
          <c:idx val="3"/>
          <c:order val="0"/>
          <c:tx>
            <c:strRef>
              <c:f>Götuumferð!$Z$114</c:f>
              <c:strCache>
                <c:ptCount val="1"/>
                <c:pt idx="0">
                  <c:v>Metan</c:v>
                </c:pt>
              </c:strCache>
            </c:strRef>
          </c:tx>
          <c:spPr>
            <a:solidFill>
              <a:schemeClr val="accent4"/>
            </a:solidFill>
            <a:ln>
              <a:noFill/>
            </a:ln>
            <a:effectLst/>
          </c:spPr>
          <c:cat>
            <c:numRef>
              <c:f>Götuumferð!$AA$110:$AG$110</c:f>
              <c:numCache>
                <c:formatCode>General</c:formatCode>
                <c:ptCount val="7"/>
                <c:pt idx="0">
                  <c:v>2019</c:v>
                </c:pt>
                <c:pt idx="1">
                  <c:v>2020</c:v>
                </c:pt>
                <c:pt idx="2">
                  <c:v>2021</c:v>
                </c:pt>
                <c:pt idx="3">
                  <c:v>2022</c:v>
                </c:pt>
                <c:pt idx="4">
                  <c:v>2023</c:v>
                </c:pt>
                <c:pt idx="5">
                  <c:v>2024</c:v>
                </c:pt>
                <c:pt idx="6">
                  <c:v>2025</c:v>
                </c:pt>
              </c:numCache>
            </c:numRef>
          </c:cat>
          <c:val>
            <c:numRef>
              <c:f>Götuumferð!$AA$114:$AG$114</c:f>
              <c:numCache>
                <c:formatCode>0.00%</c:formatCode>
                <c:ptCount val="7"/>
                <c:pt idx="0">
                  <c:v>2.6893394751446643E-3</c:v>
                </c:pt>
                <c:pt idx="1">
                  <c:v>5.027254279090323E-3</c:v>
                </c:pt>
                <c:pt idx="2">
                  <c:v>5.7120054171886196E-3</c:v>
                </c:pt>
                <c:pt idx="3">
                  <c:v>6.7989296923956126E-3</c:v>
                </c:pt>
                <c:pt idx="4">
                  <c:v>8.1856328219928002E-3</c:v>
                </c:pt>
                <c:pt idx="5">
                  <c:v>7.8777802728100879E-3</c:v>
                </c:pt>
                <c:pt idx="6">
                  <c:v>6.16181857884536E-3</c:v>
                </c:pt>
              </c:numCache>
            </c:numRef>
          </c:val>
          <c:extLst>
            <c:ext xmlns:c16="http://schemas.microsoft.com/office/drawing/2014/chart" uri="{C3380CC4-5D6E-409C-BE32-E72D297353CC}">
              <c16:uniqueId val="{00000003-6325-49FE-AE79-093A35AFAD29}"/>
            </c:ext>
          </c:extLst>
        </c:ser>
        <c:ser>
          <c:idx val="0"/>
          <c:order val="1"/>
          <c:tx>
            <c:strRef>
              <c:f>Götuumferð!$Z$111</c:f>
              <c:strCache>
                <c:ptCount val="1"/>
                <c:pt idx="0">
                  <c:v>Rafmagn</c:v>
                </c:pt>
              </c:strCache>
            </c:strRef>
          </c:tx>
          <c:spPr>
            <a:solidFill>
              <a:schemeClr val="accent1"/>
            </a:solidFill>
            <a:ln>
              <a:noFill/>
            </a:ln>
            <a:effectLst/>
          </c:spPr>
          <c:cat>
            <c:numRef>
              <c:f>Götuumferð!$AA$110:$AG$110</c:f>
              <c:numCache>
                <c:formatCode>General</c:formatCode>
                <c:ptCount val="7"/>
                <c:pt idx="0">
                  <c:v>2019</c:v>
                </c:pt>
                <c:pt idx="1">
                  <c:v>2020</c:v>
                </c:pt>
                <c:pt idx="2">
                  <c:v>2021</c:v>
                </c:pt>
                <c:pt idx="3">
                  <c:v>2022</c:v>
                </c:pt>
                <c:pt idx="4">
                  <c:v>2023</c:v>
                </c:pt>
                <c:pt idx="5">
                  <c:v>2024</c:v>
                </c:pt>
                <c:pt idx="6">
                  <c:v>2025</c:v>
                </c:pt>
              </c:numCache>
            </c:numRef>
          </c:cat>
          <c:val>
            <c:numRef>
              <c:f>Götuumferð!$AA$111:$AG$111</c:f>
              <c:numCache>
                <c:formatCode>0.00%</c:formatCode>
                <c:ptCount val="7"/>
                <c:pt idx="0">
                  <c:v>9.4627775073260392E-3</c:v>
                </c:pt>
                <c:pt idx="1">
                  <c:v>1.768902332913011E-2</c:v>
                </c:pt>
                <c:pt idx="2">
                  <c:v>3.5992774778232824E-2</c:v>
                </c:pt>
                <c:pt idx="3">
                  <c:v>6.6471155775341795E-2</c:v>
                </c:pt>
                <c:pt idx="4">
                  <c:v>0.12763869178668355</c:v>
                </c:pt>
                <c:pt idx="5">
                  <c:v>0.14085572220543333</c:v>
                </c:pt>
                <c:pt idx="6">
                  <c:v>0.1680469310286187</c:v>
                </c:pt>
              </c:numCache>
            </c:numRef>
          </c:val>
          <c:extLst>
            <c:ext xmlns:c16="http://schemas.microsoft.com/office/drawing/2014/chart" uri="{C3380CC4-5D6E-409C-BE32-E72D297353CC}">
              <c16:uniqueId val="{00000000-6325-49FE-AE79-093A35AFAD29}"/>
            </c:ext>
          </c:extLst>
        </c:ser>
        <c:ser>
          <c:idx val="1"/>
          <c:order val="2"/>
          <c:tx>
            <c:strRef>
              <c:f>Götuumferð!$Z$112</c:f>
              <c:strCache>
                <c:ptCount val="1"/>
                <c:pt idx="0">
                  <c:v>Rafmagn/Tvinnbíll</c:v>
                </c:pt>
              </c:strCache>
            </c:strRef>
          </c:tx>
          <c:spPr>
            <a:solidFill>
              <a:schemeClr val="accent2"/>
            </a:solidFill>
            <a:ln>
              <a:noFill/>
            </a:ln>
            <a:effectLst/>
          </c:spPr>
          <c:cat>
            <c:numRef>
              <c:f>Götuumferð!$AA$110:$AG$110</c:f>
              <c:numCache>
                <c:formatCode>General</c:formatCode>
                <c:ptCount val="7"/>
                <c:pt idx="0">
                  <c:v>2019</c:v>
                </c:pt>
                <c:pt idx="1">
                  <c:v>2020</c:v>
                </c:pt>
                <c:pt idx="2">
                  <c:v>2021</c:v>
                </c:pt>
                <c:pt idx="3">
                  <c:v>2022</c:v>
                </c:pt>
                <c:pt idx="4">
                  <c:v>2023</c:v>
                </c:pt>
                <c:pt idx="5">
                  <c:v>2024</c:v>
                </c:pt>
                <c:pt idx="6">
                  <c:v>2025</c:v>
                </c:pt>
              </c:numCache>
            </c:numRef>
          </c:cat>
          <c:val>
            <c:numRef>
              <c:f>Götuumferð!$AA$112:$AG$112</c:f>
              <c:numCache>
                <c:formatCode>0.00%</c:formatCode>
                <c:ptCount val="7"/>
                <c:pt idx="0">
                  <c:v>1.0410307559060212E-2</c:v>
                </c:pt>
                <c:pt idx="1">
                  <c:v>1.9460266621831587E-2</c:v>
                </c:pt>
                <c:pt idx="2">
                  <c:v>2.9604654434111671E-2</c:v>
                </c:pt>
                <c:pt idx="3">
                  <c:v>3.4045610604671449E-2</c:v>
                </c:pt>
                <c:pt idx="4">
                  <c:v>7.148794122772914E-2</c:v>
                </c:pt>
                <c:pt idx="5">
                  <c:v>8.961351450669533E-2</c:v>
                </c:pt>
                <c:pt idx="6">
                  <c:v>9.0284593992435561E-2</c:v>
                </c:pt>
              </c:numCache>
            </c:numRef>
          </c:val>
          <c:extLst>
            <c:ext xmlns:c16="http://schemas.microsoft.com/office/drawing/2014/chart" uri="{C3380CC4-5D6E-409C-BE32-E72D297353CC}">
              <c16:uniqueId val="{00000001-6325-49FE-AE79-093A35AFAD29}"/>
            </c:ext>
          </c:extLst>
        </c:ser>
        <c:ser>
          <c:idx val="2"/>
          <c:order val="3"/>
          <c:tx>
            <c:strRef>
              <c:f>Götuumferð!$Z$113</c:f>
              <c:strCache>
                <c:ptCount val="1"/>
                <c:pt idx="0">
                  <c:v>Rafmagnstengill</c:v>
                </c:pt>
              </c:strCache>
            </c:strRef>
          </c:tx>
          <c:spPr>
            <a:solidFill>
              <a:schemeClr val="accent3"/>
            </a:solidFill>
            <a:ln>
              <a:noFill/>
            </a:ln>
            <a:effectLst/>
          </c:spPr>
          <c:cat>
            <c:numRef>
              <c:f>Götuumferð!$AA$110:$AG$110</c:f>
              <c:numCache>
                <c:formatCode>General</c:formatCode>
                <c:ptCount val="7"/>
                <c:pt idx="0">
                  <c:v>2019</c:v>
                </c:pt>
                <c:pt idx="1">
                  <c:v>2020</c:v>
                </c:pt>
                <c:pt idx="2">
                  <c:v>2021</c:v>
                </c:pt>
                <c:pt idx="3">
                  <c:v>2022</c:v>
                </c:pt>
                <c:pt idx="4">
                  <c:v>2023</c:v>
                </c:pt>
                <c:pt idx="5">
                  <c:v>2024</c:v>
                </c:pt>
                <c:pt idx="6">
                  <c:v>2025</c:v>
                </c:pt>
              </c:numCache>
            </c:numRef>
          </c:cat>
          <c:val>
            <c:numRef>
              <c:f>Götuumferð!$AA$113:$AG$113</c:f>
              <c:numCache>
                <c:formatCode>0.00%</c:formatCode>
                <c:ptCount val="7"/>
                <c:pt idx="0">
                  <c:v>2.1935487268890993E-2</c:v>
                </c:pt>
                <c:pt idx="1">
                  <c:v>4.1004593602126653E-2</c:v>
                </c:pt>
                <c:pt idx="2">
                  <c:v>6.556168136929158E-2</c:v>
                </c:pt>
                <c:pt idx="3">
                  <c:v>7.0372965033900031E-2</c:v>
                </c:pt>
                <c:pt idx="4">
                  <c:v>0.11017958123169422</c:v>
                </c:pt>
                <c:pt idx="5">
                  <c:v>0.14093877431765967</c:v>
                </c:pt>
                <c:pt idx="6">
                  <c:v>0.1733358323443541</c:v>
                </c:pt>
              </c:numCache>
            </c:numRef>
          </c:val>
          <c:extLst>
            <c:ext xmlns:c16="http://schemas.microsoft.com/office/drawing/2014/chart" uri="{C3380CC4-5D6E-409C-BE32-E72D297353CC}">
              <c16:uniqueId val="{00000002-6325-49FE-AE79-093A35AFAD29}"/>
            </c:ext>
          </c:extLst>
        </c:ser>
        <c:dLbls>
          <c:showLegendKey val="0"/>
          <c:showVal val="0"/>
          <c:showCatName val="0"/>
          <c:showSerName val="0"/>
          <c:showPercent val="0"/>
          <c:showBubbleSize val="0"/>
        </c:dLbls>
        <c:axId val="2001254784"/>
        <c:axId val="2001248544"/>
      </c:areaChart>
      <c:catAx>
        <c:axId val="200125478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01248544"/>
        <c:crosses val="autoZero"/>
        <c:auto val="1"/>
        <c:lblAlgn val="ctr"/>
        <c:lblOffset val="100"/>
        <c:noMultiLvlLbl val="0"/>
      </c:catAx>
      <c:valAx>
        <c:axId val="20012485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Hllutfall keyrðra km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01254784"/>
        <c:crosses val="autoZero"/>
        <c:crossBetween val="midCat"/>
        <c:majorUnit val="0.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zero"/>
    <c:showDLblsOverMax val="0"/>
  </c:chart>
  <c:spPr>
    <a:solidFill>
      <a:schemeClr val="bg1"/>
    </a:solidFill>
    <a:ln w="9525" cap="flat" cmpd="sng" algn="ctr">
      <a:noFill/>
      <a:round/>
    </a:ln>
    <a:effectLst/>
  </c:spPr>
  <c:txPr>
    <a:bodyPr/>
    <a:lstStyle/>
    <a:p>
      <a:pPr>
        <a:defRPr/>
      </a:pPr>
      <a:endParaRPr lang="is-I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3"/>
          <c:order val="0"/>
          <c:tx>
            <c:strRef>
              <c:f>Flug!$V$4</c:f>
              <c:strCache>
                <c:ptCount val="1"/>
                <c:pt idx="0">
                  <c:v>Farþegar</c:v>
                </c:pt>
              </c:strCache>
            </c:strRef>
          </c:tx>
          <c:xVal>
            <c:numRef>
              <c:f>Flug!$U$5:$U$14</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xVal>
          <c:yVal>
            <c:numRef>
              <c:f>Flug!$V$5:$V$14</c:f>
              <c:numCache>
                <c:formatCode>#,##0</c:formatCode>
                <c:ptCount val="10"/>
                <c:pt idx="0">
                  <c:v>417309</c:v>
                </c:pt>
                <c:pt idx="1">
                  <c:v>425515</c:v>
                </c:pt>
                <c:pt idx="2">
                  <c:v>394445</c:v>
                </c:pt>
                <c:pt idx="3">
                  <c:v>356428</c:v>
                </c:pt>
                <c:pt idx="4">
                  <c:v>164214</c:v>
                </c:pt>
                <c:pt idx="5">
                  <c:v>296812</c:v>
                </c:pt>
                <c:pt idx="6">
                  <c:v>348813</c:v>
                </c:pt>
                <c:pt idx="7">
                  <c:v>354606</c:v>
                </c:pt>
                <c:pt idx="8">
                  <c:v>353060</c:v>
                </c:pt>
                <c:pt idx="9">
                  <c:v>333628</c:v>
                </c:pt>
              </c:numCache>
            </c:numRef>
          </c:yVal>
          <c:smooth val="0"/>
          <c:extLst>
            <c:ext xmlns:c16="http://schemas.microsoft.com/office/drawing/2014/chart" uri="{C3380CC4-5D6E-409C-BE32-E72D297353CC}">
              <c16:uniqueId val="{00000007-0D26-4644-A550-DFB5C69649FA}"/>
            </c:ext>
          </c:extLst>
        </c:ser>
        <c:dLbls>
          <c:showLegendKey val="0"/>
          <c:showVal val="0"/>
          <c:showCatName val="0"/>
          <c:showSerName val="0"/>
          <c:showPercent val="0"/>
          <c:showBubbleSize val="0"/>
        </c:dLbls>
        <c:axId val="1210554703"/>
        <c:axId val="2085043807"/>
      </c:scatterChart>
      <c:scatterChart>
        <c:scatterStyle val="lineMarker"/>
        <c:varyColors val="0"/>
        <c:ser>
          <c:idx val="1"/>
          <c:order val="1"/>
          <c:tx>
            <c:strRef>
              <c:f>Flug!$W$4</c:f>
              <c:strCache>
                <c:ptCount val="1"/>
                <c:pt idx="0">
                  <c:v>Hreyfingar</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Flug!$U$5:$U$14</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xVal>
          <c:yVal>
            <c:numRef>
              <c:f>Flug!$W$5:$W$14</c:f>
              <c:numCache>
                <c:formatCode>#,##0</c:formatCode>
                <c:ptCount val="10"/>
                <c:pt idx="0">
                  <c:v>63732</c:v>
                </c:pt>
                <c:pt idx="1">
                  <c:v>64656</c:v>
                </c:pt>
                <c:pt idx="2">
                  <c:v>61220</c:v>
                </c:pt>
                <c:pt idx="3">
                  <c:v>62658</c:v>
                </c:pt>
                <c:pt idx="4">
                  <c:v>40561</c:v>
                </c:pt>
                <c:pt idx="5">
                  <c:v>50616</c:v>
                </c:pt>
                <c:pt idx="6">
                  <c:v>42731</c:v>
                </c:pt>
                <c:pt idx="7">
                  <c:v>44569</c:v>
                </c:pt>
                <c:pt idx="8">
                  <c:v>41534</c:v>
                </c:pt>
                <c:pt idx="9">
                  <c:v>36052</c:v>
                </c:pt>
              </c:numCache>
            </c:numRef>
          </c:yVal>
          <c:smooth val="0"/>
          <c:extLst>
            <c:ext xmlns:c16="http://schemas.microsoft.com/office/drawing/2014/chart" uri="{C3380CC4-5D6E-409C-BE32-E72D297353CC}">
              <c16:uniqueId val="{00000005-0D26-4644-A550-DFB5C69649FA}"/>
            </c:ext>
          </c:extLst>
        </c:ser>
        <c:dLbls>
          <c:showLegendKey val="0"/>
          <c:showVal val="0"/>
          <c:showCatName val="0"/>
          <c:showSerName val="0"/>
          <c:showPercent val="0"/>
          <c:showBubbleSize val="0"/>
        </c:dLbls>
        <c:axId val="1214364207"/>
        <c:axId val="1214363791"/>
      </c:scatterChart>
      <c:valAx>
        <c:axId val="1210554703"/>
        <c:scaling>
          <c:orientation val="minMax"/>
          <c:min val="2016"/>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2085043807"/>
        <c:crosses val="autoZero"/>
        <c:crossBetween val="midCat"/>
        <c:majorUnit val="1"/>
      </c:valAx>
      <c:valAx>
        <c:axId val="2085043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Farþegafjöldi</a:t>
                </a:r>
              </a:p>
            </c:rich>
          </c:tx>
          <c:overlay val="0"/>
          <c:spPr>
            <a:noFill/>
            <a:ln>
              <a:noFill/>
            </a:ln>
            <a:effectLst/>
          </c:sp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0554703"/>
        <c:crosses val="autoZero"/>
        <c:crossBetween val="midCat"/>
        <c:dispUnits>
          <c:custUnit val="1000"/>
          <c:dispUnitsLbl>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is-IS"/>
              </a:p>
            </c:txPr>
          </c:dispUnitsLbl>
        </c:dispUnits>
      </c:valAx>
      <c:valAx>
        <c:axId val="1214363791"/>
        <c:scaling>
          <c:orientation val="minMax"/>
        </c:scaling>
        <c:delete val="0"/>
        <c:axPos val="r"/>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Hreyfingar</a:t>
                </a:r>
              </a:p>
            </c:rich>
          </c:tx>
          <c:overlay val="0"/>
          <c:spPr>
            <a:noFill/>
            <a:ln>
              <a:noFill/>
            </a:ln>
            <a:effectLst/>
          </c:spPr>
        </c:title>
        <c:numFmt formatCode="#,##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4364207"/>
        <c:crosses val="max"/>
        <c:crossBetween val="midCat"/>
        <c:dispUnits>
          <c:custUnit val="1000"/>
          <c:dispUnitsLbl>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is-IS"/>
              </a:p>
            </c:txPr>
          </c:dispUnitsLbl>
        </c:dispUnits>
      </c:valAx>
      <c:valAx>
        <c:axId val="1214364207"/>
        <c:scaling>
          <c:orientation val="minMax"/>
        </c:scaling>
        <c:delete val="1"/>
        <c:axPos val="b"/>
        <c:numFmt formatCode="General" sourceLinked="1"/>
        <c:majorTickMark val="out"/>
        <c:minorTickMark val="none"/>
        <c:tickLblPos val="nextTo"/>
        <c:crossAx val="1214363791"/>
        <c:crosses val="autoZero"/>
        <c:crossBetween val="midCat"/>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Flug!$V$4</c:f>
              <c:strCache>
                <c:ptCount val="1"/>
                <c:pt idx="0">
                  <c:v>Farþegar</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Flug!$U$17:$U$25</c:f>
              <c:numCache>
                <c:formatCode>General</c:formatCode>
                <c:ptCount val="9"/>
                <c:pt idx="0">
                  <c:v>2017</c:v>
                </c:pt>
                <c:pt idx="1">
                  <c:v>2018</c:v>
                </c:pt>
                <c:pt idx="2">
                  <c:v>2019</c:v>
                </c:pt>
                <c:pt idx="3">
                  <c:v>2020</c:v>
                </c:pt>
                <c:pt idx="4">
                  <c:v>2021</c:v>
                </c:pt>
                <c:pt idx="5">
                  <c:v>2022</c:v>
                </c:pt>
                <c:pt idx="6">
                  <c:v>2023</c:v>
                </c:pt>
                <c:pt idx="7">
                  <c:v>2024</c:v>
                </c:pt>
                <c:pt idx="8">
                  <c:v>2025</c:v>
                </c:pt>
              </c:numCache>
            </c:numRef>
          </c:xVal>
          <c:yVal>
            <c:numRef>
              <c:f>Flug!$V$17:$V$25</c:f>
              <c:numCache>
                <c:formatCode>0.0%</c:formatCode>
                <c:ptCount val="9"/>
                <c:pt idx="0">
                  <c:v>1.9664085845260946E-2</c:v>
                </c:pt>
                <c:pt idx="1">
                  <c:v>-7.3017402441747065E-2</c:v>
                </c:pt>
                <c:pt idx="2">
                  <c:v>-9.638099101268871E-2</c:v>
                </c:pt>
                <c:pt idx="3">
                  <c:v>-0.53927862008596406</c:v>
                </c:pt>
                <c:pt idx="4">
                  <c:v>0.80747073940102554</c:v>
                </c:pt>
                <c:pt idx="5">
                  <c:v>0.17519844211150493</c:v>
                </c:pt>
                <c:pt idx="6">
                  <c:v>1.6607752578028916E-2</c:v>
                </c:pt>
                <c:pt idx="7">
                  <c:v>-4.3597683062328333E-3</c:v>
                </c:pt>
                <c:pt idx="8">
                  <c:v>-5.5038803602787061E-2</c:v>
                </c:pt>
              </c:numCache>
            </c:numRef>
          </c:yVal>
          <c:smooth val="0"/>
          <c:extLst>
            <c:ext xmlns:c16="http://schemas.microsoft.com/office/drawing/2014/chart" uri="{C3380CC4-5D6E-409C-BE32-E72D297353CC}">
              <c16:uniqueId val="{00000000-437D-43A7-9B40-E76F9296E290}"/>
            </c:ext>
          </c:extLst>
        </c:ser>
        <c:dLbls>
          <c:showLegendKey val="0"/>
          <c:showVal val="0"/>
          <c:showCatName val="0"/>
          <c:showSerName val="0"/>
          <c:showPercent val="0"/>
          <c:showBubbleSize val="0"/>
        </c:dLbls>
        <c:axId val="1210554703"/>
        <c:axId val="2085043807"/>
      </c:scatterChart>
      <c:scatterChart>
        <c:scatterStyle val="lineMarker"/>
        <c:varyColors val="0"/>
        <c:ser>
          <c:idx val="1"/>
          <c:order val="1"/>
          <c:tx>
            <c:strRef>
              <c:f>Flug!$W$4</c:f>
              <c:strCache>
                <c:ptCount val="1"/>
                <c:pt idx="0">
                  <c:v>Hreyfingar</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Flug!$U$17:$U$25</c:f>
              <c:numCache>
                <c:formatCode>General</c:formatCode>
                <c:ptCount val="9"/>
                <c:pt idx="0">
                  <c:v>2017</c:v>
                </c:pt>
                <c:pt idx="1">
                  <c:v>2018</c:v>
                </c:pt>
                <c:pt idx="2">
                  <c:v>2019</c:v>
                </c:pt>
                <c:pt idx="3">
                  <c:v>2020</c:v>
                </c:pt>
                <c:pt idx="4">
                  <c:v>2021</c:v>
                </c:pt>
                <c:pt idx="5">
                  <c:v>2022</c:v>
                </c:pt>
                <c:pt idx="6">
                  <c:v>2023</c:v>
                </c:pt>
                <c:pt idx="7">
                  <c:v>2024</c:v>
                </c:pt>
                <c:pt idx="8">
                  <c:v>2025</c:v>
                </c:pt>
              </c:numCache>
            </c:numRef>
          </c:xVal>
          <c:yVal>
            <c:numRef>
              <c:f>Flug!$W$17:$W$25</c:f>
              <c:numCache>
                <c:formatCode>0.0%</c:formatCode>
                <c:ptCount val="9"/>
                <c:pt idx="0">
                  <c:v>1.4498211259649783E-2</c:v>
                </c:pt>
                <c:pt idx="1">
                  <c:v>-5.314278643900025E-2</c:v>
                </c:pt>
                <c:pt idx="2">
                  <c:v>2.3489055864096699E-2</c:v>
                </c:pt>
                <c:pt idx="3">
                  <c:v>-0.35266047432091674</c:v>
                </c:pt>
                <c:pt idx="4">
                  <c:v>0.24789822736125836</c:v>
                </c:pt>
                <c:pt idx="5">
                  <c:v>-0.15578078078078078</c:v>
                </c:pt>
                <c:pt idx="6">
                  <c:v>4.3013269055252629E-2</c:v>
                </c:pt>
                <c:pt idx="7">
                  <c:v>-6.8096659112836272E-2</c:v>
                </c:pt>
                <c:pt idx="8">
                  <c:v>-0.13198825058987818</c:v>
                </c:pt>
              </c:numCache>
            </c:numRef>
          </c:yVal>
          <c:smooth val="0"/>
          <c:extLst>
            <c:ext xmlns:c16="http://schemas.microsoft.com/office/drawing/2014/chart" uri="{C3380CC4-5D6E-409C-BE32-E72D297353CC}">
              <c16:uniqueId val="{00000001-437D-43A7-9B40-E76F9296E290}"/>
            </c:ext>
          </c:extLst>
        </c:ser>
        <c:dLbls>
          <c:showLegendKey val="0"/>
          <c:showVal val="0"/>
          <c:showCatName val="0"/>
          <c:showSerName val="0"/>
          <c:showPercent val="0"/>
          <c:showBubbleSize val="0"/>
        </c:dLbls>
        <c:axId val="1214364207"/>
        <c:axId val="1214363791"/>
      </c:scatterChart>
      <c:valAx>
        <c:axId val="1210554703"/>
        <c:scaling>
          <c:orientation val="minMax"/>
          <c:max val="2026"/>
          <c:min val="2016"/>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2085043807"/>
        <c:crosses val="autoZero"/>
        <c:crossBetween val="midCat"/>
        <c:majorUnit val="1"/>
      </c:valAx>
      <c:valAx>
        <c:axId val="2085043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Farþegafjöldi</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is-I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0554703"/>
        <c:crosses val="autoZero"/>
        <c:crossBetween val="midCat"/>
      </c:valAx>
      <c:valAx>
        <c:axId val="1214363791"/>
        <c:scaling>
          <c:orientation val="minMax"/>
          <c:max val="0.5"/>
          <c:min val="-0.5"/>
        </c:scaling>
        <c:delete val="0"/>
        <c:axPos val="r"/>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Hreyfingar</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is-IS"/>
            </a:p>
          </c:txPr>
        </c:title>
        <c:numFmt formatCod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4364207"/>
        <c:crosses val="max"/>
        <c:crossBetween val="midCat"/>
      </c:valAx>
      <c:valAx>
        <c:axId val="1214364207"/>
        <c:scaling>
          <c:orientation val="minMax"/>
        </c:scaling>
        <c:delete val="1"/>
        <c:axPos val="b"/>
        <c:numFmt formatCode="General" sourceLinked="1"/>
        <c:majorTickMark val="out"/>
        <c:minorTickMark val="none"/>
        <c:tickLblPos val="nextTo"/>
        <c:crossAx val="121436379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Flug!$P$9</c:f>
              <c:strCache>
                <c:ptCount val="1"/>
                <c:pt idx="0">
                  <c:v>Farþegar</c:v>
                </c:pt>
              </c:strCache>
            </c:strRef>
          </c:tx>
          <c:spPr>
            <a:ln w="25400" cap="rnd">
              <a:noFill/>
              <a:round/>
            </a:ln>
            <a:effectLst/>
          </c:spPr>
          <c:marker>
            <c:symbol val="circle"/>
            <c:size val="5"/>
            <c:spPr>
              <a:solidFill>
                <a:schemeClr val="accent1"/>
              </a:solidFill>
              <a:ln w="9525">
                <a:solidFill>
                  <a:schemeClr val="accent1"/>
                </a:solidFill>
              </a:ln>
              <a:effectLst/>
            </c:spPr>
          </c:marker>
          <c:xVal>
            <c:strRef>
              <c:f>Flug!$B$63:$B$74</c:f>
              <c:strCache>
                <c:ptCount val="12"/>
                <c:pt idx="0">
                  <c:v>Janúar</c:v>
                </c:pt>
                <c:pt idx="1">
                  <c:v>Febrúar</c:v>
                </c:pt>
                <c:pt idx="2">
                  <c:v>Mars</c:v>
                </c:pt>
                <c:pt idx="3">
                  <c:v>Apríl</c:v>
                </c:pt>
                <c:pt idx="4">
                  <c:v>Maí</c:v>
                </c:pt>
                <c:pt idx="5">
                  <c:v>Júní</c:v>
                </c:pt>
                <c:pt idx="6">
                  <c:v>Júlí</c:v>
                </c:pt>
                <c:pt idx="7">
                  <c:v>Ágúst</c:v>
                </c:pt>
                <c:pt idx="8">
                  <c:v>September</c:v>
                </c:pt>
                <c:pt idx="9">
                  <c:v>Október</c:v>
                </c:pt>
                <c:pt idx="10">
                  <c:v>Nóvember</c:v>
                </c:pt>
                <c:pt idx="11">
                  <c:v>Desember</c:v>
                </c:pt>
              </c:strCache>
            </c:strRef>
          </c:xVal>
          <c:yVal>
            <c:numRef>
              <c:f>Flug!$P$128:$P$139</c:f>
              <c:numCache>
                <c:formatCode>0.0%</c:formatCode>
                <c:ptCount val="12"/>
                <c:pt idx="0">
                  <c:v>-1.6486209508532728E-3</c:v>
                </c:pt>
                <c:pt idx="1">
                  <c:v>-9.428548003607444E-2</c:v>
                </c:pt>
                <c:pt idx="2">
                  <c:v>-9.5268940115577572E-2</c:v>
                </c:pt>
                <c:pt idx="3">
                  <c:v>-0.10560675883256529</c:v>
                </c:pt>
                <c:pt idx="4">
                  <c:v>-7.5176149025320743E-2</c:v>
                </c:pt>
                <c:pt idx="5">
                  <c:v>-8.4590003950089462E-2</c:v>
                </c:pt>
                <c:pt idx="6">
                  <c:v>-5.5010449679641277E-2</c:v>
                </c:pt>
                <c:pt idx="7">
                  <c:v>-4.9972519519532119E-2</c:v>
                </c:pt>
                <c:pt idx="8">
                  <c:v>-5.1404441456052788E-2</c:v>
                </c:pt>
                <c:pt idx="9">
                  <c:v>-5.7595849710829664E-2</c:v>
                </c:pt>
                <c:pt idx="10">
                  <c:v>-5.4750961705393772E-2</c:v>
                </c:pt>
                <c:pt idx="11">
                  <c:v>-5.5038803602787061E-2</c:v>
                </c:pt>
              </c:numCache>
            </c:numRef>
          </c:yVal>
          <c:smooth val="0"/>
          <c:extLst>
            <c:ext xmlns:c16="http://schemas.microsoft.com/office/drawing/2014/chart" uri="{C3380CC4-5D6E-409C-BE32-E72D297353CC}">
              <c16:uniqueId val="{00000000-459F-42B3-84BD-9A2E899813FE}"/>
            </c:ext>
          </c:extLst>
        </c:ser>
        <c:ser>
          <c:idx val="1"/>
          <c:order val="1"/>
          <c:tx>
            <c:strRef>
              <c:f>Flug!$Q$9</c:f>
              <c:strCache>
                <c:ptCount val="1"/>
                <c:pt idx="0">
                  <c:v>Hreyfingar</c:v>
                </c:pt>
              </c:strCache>
            </c:strRef>
          </c:tx>
          <c:spPr>
            <a:ln w="25400" cap="rnd">
              <a:noFill/>
              <a:round/>
            </a:ln>
            <a:effectLst/>
          </c:spPr>
          <c:marker>
            <c:symbol val="circle"/>
            <c:size val="5"/>
            <c:spPr>
              <a:solidFill>
                <a:schemeClr val="accent2"/>
              </a:solidFill>
              <a:ln w="9525">
                <a:solidFill>
                  <a:schemeClr val="accent2"/>
                </a:solidFill>
              </a:ln>
              <a:effectLst/>
            </c:spPr>
          </c:marker>
          <c:xVal>
            <c:strRef>
              <c:f>Flug!$B$63:$B$74</c:f>
              <c:strCache>
                <c:ptCount val="12"/>
                <c:pt idx="0">
                  <c:v>Janúar</c:v>
                </c:pt>
                <c:pt idx="1">
                  <c:v>Febrúar</c:v>
                </c:pt>
                <c:pt idx="2">
                  <c:v>Mars</c:v>
                </c:pt>
                <c:pt idx="3">
                  <c:v>Apríl</c:v>
                </c:pt>
                <c:pt idx="4">
                  <c:v>Maí</c:v>
                </c:pt>
                <c:pt idx="5">
                  <c:v>Júní</c:v>
                </c:pt>
                <c:pt idx="6">
                  <c:v>Júlí</c:v>
                </c:pt>
                <c:pt idx="7">
                  <c:v>Ágúst</c:v>
                </c:pt>
                <c:pt idx="8">
                  <c:v>September</c:v>
                </c:pt>
                <c:pt idx="9">
                  <c:v>Október</c:v>
                </c:pt>
                <c:pt idx="10">
                  <c:v>Nóvember</c:v>
                </c:pt>
                <c:pt idx="11">
                  <c:v>Desember</c:v>
                </c:pt>
              </c:strCache>
            </c:strRef>
          </c:xVal>
          <c:yVal>
            <c:numRef>
              <c:f>Flug!$Q$128:$Q$139</c:f>
              <c:numCache>
                <c:formatCode>0.0%</c:formatCode>
                <c:ptCount val="12"/>
                <c:pt idx="0">
                  <c:v>0.10227272727272728</c:v>
                </c:pt>
                <c:pt idx="1">
                  <c:v>-0.23168316831683169</c:v>
                </c:pt>
                <c:pt idx="2">
                  <c:v>-0.23827004703453022</c:v>
                </c:pt>
                <c:pt idx="3">
                  <c:v>-0.24034869240348691</c:v>
                </c:pt>
                <c:pt idx="4">
                  <c:v>-0.16708986189385025</c:v>
                </c:pt>
                <c:pt idx="5">
                  <c:v>-0.18354773522598453</c:v>
                </c:pt>
                <c:pt idx="6">
                  <c:v>-0.12256866798869245</c:v>
                </c:pt>
                <c:pt idx="7">
                  <c:v>-0.14005876591576885</c:v>
                </c:pt>
                <c:pt idx="8">
                  <c:v>-0.14917161036486029</c:v>
                </c:pt>
                <c:pt idx="9">
                  <c:v>-0.15255660350955752</c:v>
                </c:pt>
                <c:pt idx="10">
                  <c:v>-0.13439250901834368</c:v>
                </c:pt>
                <c:pt idx="11">
                  <c:v>-0.13198825058987818</c:v>
                </c:pt>
              </c:numCache>
            </c:numRef>
          </c:yVal>
          <c:smooth val="0"/>
          <c:extLst>
            <c:ext xmlns:c16="http://schemas.microsoft.com/office/drawing/2014/chart" uri="{C3380CC4-5D6E-409C-BE32-E72D297353CC}">
              <c16:uniqueId val="{00000001-459F-42B3-84BD-9A2E899813FE}"/>
            </c:ext>
          </c:extLst>
        </c:ser>
        <c:dLbls>
          <c:showLegendKey val="0"/>
          <c:showVal val="0"/>
          <c:showCatName val="0"/>
          <c:showSerName val="0"/>
          <c:showPercent val="0"/>
          <c:showBubbleSize val="0"/>
        </c:dLbls>
        <c:axId val="1307463231"/>
        <c:axId val="1214367119"/>
      </c:scatterChart>
      <c:valAx>
        <c:axId val="13074632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214367119"/>
        <c:crosses val="autoZero"/>
        <c:crossBetween val="midCat"/>
      </c:valAx>
      <c:valAx>
        <c:axId val="1214367119"/>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0746323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Flug!$AP$9</c:f>
              <c:strCache>
                <c:ptCount val="1"/>
                <c:pt idx="0">
                  <c:v>Farþegar</c:v>
                </c:pt>
              </c:strCache>
            </c:strRef>
          </c:tx>
          <c:spPr>
            <a:ln w="19050" cap="rnd">
              <a:noFill/>
              <a:round/>
            </a:ln>
            <a:effectLst/>
          </c:spPr>
          <c:marker>
            <c:symbol val="circle"/>
            <c:size val="5"/>
            <c:spPr>
              <a:solidFill>
                <a:schemeClr val="accent1"/>
              </a:solidFill>
              <a:ln w="9525">
                <a:solidFill>
                  <a:schemeClr val="accent1"/>
                </a:solidFill>
              </a:ln>
              <a:effectLst/>
            </c:spPr>
          </c:marker>
          <c:xVal>
            <c:numRef>
              <c:f>Flug!$AO$22:$AO$129</c:f>
              <c:numCache>
                <c:formatCode>General</c:formatCode>
                <c:ptCount val="108"/>
                <c:pt idx="0">
                  <c:v>2016.9999999999991</c:v>
                </c:pt>
                <c:pt idx="1">
                  <c:v>2017.0833333333323</c:v>
                </c:pt>
                <c:pt idx="2">
                  <c:v>2017.1666666666656</c:v>
                </c:pt>
                <c:pt idx="3">
                  <c:v>2017.2499999999989</c:v>
                </c:pt>
                <c:pt idx="4">
                  <c:v>2017.3333333333321</c:v>
                </c:pt>
                <c:pt idx="5">
                  <c:v>2017.4166666666654</c:v>
                </c:pt>
                <c:pt idx="6">
                  <c:v>2017.4999999999986</c:v>
                </c:pt>
                <c:pt idx="7">
                  <c:v>2017.5833333333319</c:v>
                </c:pt>
                <c:pt idx="8">
                  <c:v>2017.6666666666652</c:v>
                </c:pt>
                <c:pt idx="9">
                  <c:v>2017.7499999999984</c:v>
                </c:pt>
                <c:pt idx="10">
                  <c:v>2017.8333333333317</c:v>
                </c:pt>
                <c:pt idx="11">
                  <c:v>2017.9166666666649</c:v>
                </c:pt>
                <c:pt idx="12">
                  <c:v>2017.9999999999982</c:v>
                </c:pt>
                <c:pt idx="13">
                  <c:v>2018.0833333333314</c:v>
                </c:pt>
                <c:pt idx="14">
                  <c:v>2018.1666666666647</c:v>
                </c:pt>
                <c:pt idx="15">
                  <c:v>2018.249999999998</c:v>
                </c:pt>
                <c:pt idx="16">
                  <c:v>2018.3333333333312</c:v>
                </c:pt>
                <c:pt idx="17">
                  <c:v>2018.4166666666645</c:v>
                </c:pt>
                <c:pt idx="18">
                  <c:v>2018.4999999999977</c:v>
                </c:pt>
                <c:pt idx="19">
                  <c:v>2018.583333333331</c:v>
                </c:pt>
                <c:pt idx="20">
                  <c:v>2018.6666666666642</c:v>
                </c:pt>
                <c:pt idx="21">
                  <c:v>2018.7499999999975</c:v>
                </c:pt>
                <c:pt idx="22">
                  <c:v>2018.8333333333308</c:v>
                </c:pt>
                <c:pt idx="23">
                  <c:v>2018.916666666664</c:v>
                </c:pt>
                <c:pt idx="24">
                  <c:v>2018.9999999999973</c:v>
                </c:pt>
                <c:pt idx="25">
                  <c:v>2019.0833333333305</c:v>
                </c:pt>
                <c:pt idx="26">
                  <c:v>2019.1666666666638</c:v>
                </c:pt>
                <c:pt idx="27">
                  <c:v>2019.249999999997</c:v>
                </c:pt>
                <c:pt idx="28">
                  <c:v>2019.3333333333303</c:v>
                </c:pt>
                <c:pt idx="29">
                  <c:v>2019.4166666666636</c:v>
                </c:pt>
                <c:pt idx="30">
                  <c:v>2019.4999999999968</c:v>
                </c:pt>
                <c:pt idx="31">
                  <c:v>2019.5833333333301</c:v>
                </c:pt>
                <c:pt idx="32">
                  <c:v>2019.6666666666633</c:v>
                </c:pt>
                <c:pt idx="33">
                  <c:v>2019.7499999999966</c:v>
                </c:pt>
                <c:pt idx="34">
                  <c:v>2019.8333333333298</c:v>
                </c:pt>
                <c:pt idx="35">
                  <c:v>2019.9166666666631</c:v>
                </c:pt>
                <c:pt idx="36">
                  <c:v>2019.9999999999964</c:v>
                </c:pt>
                <c:pt idx="37">
                  <c:v>2020.0833333333296</c:v>
                </c:pt>
                <c:pt idx="38">
                  <c:v>2020.1666666666629</c:v>
                </c:pt>
                <c:pt idx="39">
                  <c:v>2020.2499999999961</c:v>
                </c:pt>
                <c:pt idx="40">
                  <c:v>2020.3333333333294</c:v>
                </c:pt>
                <c:pt idx="41">
                  <c:v>2020.4166666666626</c:v>
                </c:pt>
                <c:pt idx="42">
                  <c:v>2020.4999999999959</c:v>
                </c:pt>
                <c:pt idx="43">
                  <c:v>2020.5833333333292</c:v>
                </c:pt>
                <c:pt idx="44">
                  <c:v>2020.6666666666624</c:v>
                </c:pt>
                <c:pt idx="45">
                  <c:v>2020.7499999999957</c:v>
                </c:pt>
                <c:pt idx="46">
                  <c:v>2020.8333333333289</c:v>
                </c:pt>
                <c:pt idx="47">
                  <c:v>2020.9166666666622</c:v>
                </c:pt>
                <c:pt idx="48">
                  <c:v>2020.9999999999955</c:v>
                </c:pt>
                <c:pt idx="49">
                  <c:v>2021.0833333333287</c:v>
                </c:pt>
                <c:pt idx="50">
                  <c:v>2021.166666666662</c:v>
                </c:pt>
                <c:pt idx="51">
                  <c:v>2021.2499999999952</c:v>
                </c:pt>
                <c:pt idx="52">
                  <c:v>2021.3333333333285</c:v>
                </c:pt>
                <c:pt idx="53">
                  <c:v>2021.4166666666617</c:v>
                </c:pt>
                <c:pt idx="54">
                  <c:v>2021.499999999995</c:v>
                </c:pt>
                <c:pt idx="55">
                  <c:v>2021.5833333333283</c:v>
                </c:pt>
                <c:pt idx="56">
                  <c:v>2021.6666666666615</c:v>
                </c:pt>
                <c:pt idx="57">
                  <c:v>2021.7499999999948</c:v>
                </c:pt>
                <c:pt idx="58">
                  <c:v>2021.833333333328</c:v>
                </c:pt>
                <c:pt idx="59">
                  <c:v>2021.9166666666613</c:v>
                </c:pt>
                <c:pt idx="60">
                  <c:v>2021.9999999999945</c:v>
                </c:pt>
                <c:pt idx="61">
                  <c:v>2022.0833333333278</c:v>
                </c:pt>
                <c:pt idx="62">
                  <c:v>2022.1666666666611</c:v>
                </c:pt>
                <c:pt idx="63">
                  <c:v>2022.2499999999943</c:v>
                </c:pt>
                <c:pt idx="64">
                  <c:v>2022.3333333333276</c:v>
                </c:pt>
                <c:pt idx="65">
                  <c:v>2022.4166666666608</c:v>
                </c:pt>
                <c:pt idx="66">
                  <c:v>2022.4999999999941</c:v>
                </c:pt>
                <c:pt idx="67">
                  <c:v>2022.5833333333273</c:v>
                </c:pt>
                <c:pt idx="68">
                  <c:v>2022.6666666666606</c:v>
                </c:pt>
                <c:pt idx="69">
                  <c:v>2022.7499999999939</c:v>
                </c:pt>
                <c:pt idx="70">
                  <c:v>2022.8333333333271</c:v>
                </c:pt>
                <c:pt idx="71">
                  <c:v>2022.9166666666604</c:v>
                </c:pt>
                <c:pt idx="72">
                  <c:v>2022.9999999999936</c:v>
                </c:pt>
                <c:pt idx="73">
                  <c:v>2023.0833333333269</c:v>
                </c:pt>
                <c:pt idx="74">
                  <c:v>2023.1666666666601</c:v>
                </c:pt>
                <c:pt idx="75">
                  <c:v>2023.2499999999934</c:v>
                </c:pt>
                <c:pt idx="76">
                  <c:v>2023.3333333333267</c:v>
                </c:pt>
                <c:pt idx="77">
                  <c:v>2023.4166666666599</c:v>
                </c:pt>
                <c:pt idx="78">
                  <c:v>2023.4999999999932</c:v>
                </c:pt>
                <c:pt idx="79">
                  <c:v>2023.5833333333264</c:v>
                </c:pt>
                <c:pt idx="80">
                  <c:v>2023.6666666666597</c:v>
                </c:pt>
                <c:pt idx="81">
                  <c:v>2023.749999999993</c:v>
                </c:pt>
                <c:pt idx="82">
                  <c:v>2023.8333333333262</c:v>
                </c:pt>
                <c:pt idx="83">
                  <c:v>2023.9166666666595</c:v>
                </c:pt>
                <c:pt idx="84">
                  <c:v>2023.9999999999927</c:v>
                </c:pt>
                <c:pt idx="85">
                  <c:v>2024.083333333326</c:v>
                </c:pt>
                <c:pt idx="86">
                  <c:v>2024.1666666666592</c:v>
                </c:pt>
                <c:pt idx="87">
                  <c:v>2024.2499999999925</c:v>
                </c:pt>
                <c:pt idx="88">
                  <c:v>2024.3333333333258</c:v>
                </c:pt>
                <c:pt idx="89">
                  <c:v>2024.416666666659</c:v>
                </c:pt>
                <c:pt idx="90">
                  <c:v>2024.4999999999923</c:v>
                </c:pt>
                <c:pt idx="91">
                  <c:v>2024.5833333333255</c:v>
                </c:pt>
                <c:pt idx="92">
                  <c:v>2024.6666666666588</c:v>
                </c:pt>
                <c:pt idx="93">
                  <c:v>2024.749999999992</c:v>
                </c:pt>
                <c:pt idx="94">
                  <c:v>2024.8333333333253</c:v>
                </c:pt>
                <c:pt idx="95">
                  <c:v>2024.9166666666586</c:v>
                </c:pt>
                <c:pt idx="96">
                  <c:v>2024.9999999999918</c:v>
                </c:pt>
                <c:pt idx="97">
                  <c:v>2025.0833333333251</c:v>
                </c:pt>
                <c:pt idx="98">
                  <c:v>2025.1666666666583</c:v>
                </c:pt>
                <c:pt idx="99">
                  <c:v>2025.2499999999916</c:v>
                </c:pt>
                <c:pt idx="100">
                  <c:v>2025.3333333333248</c:v>
                </c:pt>
                <c:pt idx="101">
                  <c:v>2025.4166666666581</c:v>
                </c:pt>
                <c:pt idx="102">
                  <c:v>2025.4999999999914</c:v>
                </c:pt>
                <c:pt idx="103">
                  <c:v>2025.5833333333246</c:v>
                </c:pt>
                <c:pt idx="104">
                  <c:v>2025.6666666666579</c:v>
                </c:pt>
                <c:pt idx="105">
                  <c:v>2025.7499999999911</c:v>
                </c:pt>
                <c:pt idx="106">
                  <c:v>2025.8333333333244</c:v>
                </c:pt>
                <c:pt idx="107">
                  <c:v>2025.9166666666576</c:v>
                </c:pt>
              </c:numCache>
            </c:numRef>
          </c:xVal>
          <c:yVal>
            <c:numRef>
              <c:f>Flug!$AP$22:$AP$129</c:f>
              <c:numCache>
                <c:formatCode>0.0%</c:formatCode>
                <c:ptCount val="108"/>
                <c:pt idx="0">
                  <c:v>-5.2820589555588805E-2</c:v>
                </c:pt>
                <c:pt idx="1">
                  <c:v>-5.219985085756898E-2</c:v>
                </c:pt>
                <c:pt idx="2">
                  <c:v>0.1015451849539566</c:v>
                </c:pt>
                <c:pt idx="3">
                  <c:v>-4.3893485970260687E-2</c:v>
                </c:pt>
                <c:pt idx="4">
                  <c:v>9.0703823643007817E-2</c:v>
                </c:pt>
                <c:pt idx="5">
                  <c:v>6.3871033568003263E-2</c:v>
                </c:pt>
                <c:pt idx="6">
                  <c:v>-4.6558746736292428E-2</c:v>
                </c:pt>
                <c:pt idx="7">
                  <c:v>1.3588634959851761E-2</c:v>
                </c:pt>
                <c:pt idx="8">
                  <c:v>-2.7555813840863964E-2</c:v>
                </c:pt>
                <c:pt idx="9">
                  <c:v>8.1580662361514303E-2</c:v>
                </c:pt>
                <c:pt idx="10">
                  <c:v>5.0229877170109107E-2</c:v>
                </c:pt>
                <c:pt idx="11">
                  <c:v>9.0789105307363116E-2</c:v>
                </c:pt>
                <c:pt idx="12">
                  <c:v>6.0703001579778829E-2</c:v>
                </c:pt>
                <c:pt idx="13">
                  <c:v>-8.9979257563836637E-2</c:v>
                </c:pt>
                <c:pt idx="14">
                  <c:v>-0.21806279755157559</c:v>
                </c:pt>
                <c:pt idx="15">
                  <c:v>-1.8122661460875225E-2</c:v>
                </c:pt>
                <c:pt idx="16">
                  <c:v>-6.3793854870342129E-2</c:v>
                </c:pt>
                <c:pt idx="17">
                  <c:v>-7.8042581758895183E-2</c:v>
                </c:pt>
                <c:pt idx="18">
                  <c:v>-4.927047276869824E-2</c:v>
                </c:pt>
                <c:pt idx="19">
                  <c:v>-3.6899283447855598E-2</c:v>
                </c:pt>
                <c:pt idx="20">
                  <c:v>-8.2470119521912355E-2</c:v>
                </c:pt>
                <c:pt idx="21">
                  <c:v>-4.4944127957931637E-2</c:v>
                </c:pt>
                <c:pt idx="22">
                  <c:v>-0.12113688337144723</c:v>
                </c:pt>
                <c:pt idx="23">
                  <c:v>-0.13111868881311187</c:v>
                </c:pt>
                <c:pt idx="24">
                  <c:v>-0.12153256134341141</c:v>
                </c:pt>
                <c:pt idx="25">
                  <c:v>-3.0574550027509237E-2</c:v>
                </c:pt>
                <c:pt idx="26">
                  <c:v>0.20291378248106404</c:v>
                </c:pt>
                <c:pt idx="27">
                  <c:v>-0.13440254490025846</c:v>
                </c:pt>
                <c:pt idx="28">
                  <c:v>-9.7556008146639506E-2</c:v>
                </c:pt>
                <c:pt idx="29">
                  <c:v>-0.13777858684627989</c:v>
                </c:pt>
                <c:pt idx="30">
                  <c:v>-0.14761389036108485</c:v>
                </c:pt>
                <c:pt idx="31">
                  <c:v>-0.15543385770078327</c:v>
                </c:pt>
                <c:pt idx="32">
                  <c:v>-0.13365718627876683</c:v>
                </c:pt>
                <c:pt idx="33">
                  <c:v>-0.15456969975050902</c:v>
                </c:pt>
                <c:pt idx="34">
                  <c:v>-4.1335216712512078E-2</c:v>
                </c:pt>
                <c:pt idx="35">
                  <c:v>-8.0600919947672697E-2</c:v>
                </c:pt>
                <c:pt idx="36">
                  <c:v>-0.13431950154706904</c:v>
                </c:pt>
                <c:pt idx="37">
                  <c:v>-0.10738608723852765</c:v>
                </c:pt>
                <c:pt idx="38">
                  <c:v>-0.58902747650036158</c:v>
                </c:pt>
                <c:pt idx="39">
                  <c:v>-0.88588163234055584</c:v>
                </c:pt>
                <c:pt idx="40">
                  <c:v>-0.75645613695715253</c:v>
                </c:pt>
                <c:pt idx="41">
                  <c:v>-0.50502186698838791</c:v>
                </c:pt>
                <c:pt idx="42">
                  <c:v>-0.44959584763861482</c:v>
                </c:pt>
                <c:pt idx="43">
                  <c:v>-0.56351236146632566</c:v>
                </c:pt>
                <c:pt idx="44">
                  <c:v>-0.51708799298311559</c:v>
                </c:pt>
                <c:pt idx="45">
                  <c:v>-0.70960957905091415</c:v>
                </c:pt>
                <c:pt idx="46">
                  <c:v>-0.70383869716944547</c:v>
                </c:pt>
                <c:pt idx="47">
                  <c:v>-0.43484646807729382</c:v>
                </c:pt>
                <c:pt idx="48">
                  <c:v>-0.32486290638464549</c:v>
                </c:pt>
                <c:pt idx="49">
                  <c:v>-0.24728643444298107</c:v>
                </c:pt>
                <c:pt idx="50">
                  <c:v>0.50326222417711308</c:v>
                </c:pt>
                <c:pt idx="51">
                  <c:v>4.610868835961087</c:v>
                </c:pt>
                <c:pt idx="52">
                  <c:v>2.2781307916335716</c:v>
                </c:pt>
                <c:pt idx="53">
                  <c:v>0.85265980135275121</c:v>
                </c:pt>
                <c:pt idx="54">
                  <c:v>0.6864440078585462</c:v>
                </c:pt>
                <c:pt idx="55">
                  <c:v>0.94483901515151514</c:v>
                </c:pt>
                <c:pt idx="56">
                  <c:v>0.84451219512195119</c:v>
                </c:pt>
                <c:pt idx="57">
                  <c:v>2.7363625744655997</c:v>
                </c:pt>
                <c:pt idx="58">
                  <c:v>2.0759361089290391</c:v>
                </c:pt>
                <c:pt idx="59">
                  <c:v>0.86290912044180945</c:v>
                </c:pt>
                <c:pt idx="60">
                  <c:v>7.2158967292769605E-2</c:v>
                </c:pt>
                <c:pt idx="61">
                  <c:v>0.16574152286714131</c:v>
                </c:pt>
                <c:pt idx="62">
                  <c:v>0.33302448063981271</c:v>
                </c:pt>
                <c:pt idx="63">
                  <c:v>0.64474470883654189</c:v>
                </c:pt>
                <c:pt idx="64">
                  <c:v>0.32092234381940798</c:v>
                </c:pt>
                <c:pt idx="65">
                  <c:v>7.485857124062624E-2</c:v>
                </c:pt>
                <c:pt idx="66">
                  <c:v>3.1017008387698042E-2</c:v>
                </c:pt>
                <c:pt idx="67">
                  <c:v>0.28600121728545341</c:v>
                </c:pt>
                <c:pt idx="68">
                  <c:v>0.17538245120450149</c:v>
                </c:pt>
                <c:pt idx="69">
                  <c:v>-1.3224122299684248E-2</c:v>
                </c:pt>
                <c:pt idx="70">
                  <c:v>0.16889418574955309</c:v>
                </c:pt>
                <c:pt idx="71">
                  <c:v>6.2254773737902169E-2</c:v>
                </c:pt>
                <c:pt idx="72">
                  <c:v>0.48721590909090912</c:v>
                </c:pt>
                <c:pt idx="73">
                  <c:v>0.15278712281972984</c:v>
                </c:pt>
                <c:pt idx="74">
                  <c:v>8.1360892628498258E-2</c:v>
                </c:pt>
                <c:pt idx="75">
                  <c:v>-4.3620501635768812E-2</c:v>
                </c:pt>
                <c:pt idx="76">
                  <c:v>-0.15585447875267502</c:v>
                </c:pt>
                <c:pt idx="77">
                  <c:v>-3.9228886168910647E-2</c:v>
                </c:pt>
                <c:pt idx="78">
                  <c:v>0.29202564899296629</c:v>
                </c:pt>
                <c:pt idx="79">
                  <c:v>-5.4119929954091532E-2</c:v>
                </c:pt>
                <c:pt idx="80">
                  <c:v>-7.5788402848423198E-2</c:v>
                </c:pt>
                <c:pt idx="81">
                  <c:v>-7.4958813838550242E-2</c:v>
                </c:pt>
                <c:pt idx="82">
                  <c:v>-3.3063870075012748E-2</c:v>
                </c:pt>
                <c:pt idx="83">
                  <c:v>-5.1300993187228104E-2</c:v>
                </c:pt>
                <c:pt idx="84">
                  <c:v>2.0739527902851686E-2</c:v>
                </c:pt>
                <c:pt idx="85">
                  <c:v>0.18282225115610828</c:v>
                </c:pt>
                <c:pt idx="86">
                  <c:v>1.3126289793294766E-2</c:v>
                </c:pt>
                <c:pt idx="87">
                  <c:v>0.16431014823261117</c:v>
                </c:pt>
                <c:pt idx="88">
                  <c:v>6.0879327828480372E-2</c:v>
                </c:pt>
                <c:pt idx="89">
                  <c:v>6.6532900184725144E-2</c:v>
                </c:pt>
                <c:pt idx="90">
                  <c:v>-0.30724327160628784</c:v>
                </c:pt>
                <c:pt idx="91">
                  <c:v>-0.13644892547096646</c:v>
                </c:pt>
                <c:pt idx="92">
                  <c:v>4.6521415390592118E-2</c:v>
                </c:pt>
                <c:pt idx="93">
                  <c:v>8.1135694225631896E-2</c:v>
                </c:pt>
                <c:pt idx="94">
                  <c:v>-1.7888077125856744E-2</c:v>
                </c:pt>
                <c:pt idx="95">
                  <c:v>7.0124589029243817E-2</c:v>
                </c:pt>
                <c:pt idx="96">
                  <c:v>-1.6486209508532728E-3</c:v>
                </c:pt>
                <c:pt idx="97">
                  <c:v>-0.17320174606187133</c:v>
                </c:pt>
                <c:pt idx="98">
                  <c:v>-9.6871139012254984E-2</c:v>
                </c:pt>
                <c:pt idx="99">
                  <c:v>-0.13217771684131494</c:v>
                </c:pt>
                <c:pt idx="100">
                  <c:v>3.8439217560509338E-2</c:v>
                </c:pt>
                <c:pt idx="101">
                  <c:v>-0.12357034072923821</c:v>
                </c:pt>
                <c:pt idx="102">
                  <c:v>0.10569336615539986</c:v>
                </c:pt>
                <c:pt idx="103">
                  <c:v>-2.0221919633803632E-2</c:v>
                </c:pt>
                <c:pt idx="104">
                  <c:v>-6.1962506960341522E-2</c:v>
                </c:pt>
                <c:pt idx="105">
                  <c:v>-0.11068520923749485</c:v>
                </c:pt>
                <c:pt idx="106">
                  <c:v>-2.1779976226082288E-2</c:v>
                </c:pt>
                <c:pt idx="107">
                  <c:v>-5.8859198771071673E-2</c:v>
                </c:pt>
              </c:numCache>
            </c:numRef>
          </c:yVal>
          <c:smooth val="0"/>
          <c:extLst>
            <c:ext xmlns:c16="http://schemas.microsoft.com/office/drawing/2014/chart" uri="{C3380CC4-5D6E-409C-BE32-E72D297353CC}">
              <c16:uniqueId val="{00000000-3894-4AB5-A0F7-5E8FF2B0E5F3}"/>
            </c:ext>
          </c:extLst>
        </c:ser>
        <c:dLbls>
          <c:showLegendKey val="0"/>
          <c:showVal val="0"/>
          <c:showCatName val="0"/>
          <c:showSerName val="0"/>
          <c:showPercent val="0"/>
          <c:showBubbleSize val="0"/>
        </c:dLbls>
        <c:axId val="1207654463"/>
        <c:axId val="1308770159"/>
      </c:scatterChart>
      <c:scatterChart>
        <c:scatterStyle val="lineMarker"/>
        <c:varyColors val="0"/>
        <c:ser>
          <c:idx val="1"/>
          <c:order val="1"/>
          <c:tx>
            <c:strRef>
              <c:f>Flug!$AQ$9</c:f>
              <c:strCache>
                <c:ptCount val="1"/>
                <c:pt idx="0">
                  <c:v>Hreyfingar</c:v>
                </c:pt>
              </c:strCache>
            </c:strRef>
          </c:tx>
          <c:spPr>
            <a:ln w="19050" cap="rnd">
              <a:noFill/>
              <a:round/>
            </a:ln>
            <a:effectLst/>
          </c:spPr>
          <c:marker>
            <c:symbol val="circle"/>
            <c:size val="5"/>
            <c:spPr>
              <a:solidFill>
                <a:schemeClr val="accent2"/>
              </a:solidFill>
              <a:ln w="9525">
                <a:solidFill>
                  <a:schemeClr val="accent2"/>
                </a:solidFill>
              </a:ln>
              <a:effectLst/>
            </c:spPr>
          </c:marker>
          <c:xVal>
            <c:numRef>
              <c:f>Flug!$AO$22:$AO$129</c:f>
              <c:numCache>
                <c:formatCode>General</c:formatCode>
                <c:ptCount val="108"/>
                <c:pt idx="0">
                  <c:v>2016.9999999999991</c:v>
                </c:pt>
                <c:pt idx="1">
                  <c:v>2017.0833333333323</c:v>
                </c:pt>
                <c:pt idx="2">
                  <c:v>2017.1666666666656</c:v>
                </c:pt>
                <c:pt idx="3">
                  <c:v>2017.2499999999989</c:v>
                </c:pt>
                <c:pt idx="4">
                  <c:v>2017.3333333333321</c:v>
                </c:pt>
                <c:pt idx="5">
                  <c:v>2017.4166666666654</c:v>
                </c:pt>
                <c:pt idx="6">
                  <c:v>2017.4999999999986</c:v>
                </c:pt>
                <c:pt idx="7">
                  <c:v>2017.5833333333319</c:v>
                </c:pt>
                <c:pt idx="8">
                  <c:v>2017.6666666666652</c:v>
                </c:pt>
                <c:pt idx="9">
                  <c:v>2017.7499999999984</c:v>
                </c:pt>
                <c:pt idx="10">
                  <c:v>2017.8333333333317</c:v>
                </c:pt>
                <c:pt idx="11">
                  <c:v>2017.9166666666649</c:v>
                </c:pt>
                <c:pt idx="12">
                  <c:v>2017.9999999999982</c:v>
                </c:pt>
                <c:pt idx="13">
                  <c:v>2018.0833333333314</c:v>
                </c:pt>
                <c:pt idx="14">
                  <c:v>2018.1666666666647</c:v>
                </c:pt>
                <c:pt idx="15">
                  <c:v>2018.249999999998</c:v>
                </c:pt>
                <c:pt idx="16">
                  <c:v>2018.3333333333312</c:v>
                </c:pt>
                <c:pt idx="17">
                  <c:v>2018.4166666666645</c:v>
                </c:pt>
                <c:pt idx="18">
                  <c:v>2018.4999999999977</c:v>
                </c:pt>
                <c:pt idx="19">
                  <c:v>2018.583333333331</c:v>
                </c:pt>
                <c:pt idx="20">
                  <c:v>2018.6666666666642</c:v>
                </c:pt>
                <c:pt idx="21">
                  <c:v>2018.7499999999975</c:v>
                </c:pt>
                <c:pt idx="22">
                  <c:v>2018.8333333333308</c:v>
                </c:pt>
                <c:pt idx="23">
                  <c:v>2018.916666666664</c:v>
                </c:pt>
                <c:pt idx="24">
                  <c:v>2018.9999999999973</c:v>
                </c:pt>
                <c:pt idx="25">
                  <c:v>2019.0833333333305</c:v>
                </c:pt>
                <c:pt idx="26">
                  <c:v>2019.1666666666638</c:v>
                </c:pt>
                <c:pt idx="27">
                  <c:v>2019.249999999997</c:v>
                </c:pt>
                <c:pt idx="28">
                  <c:v>2019.3333333333303</c:v>
                </c:pt>
                <c:pt idx="29">
                  <c:v>2019.4166666666636</c:v>
                </c:pt>
                <c:pt idx="30">
                  <c:v>2019.4999999999968</c:v>
                </c:pt>
                <c:pt idx="31">
                  <c:v>2019.5833333333301</c:v>
                </c:pt>
                <c:pt idx="32">
                  <c:v>2019.6666666666633</c:v>
                </c:pt>
                <c:pt idx="33">
                  <c:v>2019.7499999999966</c:v>
                </c:pt>
                <c:pt idx="34">
                  <c:v>2019.8333333333298</c:v>
                </c:pt>
                <c:pt idx="35">
                  <c:v>2019.9166666666631</c:v>
                </c:pt>
                <c:pt idx="36">
                  <c:v>2019.9999999999964</c:v>
                </c:pt>
                <c:pt idx="37">
                  <c:v>2020.0833333333296</c:v>
                </c:pt>
                <c:pt idx="38">
                  <c:v>2020.1666666666629</c:v>
                </c:pt>
                <c:pt idx="39">
                  <c:v>2020.2499999999961</c:v>
                </c:pt>
                <c:pt idx="40">
                  <c:v>2020.3333333333294</c:v>
                </c:pt>
                <c:pt idx="41">
                  <c:v>2020.4166666666626</c:v>
                </c:pt>
                <c:pt idx="42">
                  <c:v>2020.4999999999959</c:v>
                </c:pt>
                <c:pt idx="43">
                  <c:v>2020.5833333333292</c:v>
                </c:pt>
                <c:pt idx="44">
                  <c:v>2020.6666666666624</c:v>
                </c:pt>
                <c:pt idx="45">
                  <c:v>2020.7499999999957</c:v>
                </c:pt>
                <c:pt idx="46">
                  <c:v>2020.8333333333289</c:v>
                </c:pt>
                <c:pt idx="47">
                  <c:v>2020.9166666666622</c:v>
                </c:pt>
                <c:pt idx="48">
                  <c:v>2020.9999999999955</c:v>
                </c:pt>
                <c:pt idx="49">
                  <c:v>2021.0833333333287</c:v>
                </c:pt>
                <c:pt idx="50">
                  <c:v>2021.166666666662</c:v>
                </c:pt>
                <c:pt idx="51">
                  <c:v>2021.2499999999952</c:v>
                </c:pt>
                <c:pt idx="52">
                  <c:v>2021.3333333333285</c:v>
                </c:pt>
                <c:pt idx="53">
                  <c:v>2021.4166666666617</c:v>
                </c:pt>
                <c:pt idx="54">
                  <c:v>2021.499999999995</c:v>
                </c:pt>
                <c:pt idx="55">
                  <c:v>2021.5833333333283</c:v>
                </c:pt>
                <c:pt idx="56">
                  <c:v>2021.6666666666615</c:v>
                </c:pt>
                <c:pt idx="57">
                  <c:v>2021.7499999999948</c:v>
                </c:pt>
                <c:pt idx="58">
                  <c:v>2021.833333333328</c:v>
                </c:pt>
                <c:pt idx="59">
                  <c:v>2021.9166666666613</c:v>
                </c:pt>
                <c:pt idx="60">
                  <c:v>2021.9999999999945</c:v>
                </c:pt>
                <c:pt idx="61">
                  <c:v>2022.0833333333278</c:v>
                </c:pt>
                <c:pt idx="62">
                  <c:v>2022.1666666666611</c:v>
                </c:pt>
                <c:pt idx="63">
                  <c:v>2022.2499999999943</c:v>
                </c:pt>
                <c:pt idx="64">
                  <c:v>2022.3333333333276</c:v>
                </c:pt>
                <c:pt idx="65">
                  <c:v>2022.4166666666608</c:v>
                </c:pt>
                <c:pt idx="66">
                  <c:v>2022.4999999999941</c:v>
                </c:pt>
                <c:pt idx="67">
                  <c:v>2022.5833333333273</c:v>
                </c:pt>
                <c:pt idx="68">
                  <c:v>2022.6666666666606</c:v>
                </c:pt>
                <c:pt idx="69">
                  <c:v>2022.7499999999939</c:v>
                </c:pt>
                <c:pt idx="70">
                  <c:v>2022.8333333333271</c:v>
                </c:pt>
                <c:pt idx="71">
                  <c:v>2022.9166666666604</c:v>
                </c:pt>
                <c:pt idx="72">
                  <c:v>2022.9999999999936</c:v>
                </c:pt>
                <c:pt idx="73">
                  <c:v>2023.0833333333269</c:v>
                </c:pt>
                <c:pt idx="74">
                  <c:v>2023.1666666666601</c:v>
                </c:pt>
                <c:pt idx="75">
                  <c:v>2023.2499999999934</c:v>
                </c:pt>
                <c:pt idx="76">
                  <c:v>2023.3333333333267</c:v>
                </c:pt>
                <c:pt idx="77">
                  <c:v>2023.4166666666599</c:v>
                </c:pt>
                <c:pt idx="78">
                  <c:v>2023.4999999999932</c:v>
                </c:pt>
                <c:pt idx="79">
                  <c:v>2023.5833333333264</c:v>
                </c:pt>
                <c:pt idx="80">
                  <c:v>2023.6666666666597</c:v>
                </c:pt>
                <c:pt idx="81">
                  <c:v>2023.749999999993</c:v>
                </c:pt>
                <c:pt idx="82">
                  <c:v>2023.8333333333262</c:v>
                </c:pt>
                <c:pt idx="83">
                  <c:v>2023.9166666666595</c:v>
                </c:pt>
                <c:pt idx="84">
                  <c:v>2023.9999999999927</c:v>
                </c:pt>
                <c:pt idx="85">
                  <c:v>2024.083333333326</c:v>
                </c:pt>
                <c:pt idx="86">
                  <c:v>2024.1666666666592</c:v>
                </c:pt>
                <c:pt idx="87">
                  <c:v>2024.2499999999925</c:v>
                </c:pt>
                <c:pt idx="88">
                  <c:v>2024.3333333333258</c:v>
                </c:pt>
                <c:pt idx="89">
                  <c:v>2024.416666666659</c:v>
                </c:pt>
                <c:pt idx="90">
                  <c:v>2024.4999999999923</c:v>
                </c:pt>
                <c:pt idx="91">
                  <c:v>2024.5833333333255</c:v>
                </c:pt>
                <c:pt idx="92">
                  <c:v>2024.6666666666588</c:v>
                </c:pt>
                <c:pt idx="93">
                  <c:v>2024.749999999992</c:v>
                </c:pt>
                <c:pt idx="94">
                  <c:v>2024.8333333333253</c:v>
                </c:pt>
                <c:pt idx="95">
                  <c:v>2024.9166666666586</c:v>
                </c:pt>
                <c:pt idx="96">
                  <c:v>2024.9999999999918</c:v>
                </c:pt>
                <c:pt idx="97">
                  <c:v>2025.0833333333251</c:v>
                </c:pt>
                <c:pt idx="98">
                  <c:v>2025.1666666666583</c:v>
                </c:pt>
                <c:pt idx="99">
                  <c:v>2025.2499999999916</c:v>
                </c:pt>
                <c:pt idx="100">
                  <c:v>2025.3333333333248</c:v>
                </c:pt>
                <c:pt idx="101">
                  <c:v>2025.4166666666581</c:v>
                </c:pt>
                <c:pt idx="102">
                  <c:v>2025.4999999999914</c:v>
                </c:pt>
                <c:pt idx="103">
                  <c:v>2025.5833333333246</c:v>
                </c:pt>
                <c:pt idx="104">
                  <c:v>2025.6666666666579</c:v>
                </c:pt>
                <c:pt idx="105">
                  <c:v>2025.7499999999911</c:v>
                </c:pt>
                <c:pt idx="106">
                  <c:v>2025.8333333333244</c:v>
                </c:pt>
                <c:pt idx="107">
                  <c:v>2025.9166666666576</c:v>
                </c:pt>
              </c:numCache>
            </c:numRef>
          </c:xVal>
          <c:yVal>
            <c:numRef>
              <c:f>Flug!$AQ$22:$AQ$129</c:f>
              <c:numCache>
                <c:formatCode>0.0%</c:formatCode>
                <c:ptCount val="108"/>
                <c:pt idx="0">
                  <c:v>-0.45719082260772242</c:v>
                </c:pt>
                <c:pt idx="1">
                  <c:v>-0.39149383829275625</c:v>
                </c:pt>
                <c:pt idx="2">
                  <c:v>1.0741744701823559</c:v>
                </c:pt>
                <c:pt idx="3">
                  <c:v>-0.41833577593225857</c:v>
                </c:pt>
                <c:pt idx="4">
                  <c:v>-0.10846245530393325</c:v>
                </c:pt>
                <c:pt idx="5">
                  <c:v>0.3007531106745252</c:v>
                </c:pt>
                <c:pt idx="6">
                  <c:v>-1.1626217119604709E-2</c:v>
                </c:pt>
                <c:pt idx="7">
                  <c:v>-0.26066802999318339</c:v>
                </c:pt>
                <c:pt idx="8">
                  <c:v>-7.7912665337923539E-3</c:v>
                </c:pt>
                <c:pt idx="9">
                  <c:v>0.55373172608361121</c:v>
                </c:pt>
                <c:pt idx="10">
                  <c:v>0.11669128508124077</c:v>
                </c:pt>
                <c:pt idx="11">
                  <c:v>1.2992938620315047</c:v>
                </c:pt>
                <c:pt idx="12">
                  <c:v>0.53608247422680411</c:v>
                </c:pt>
                <c:pt idx="13">
                  <c:v>-0.45714991355890344</c:v>
                </c:pt>
                <c:pt idx="14">
                  <c:v>-0.46619935844124988</c:v>
                </c:pt>
                <c:pt idx="15">
                  <c:v>0.55207166853303469</c:v>
                </c:pt>
                <c:pt idx="16">
                  <c:v>-2.1199388846447668E-2</c:v>
                </c:pt>
                <c:pt idx="17">
                  <c:v>-0.2303335431088735</c:v>
                </c:pt>
                <c:pt idx="18">
                  <c:v>2.6466696074106751E-3</c:v>
                </c:pt>
                <c:pt idx="19">
                  <c:v>0.25705329153605017</c:v>
                </c:pt>
                <c:pt idx="20">
                  <c:v>6.2089116143170198E-2</c:v>
                </c:pt>
                <c:pt idx="21">
                  <c:v>-0.1236381644106966</c:v>
                </c:pt>
                <c:pt idx="22">
                  <c:v>0.1917989417989418</c:v>
                </c:pt>
                <c:pt idx="23">
                  <c:v>-0.26576895818568391</c:v>
                </c:pt>
                <c:pt idx="24">
                  <c:v>-2.2371364653243847E-3</c:v>
                </c:pt>
                <c:pt idx="25">
                  <c:v>0.8298453139217471</c:v>
                </c:pt>
                <c:pt idx="26">
                  <c:v>0.66102826619185395</c:v>
                </c:pt>
                <c:pt idx="27">
                  <c:v>-0.22402597402597402</c:v>
                </c:pt>
                <c:pt idx="28">
                  <c:v>0.3135609756097561</c:v>
                </c:pt>
                <c:pt idx="29">
                  <c:v>1.6680294358135731E-2</c:v>
                </c:pt>
                <c:pt idx="30">
                  <c:v>-8.5789705235371758E-2</c:v>
                </c:pt>
                <c:pt idx="31">
                  <c:v>-8.4347953645298512E-2</c:v>
                </c:pt>
                <c:pt idx="32">
                  <c:v>-0.22025447042640992</c:v>
                </c:pt>
                <c:pt idx="33">
                  <c:v>-0.15031079299303071</c:v>
                </c:pt>
                <c:pt idx="34">
                  <c:v>-2.8671846096929337E-2</c:v>
                </c:pt>
                <c:pt idx="35">
                  <c:v>-0.13481338481338481</c:v>
                </c:pt>
                <c:pt idx="36">
                  <c:v>-0.41278026905829596</c:v>
                </c:pt>
                <c:pt idx="37">
                  <c:v>-0.15116857284932869</c:v>
                </c:pt>
                <c:pt idx="38">
                  <c:v>-0.49175934610746347</c:v>
                </c:pt>
                <c:pt idx="39">
                  <c:v>-0.63319386331938632</c:v>
                </c:pt>
                <c:pt idx="40">
                  <c:v>-0.42498514557338085</c:v>
                </c:pt>
                <c:pt idx="41">
                  <c:v>-0.34775615248512143</c:v>
                </c:pt>
                <c:pt idx="42">
                  <c:v>-8.2451074751363485E-2</c:v>
                </c:pt>
                <c:pt idx="43">
                  <c:v>-0.26497917334187759</c:v>
                </c:pt>
                <c:pt idx="44">
                  <c:v>-0.22183020948180815</c:v>
                </c:pt>
                <c:pt idx="45">
                  <c:v>-0.39414763910441142</c:v>
                </c:pt>
                <c:pt idx="46">
                  <c:v>-0.56636831079794325</c:v>
                </c:pt>
                <c:pt idx="47">
                  <c:v>-0.11342506507995537</c:v>
                </c:pt>
                <c:pt idx="48">
                  <c:v>-6.7964872088583428E-2</c:v>
                </c:pt>
                <c:pt idx="49">
                  <c:v>-0.20123022847100175</c:v>
                </c:pt>
                <c:pt idx="50">
                  <c:v>0.10519377801212761</c:v>
                </c:pt>
                <c:pt idx="51">
                  <c:v>2.0095057034220534</c:v>
                </c:pt>
                <c:pt idx="52">
                  <c:v>1.0617411521570654</c:v>
                </c:pt>
                <c:pt idx="53">
                  <c:v>0.20394574599260173</c:v>
                </c:pt>
                <c:pt idx="54">
                  <c:v>-0.21713286713286714</c:v>
                </c:pt>
                <c:pt idx="55">
                  <c:v>5.2964254577157803E-2</c:v>
                </c:pt>
                <c:pt idx="56">
                  <c:v>9.3794275998866528E-2</c:v>
                </c:pt>
                <c:pt idx="57">
                  <c:v>0.70106110501280638</c:v>
                </c:pt>
                <c:pt idx="58">
                  <c:v>0.35265700483091789</c:v>
                </c:pt>
                <c:pt idx="59">
                  <c:v>0.15184563758389261</c:v>
                </c:pt>
                <c:pt idx="60">
                  <c:v>-0.24252355591970504</c:v>
                </c:pt>
                <c:pt idx="61">
                  <c:v>-7.4807480748074806E-2</c:v>
                </c:pt>
                <c:pt idx="62">
                  <c:v>-0.44036259541984735</c:v>
                </c:pt>
                <c:pt idx="63">
                  <c:v>-0.24552537376289746</c:v>
                </c:pt>
                <c:pt idx="64">
                  <c:v>-0.5524370379651673</c:v>
                </c:pt>
                <c:pt idx="65">
                  <c:v>-0.28000819336337568</c:v>
                </c:pt>
                <c:pt idx="66">
                  <c:v>-3.9973202322465387E-2</c:v>
                </c:pt>
                <c:pt idx="67">
                  <c:v>0.24197888635893189</c:v>
                </c:pt>
                <c:pt idx="68">
                  <c:v>0.32953367875647671</c:v>
                </c:pt>
                <c:pt idx="69">
                  <c:v>-5.2269305226930525E-2</c:v>
                </c:pt>
                <c:pt idx="70">
                  <c:v>-0.13928571428571429</c:v>
                </c:pt>
                <c:pt idx="71">
                  <c:v>3.9694100509832485E-2</c:v>
                </c:pt>
                <c:pt idx="72">
                  <c:v>0.53001622498647916</c:v>
                </c:pt>
                <c:pt idx="73">
                  <c:v>-0.25723345223939753</c:v>
                </c:pt>
                <c:pt idx="74">
                  <c:v>0.7996589940323956</c:v>
                </c:pt>
                <c:pt idx="75">
                  <c:v>-9.1543399385989391E-2</c:v>
                </c:pt>
                <c:pt idx="76">
                  <c:v>-0.32390817469204924</c:v>
                </c:pt>
                <c:pt idx="77">
                  <c:v>9.2745376955903278E-2</c:v>
                </c:pt>
                <c:pt idx="78">
                  <c:v>0.96720167480809494</c:v>
                </c:pt>
                <c:pt idx="79">
                  <c:v>-1.55E-2</c:v>
                </c:pt>
                <c:pt idx="80">
                  <c:v>-0.30650818394388152</c:v>
                </c:pt>
                <c:pt idx="81">
                  <c:v>-0.33885610531093963</c:v>
                </c:pt>
                <c:pt idx="82">
                  <c:v>8.4119200301772917E-2</c:v>
                </c:pt>
                <c:pt idx="83">
                  <c:v>-0.15131348511383538</c:v>
                </c:pt>
                <c:pt idx="84">
                  <c:v>-0.25344644750795337</c:v>
                </c:pt>
                <c:pt idx="85">
                  <c:v>0.56776947705442904</c:v>
                </c:pt>
                <c:pt idx="86">
                  <c:v>-0.1314542870677404</c:v>
                </c:pt>
                <c:pt idx="87">
                  <c:v>0.26912442396313363</c:v>
                </c:pt>
                <c:pt idx="88">
                  <c:v>0.36604554865424432</c:v>
                </c:pt>
                <c:pt idx="89">
                  <c:v>7.8365009112210365E-2</c:v>
                </c:pt>
                <c:pt idx="90">
                  <c:v>-0.59654723897363127</c:v>
                </c:pt>
                <c:pt idx="91">
                  <c:v>-0.17267648552564754</c:v>
                </c:pt>
                <c:pt idx="92">
                  <c:v>0.10845743186288283</c:v>
                </c:pt>
                <c:pt idx="93">
                  <c:v>9.7837281153450056E-2</c:v>
                </c:pt>
                <c:pt idx="94">
                  <c:v>0.16771050800278359</c:v>
                </c:pt>
                <c:pt idx="95">
                  <c:v>9.9050763516302098E-3</c:v>
                </c:pt>
                <c:pt idx="96">
                  <c:v>0.10227272727272728</c:v>
                </c:pt>
                <c:pt idx="97">
                  <c:v>-0.47174948944860451</c:v>
                </c:pt>
                <c:pt idx="98">
                  <c:v>-0.24734115080447233</c:v>
                </c:pt>
                <c:pt idx="99">
                  <c:v>-0.24473493100944083</c:v>
                </c:pt>
                <c:pt idx="100">
                  <c:v>0.11821764170960897</c:v>
                </c:pt>
                <c:pt idx="101">
                  <c:v>-0.24770642201834864</c:v>
                </c:pt>
                <c:pt idx="102">
                  <c:v>0.24003516998827668</c:v>
                </c:pt>
                <c:pt idx="103">
                  <c:v>-0.22488234090444034</c:v>
                </c:pt>
                <c:pt idx="104">
                  <c:v>-0.21520912547528517</c:v>
                </c:pt>
                <c:pt idx="105">
                  <c:v>-0.18699186991869918</c:v>
                </c:pt>
                <c:pt idx="106">
                  <c:v>5.8998808104886773E-2</c:v>
                </c:pt>
                <c:pt idx="107">
                  <c:v>-9.3583980384143853E-2</c:v>
                </c:pt>
              </c:numCache>
            </c:numRef>
          </c:yVal>
          <c:smooth val="0"/>
          <c:extLst>
            <c:ext xmlns:c16="http://schemas.microsoft.com/office/drawing/2014/chart" uri="{C3380CC4-5D6E-409C-BE32-E72D297353CC}">
              <c16:uniqueId val="{00000001-3894-4AB5-A0F7-5E8FF2B0E5F3}"/>
            </c:ext>
          </c:extLst>
        </c:ser>
        <c:dLbls>
          <c:showLegendKey val="0"/>
          <c:showVal val="0"/>
          <c:showCatName val="0"/>
          <c:showSerName val="0"/>
          <c:showPercent val="0"/>
          <c:showBubbleSize val="0"/>
        </c:dLbls>
        <c:axId val="1064525167"/>
        <c:axId val="1064521007"/>
      </c:scatterChart>
      <c:valAx>
        <c:axId val="120765446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08770159"/>
        <c:crosses val="autoZero"/>
        <c:crossBetween val="midCat"/>
      </c:valAx>
      <c:valAx>
        <c:axId val="1308770159"/>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207654463"/>
        <c:crosses val="autoZero"/>
        <c:crossBetween val="midCat"/>
      </c:valAx>
      <c:valAx>
        <c:axId val="1064521007"/>
        <c:scaling>
          <c:orientation val="minMax"/>
        </c:scaling>
        <c:delete val="0"/>
        <c:axPos val="r"/>
        <c:numFmt formatCod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64525167"/>
        <c:crosses val="max"/>
        <c:crossBetween val="midCat"/>
      </c:valAx>
      <c:valAx>
        <c:axId val="1064525167"/>
        <c:scaling>
          <c:orientation val="minMax"/>
        </c:scaling>
        <c:delete val="1"/>
        <c:axPos val="b"/>
        <c:numFmt formatCode="General" sourceLinked="1"/>
        <c:majorTickMark val="out"/>
        <c:minorTickMark val="none"/>
        <c:tickLblPos val="nextTo"/>
        <c:crossAx val="10645210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8258136482939633"/>
          <c:y val="5.0925925925925923E-2"/>
          <c:w val="0.76152974628171477"/>
          <c:h val="0.81539297171186931"/>
        </c:manualLayout>
      </c:layout>
      <c:scatterChart>
        <c:scatterStyle val="lineMarker"/>
        <c:varyColors val="0"/>
        <c:ser>
          <c:idx val="0"/>
          <c:order val="0"/>
          <c:tx>
            <c:strRef>
              <c:f>Flug!$AI$9</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xVal>
            <c:numRef>
              <c:f>Flug!$AO$45:$AO$129</c:f>
              <c:numCache>
                <c:formatCode>General</c:formatCode>
                <c:ptCount val="85"/>
                <c:pt idx="0">
                  <c:v>2018.916666666664</c:v>
                </c:pt>
                <c:pt idx="1">
                  <c:v>2018.9999999999973</c:v>
                </c:pt>
                <c:pt idx="2">
                  <c:v>2019.0833333333305</c:v>
                </c:pt>
                <c:pt idx="3">
                  <c:v>2019.1666666666638</c:v>
                </c:pt>
                <c:pt idx="4">
                  <c:v>2019.249999999997</c:v>
                </c:pt>
                <c:pt idx="5">
                  <c:v>2019.3333333333303</c:v>
                </c:pt>
                <c:pt idx="6">
                  <c:v>2019.4166666666636</c:v>
                </c:pt>
                <c:pt idx="7">
                  <c:v>2019.4999999999968</c:v>
                </c:pt>
                <c:pt idx="8">
                  <c:v>2019.5833333333301</c:v>
                </c:pt>
                <c:pt idx="9">
                  <c:v>2019.6666666666633</c:v>
                </c:pt>
                <c:pt idx="10">
                  <c:v>2019.7499999999966</c:v>
                </c:pt>
                <c:pt idx="11">
                  <c:v>2019.8333333333298</c:v>
                </c:pt>
                <c:pt idx="12">
                  <c:v>2019.9166666666631</c:v>
                </c:pt>
                <c:pt idx="13">
                  <c:v>2019.9999999999964</c:v>
                </c:pt>
                <c:pt idx="14">
                  <c:v>2020.0833333333296</c:v>
                </c:pt>
                <c:pt idx="15">
                  <c:v>2020.1666666666629</c:v>
                </c:pt>
                <c:pt idx="16">
                  <c:v>2020.2499999999961</c:v>
                </c:pt>
                <c:pt idx="17">
                  <c:v>2020.3333333333294</c:v>
                </c:pt>
                <c:pt idx="18">
                  <c:v>2020.4166666666626</c:v>
                </c:pt>
                <c:pt idx="19">
                  <c:v>2020.4999999999959</c:v>
                </c:pt>
                <c:pt idx="20">
                  <c:v>2020.5833333333292</c:v>
                </c:pt>
                <c:pt idx="21">
                  <c:v>2020.6666666666624</c:v>
                </c:pt>
                <c:pt idx="22">
                  <c:v>2020.7499999999957</c:v>
                </c:pt>
                <c:pt idx="23">
                  <c:v>2020.8333333333289</c:v>
                </c:pt>
                <c:pt idx="24">
                  <c:v>2020.9166666666622</c:v>
                </c:pt>
                <c:pt idx="25">
                  <c:v>2020.9999999999955</c:v>
                </c:pt>
                <c:pt idx="26">
                  <c:v>2021.0833333333287</c:v>
                </c:pt>
                <c:pt idx="27">
                  <c:v>2021.166666666662</c:v>
                </c:pt>
                <c:pt idx="28">
                  <c:v>2021.2499999999952</c:v>
                </c:pt>
                <c:pt idx="29">
                  <c:v>2021.3333333333285</c:v>
                </c:pt>
                <c:pt idx="30">
                  <c:v>2021.4166666666617</c:v>
                </c:pt>
                <c:pt idx="31">
                  <c:v>2021.499999999995</c:v>
                </c:pt>
                <c:pt idx="32">
                  <c:v>2021.5833333333283</c:v>
                </c:pt>
                <c:pt idx="33">
                  <c:v>2021.6666666666615</c:v>
                </c:pt>
                <c:pt idx="34">
                  <c:v>2021.7499999999948</c:v>
                </c:pt>
                <c:pt idx="35">
                  <c:v>2021.833333333328</c:v>
                </c:pt>
                <c:pt idx="36">
                  <c:v>2021.9166666666613</c:v>
                </c:pt>
                <c:pt idx="37">
                  <c:v>2021.9999999999945</c:v>
                </c:pt>
                <c:pt idx="38">
                  <c:v>2022.0833333333278</c:v>
                </c:pt>
                <c:pt idx="39">
                  <c:v>2022.1666666666611</c:v>
                </c:pt>
                <c:pt idx="40">
                  <c:v>2022.2499999999943</c:v>
                </c:pt>
                <c:pt idx="41">
                  <c:v>2022.3333333333276</c:v>
                </c:pt>
                <c:pt idx="42">
                  <c:v>2022.4166666666608</c:v>
                </c:pt>
                <c:pt idx="43">
                  <c:v>2022.4999999999941</c:v>
                </c:pt>
                <c:pt idx="44">
                  <c:v>2022.5833333333273</c:v>
                </c:pt>
                <c:pt idx="45">
                  <c:v>2022.6666666666606</c:v>
                </c:pt>
                <c:pt idx="46">
                  <c:v>2022.7499999999939</c:v>
                </c:pt>
                <c:pt idx="47">
                  <c:v>2022.8333333333271</c:v>
                </c:pt>
                <c:pt idx="48">
                  <c:v>2022.9166666666604</c:v>
                </c:pt>
                <c:pt idx="49">
                  <c:v>2022.9999999999936</c:v>
                </c:pt>
                <c:pt idx="50">
                  <c:v>2023.0833333333269</c:v>
                </c:pt>
                <c:pt idx="51">
                  <c:v>2023.1666666666601</c:v>
                </c:pt>
                <c:pt idx="52">
                  <c:v>2023.2499999999934</c:v>
                </c:pt>
                <c:pt idx="53">
                  <c:v>2023.3333333333267</c:v>
                </c:pt>
                <c:pt idx="54">
                  <c:v>2023.4166666666599</c:v>
                </c:pt>
                <c:pt idx="55">
                  <c:v>2023.4999999999932</c:v>
                </c:pt>
                <c:pt idx="56">
                  <c:v>2023.5833333333264</c:v>
                </c:pt>
                <c:pt idx="57">
                  <c:v>2023.6666666666597</c:v>
                </c:pt>
                <c:pt idx="58">
                  <c:v>2023.749999999993</c:v>
                </c:pt>
                <c:pt idx="59">
                  <c:v>2023.8333333333262</c:v>
                </c:pt>
                <c:pt idx="60">
                  <c:v>2023.9166666666595</c:v>
                </c:pt>
                <c:pt idx="61">
                  <c:v>2023.9999999999927</c:v>
                </c:pt>
                <c:pt idx="62">
                  <c:v>2024.083333333326</c:v>
                </c:pt>
                <c:pt idx="63">
                  <c:v>2024.1666666666592</c:v>
                </c:pt>
                <c:pt idx="64">
                  <c:v>2024.2499999999925</c:v>
                </c:pt>
                <c:pt idx="65">
                  <c:v>2024.3333333333258</c:v>
                </c:pt>
                <c:pt idx="66">
                  <c:v>2024.416666666659</c:v>
                </c:pt>
                <c:pt idx="67">
                  <c:v>2024.4999999999923</c:v>
                </c:pt>
                <c:pt idx="68">
                  <c:v>2024.5833333333255</c:v>
                </c:pt>
                <c:pt idx="69">
                  <c:v>2024.6666666666588</c:v>
                </c:pt>
                <c:pt idx="70">
                  <c:v>2024.749999999992</c:v>
                </c:pt>
                <c:pt idx="71">
                  <c:v>2024.8333333333253</c:v>
                </c:pt>
                <c:pt idx="72">
                  <c:v>2024.9166666666586</c:v>
                </c:pt>
                <c:pt idx="73">
                  <c:v>2024.9999999999918</c:v>
                </c:pt>
                <c:pt idx="74">
                  <c:v>2025.0833333333251</c:v>
                </c:pt>
                <c:pt idx="75">
                  <c:v>2025.1666666666583</c:v>
                </c:pt>
                <c:pt idx="76">
                  <c:v>2025.2499999999916</c:v>
                </c:pt>
                <c:pt idx="77">
                  <c:v>2025.3333333333248</c:v>
                </c:pt>
                <c:pt idx="78">
                  <c:v>2025.4166666666581</c:v>
                </c:pt>
                <c:pt idx="79">
                  <c:v>2025.4999999999914</c:v>
                </c:pt>
                <c:pt idx="80">
                  <c:v>2025.5833333333246</c:v>
                </c:pt>
                <c:pt idx="81">
                  <c:v>2025.6666666666579</c:v>
                </c:pt>
                <c:pt idx="82">
                  <c:v>2025.7499999999911</c:v>
                </c:pt>
                <c:pt idx="83">
                  <c:v>2025.8333333333244</c:v>
                </c:pt>
                <c:pt idx="84">
                  <c:v>2025.9166666666576</c:v>
                </c:pt>
              </c:numCache>
            </c:numRef>
          </c:xVal>
          <c:yVal>
            <c:numRef>
              <c:f>Flug!$AP$22:$AP$129</c:f>
              <c:numCache>
                <c:formatCode>0.0%</c:formatCode>
                <c:ptCount val="108"/>
                <c:pt idx="0">
                  <c:v>-5.2820589555588805E-2</c:v>
                </c:pt>
                <c:pt idx="1">
                  <c:v>-5.219985085756898E-2</c:v>
                </c:pt>
                <c:pt idx="2">
                  <c:v>0.1015451849539566</c:v>
                </c:pt>
                <c:pt idx="3">
                  <c:v>-4.3893485970260687E-2</c:v>
                </c:pt>
                <c:pt idx="4">
                  <c:v>9.0703823643007817E-2</c:v>
                </c:pt>
                <c:pt idx="5">
                  <c:v>6.3871033568003263E-2</c:v>
                </c:pt>
                <c:pt idx="6">
                  <c:v>-4.6558746736292428E-2</c:v>
                </c:pt>
                <c:pt idx="7">
                  <c:v>1.3588634959851761E-2</c:v>
                </c:pt>
                <c:pt idx="8">
                  <c:v>-2.7555813840863964E-2</c:v>
                </c:pt>
                <c:pt idx="9">
                  <c:v>8.1580662361514303E-2</c:v>
                </c:pt>
                <c:pt idx="10">
                  <c:v>5.0229877170109107E-2</c:v>
                </c:pt>
                <c:pt idx="11">
                  <c:v>9.0789105307363116E-2</c:v>
                </c:pt>
                <c:pt idx="12">
                  <c:v>6.0703001579778829E-2</c:v>
                </c:pt>
                <c:pt idx="13">
                  <c:v>-8.9979257563836637E-2</c:v>
                </c:pt>
                <c:pt idx="14">
                  <c:v>-0.21806279755157559</c:v>
                </c:pt>
                <c:pt idx="15">
                  <c:v>-1.8122661460875225E-2</c:v>
                </c:pt>
                <c:pt idx="16">
                  <c:v>-6.3793854870342129E-2</c:v>
                </c:pt>
                <c:pt idx="17">
                  <c:v>-7.8042581758895183E-2</c:v>
                </c:pt>
                <c:pt idx="18">
                  <c:v>-4.927047276869824E-2</c:v>
                </c:pt>
                <c:pt idx="19">
                  <c:v>-3.6899283447855598E-2</c:v>
                </c:pt>
                <c:pt idx="20">
                  <c:v>-8.2470119521912355E-2</c:v>
                </c:pt>
                <c:pt idx="21">
                  <c:v>-4.4944127957931637E-2</c:v>
                </c:pt>
                <c:pt idx="22">
                  <c:v>-0.12113688337144723</c:v>
                </c:pt>
                <c:pt idx="23">
                  <c:v>-0.13111868881311187</c:v>
                </c:pt>
                <c:pt idx="24">
                  <c:v>-0.12153256134341141</c:v>
                </c:pt>
                <c:pt idx="25">
                  <c:v>-3.0574550027509237E-2</c:v>
                </c:pt>
                <c:pt idx="26">
                  <c:v>0.20291378248106404</c:v>
                </c:pt>
                <c:pt idx="27">
                  <c:v>-0.13440254490025846</c:v>
                </c:pt>
                <c:pt idx="28">
                  <c:v>-9.7556008146639506E-2</c:v>
                </c:pt>
                <c:pt idx="29">
                  <c:v>-0.13777858684627989</c:v>
                </c:pt>
                <c:pt idx="30">
                  <c:v>-0.14761389036108485</c:v>
                </c:pt>
                <c:pt idx="31">
                  <c:v>-0.15543385770078327</c:v>
                </c:pt>
                <c:pt idx="32">
                  <c:v>-0.13365718627876683</c:v>
                </c:pt>
                <c:pt idx="33">
                  <c:v>-0.15456969975050902</c:v>
                </c:pt>
                <c:pt idx="34">
                  <c:v>-4.1335216712512078E-2</c:v>
                </c:pt>
                <c:pt idx="35">
                  <c:v>-8.0600919947672697E-2</c:v>
                </c:pt>
                <c:pt idx="36">
                  <c:v>-0.13431950154706904</c:v>
                </c:pt>
                <c:pt idx="37">
                  <c:v>-0.10738608723852765</c:v>
                </c:pt>
                <c:pt idx="38">
                  <c:v>-0.58902747650036158</c:v>
                </c:pt>
                <c:pt idx="39">
                  <c:v>-0.88588163234055584</c:v>
                </c:pt>
                <c:pt idx="40">
                  <c:v>-0.75645613695715253</c:v>
                </c:pt>
                <c:pt idx="41">
                  <c:v>-0.50502186698838791</c:v>
                </c:pt>
                <c:pt idx="42">
                  <c:v>-0.44959584763861482</c:v>
                </c:pt>
                <c:pt idx="43">
                  <c:v>-0.56351236146632566</c:v>
                </c:pt>
                <c:pt idx="44">
                  <c:v>-0.51708799298311559</c:v>
                </c:pt>
                <c:pt idx="45">
                  <c:v>-0.70960957905091415</c:v>
                </c:pt>
                <c:pt idx="46">
                  <c:v>-0.70383869716944547</c:v>
                </c:pt>
                <c:pt idx="47">
                  <c:v>-0.43484646807729382</c:v>
                </c:pt>
                <c:pt idx="48">
                  <c:v>-0.32486290638464549</c:v>
                </c:pt>
                <c:pt idx="49">
                  <c:v>-0.24728643444298107</c:v>
                </c:pt>
                <c:pt idx="50">
                  <c:v>0.50326222417711308</c:v>
                </c:pt>
                <c:pt idx="51">
                  <c:v>4.610868835961087</c:v>
                </c:pt>
                <c:pt idx="52">
                  <c:v>2.2781307916335716</c:v>
                </c:pt>
                <c:pt idx="53">
                  <c:v>0.85265980135275121</c:v>
                </c:pt>
                <c:pt idx="54">
                  <c:v>0.6864440078585462</c:v>
                </c:pt>
                <c:pt idx="55">
                  <c:v>0.94483901515151514</c:v>
                </c:pt>
                <c:pt idx="56">
                  <c:v>0.84451219512195119</c:v>
                </c:pt>
                <c:pt idx="57">
                  <c:v>2.7363625744655997</c:v>
                </c:pt>
                <c:pt idx="58">
                  <c:v>2.0759361089290391</c:v>
                </c:pt>
                <c:pt idx="59">
                  <c:v>0.86290912044180945</c:v>
                </c:pt>
                <c:pt idx="60">
                  <c:v>7.2158967292769605E-2</c:v>
                </c:pt>
                <c:pt idx="61">
                  <c:v>0.16574152286714131</c:v>
                </c:pt>
                <c:pt idx="62">
                  <c:v>0.33302448063981271</c:v>
                </c:pt>
                <c:pt idx="63">
                  <c:v>0.64474470883654189</c:v>
                </c:pt>
                <c:pt idx="64">
                  <c:v>0.32092234381940798</c:v>
                </c:pt>
                <c:pt idx="65">
                  <c:v>7.485857124062624E-2</c:v>
                </c:pt>
                <c:pt idx="66">
                  <c:v>3.1017008387698042E-2</c:v>
                </c:pt>
                <c:pt idx="67">
                  <c:v>0.28600121728545341</c:v>
                </c:pt>
                <c:pt idx="68">
                  <c:v>0.17538245120450149</c:v>
                </c:pt>
                <c:pt idx="69">
                  <c:v>-1.3224122299684248E-2</c:v>
                </c:pt>
                <c:pt idx="70">
                  <c:v>0.16889418574955309</c:v>
                </c:pt>
                <c:pt idx="71">
                  <c:v>6.2254773737902169E-2</c:v>
                </c:pt>
                <c:pt idx="72">
                  <c:v>0.48721590909090912</c:v>
                </c:pt>
                <c:pt idx="73">
                  <c:v>0.15278712281972984</c:v>
                </c:pt>
                <c:pt idx="74">
                  <c:v>8.1360892628498258E-2</c:v>
                </c:pt>
                <c:pt idx="75">
                  <c:v>-4.3620501635768812E-2</c:v>
                </c:pt>
                <c:pt idx="76">
                  <c:v>-0.15585447875267502</c:v>
                </c:pt>
                <c:pt idx="77">
                  <c:v>-3.9228886168910647E-2</c:v>
                </c:pt>
                <c:pt idx="78">
                  <c:v>0.29202564899296629</c:v>
                </c:pt>
                <c:pt idx="79">
                  <c:v>-5.4119929954091532E-2</c:v>
                </c:pt>
                <c:pt idx="80">
                  <c:v>-7.5788402848423198E-2</c:v>
                </c:pt>
                <c:pt idx="81">
                  <c:v>-7.4958813838550242E-2</c:v>
                </c:pt>
                <c:pt idx="82">
                  <c:v>-3.3063870075012748E-2</c:v>
                </c:pt>
                <c:pt idx="83">
                  <c:v>-5.1300993187228104E-2</c:v>
                </c:pt>
                <c:pt idx="84">
                  <c:v>2.0739527902851686E-2</c:v>
                </c:pt>
                <c:pt idx="85">
                  <c:v>0.18282225115610828</c:v>
                </c:pt>
                <c:pt idx="86">
                  <c:v>1.3126289793294766E-2</c:v>
                </c:pt>
                <c:pt idx="87">
                  <c:v>0.16431014823261117</c:v>
                </c:pt>
                <c:pt idx="88">
                  <c:v>6.0879327828480372E-2</c:v>
                </c:pt>
                <c:pt idx="89">
                  <c:v>6.6532900184725144E-2</c:v>
                </c:pt>
                <c:pt idx="90">
                  <c:v>-0.30724327160628784</c:v>
                </c:pt>
                <c:pt idx="91">
                  <c:v>-0.13644892547096646</c:v>
                </c:pt>
                <c:pt idx="92">
                  <c:v>4.6521415390592118E-2</c:v>
                </c:pt>
                <c:pt idx="93">
                  <c:v>8.1135694225631896E-2</c:v>
                </c:pt>
                <c:pt idx="94">
                  <c:v>-1.7888077125856744E-2</c:v>
                </c:pt>
                <c:pt idx="95">
                  <c:v>7.0124589029243817E-2</c:v>
                </c:pt>
                <c:pt idx="96">
                  <c:v>-1.6486209508532728E-3</c:v>
                </c:pt>
                <c:pt idx="97">
                  <c:v>-0.17320174606187133</c:v>
                </c:pt>
                <c:pt idx="98">
                  <c:v>-9.6871139012254984E-2</c:v>
                </c:pt>
                <c:pt idx="99">
                  <c:v>-0.13217771684131494</c:v>
                </c:pt>
                <c:pt idx="100">
                  <c:v>3.8439217560509338E-2</c:v>
                </c:pt>
                <c:pt idx="101">
                  <c:v>-0.12357034072923821</c:v>
                </c:pt>
                <c:pt idx="102">
                  <c:v>0.10569336615539986</c:v>
                </c:pt>
                <c:pt idx="103">
                  <c:v>-2.0221919633803632E-2</c:v>
                </c:pt>
                <c:pt idx="104">
                  <c:v>-6.1962506960341522E-2</c:v>
                </c:pt>
                <c:pt idx="105">
                  <c:v>-0.11068520923749485</c:v>
                </c:pt>
                <c:pt idx="106">
                  <c:v>-2.1779976226082288E-2</c:v>
                </c:pt>
                <c:pt idx="107">
                  <c:v>-5.8859198771071673E-2</c:v>
                </c:pt>
              </c:numCache>
            </c:numRef>
          </c:yVal>
          <c:smooth val="0"/>
          <c:extLst>
            <c:ext xmlns:c16="http://schemas.microsoft.com/office/drawing/2014/chart" uri="{C3380CC4-5D6E-409C-BE32-E72D297353CC}">
              <c16:uniqueId val="{00000000-D803-4FF1-944A-8E1E6A84D6DA}"/>
            </c:ext>
          </c:extLst>
        </c:ser>
        <c:dLbls>
          <c:showLegendKey val="0"/>
          <c:showVal val="0"/>
          <c:showCatName val="0"/>
          <c:showSerName val="0"/>
          <c:showPercent val="0"/>
          <c:showBubbleSize val="0"/>
        </c:dLbls>
        <c:axId val="1207654463"/>
        <c:axId val="1308770159"/>
      </c:scatterChart>
      <c:valAx>
        <c:axId val="1207654463"/>
        <c:scaling>
          <c:orientation val="minMax"/>
          <c:min val="2017"/>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08770159"/>
        <c:crosses val="autoZero"/>
        <c:crossBetween val="midCat"/>
        <c:majorUnit val="1"/>
      </c:valAx>
      <c:valAx>
        <c:axId val="1308770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Breyting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2076544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Flug!$AQ$9</c:f>
              <c:strCache>
                <c:ptCount val="1"/>
                <c:pt idx="0">
                  <c:v>Hreyfingar</c:v>
                </c:pt>
              </c:strCache>
            </c:strRef>
          </c:tx>
          <c:spPr>
            <a:ln w="25400" cap="rnd">
              <a:noFill/>
              <a:round/>
            </a:ln>
            <a:effectLst/>
          </c:spPr>
          <c:marker>
            <c:symbol val="circle"/>
            <c:size val="5"/>
            <c:spPr>
              <a:solidFill>
                <a:schemeClr val="accent1"/>
              </a:solidFill>
              <a:ln w="9525">
                <a:solidFill>
                  <a:schemeClr val="accent1"/>
                </a:solidFill>
              </a:ln>
              <a:effectLst/>
            </c:spPr>
          </c:marker>
          <c:xVal>
            <c:numRef>
              <c:f>Flug!$AO$43:$AO$129</c:f>
              <c:numCache>
                <c:formatCode>General</c:formatCode>
                <c:ptCount val="87"/>
                <c:pt idx="0">
                  <c:v>2018.7499999999975</c:v>
                </c:pt>
                <c:pt idx="1">
                  <c:v>2018.8333333333308</c:v>
                </c:pt>
                <c:pt idx="2">
                  <c:v>2018.916666666664</c:v>
                </c:pt>
                <c:pt idx="3">
                  <c:v>2018.9999999999973</c:v>
                </c:pt>
                <c:pt idx="4">
                  <c:v>2019.0833333333305</c:v>
                </c:pt>
                <c:pt idx="5">
                  <c:v>2019.1666666666638</c:v>
                </c:pt>
                <c:pt idx="6">
                  <c:v>2019.249999999997</c:v>
                </c:pt>
                <c:pt idx="7">
                  <c:v>2019.3333333333303</c:v>
                </c:pt>
                <c:pt idx="8">
                  <c:v>2019.4166666666636</c:v>
                </c:pt>
                <c:pt idx="9">
                  <c:v>2019.4999999999968</c:v>
                </c:pt>
                <c:pt idx="10">
                  <c:v>2019.5833333333301</c:v>
                </c:pt>
                <c:pt idx="11">
                  <c:v>2019.6666666666633</c:v>
                </c:pt>
                <c:pt idx="12">
                  <c:v>2019.7499999999966</c:v>
                </c:pt>
                <c:pt idx="13">
                  <c:v>2019.8333333333298</c:v>
                </c:pt>
                <c:pt idx="14">
                  <c:v>2019.9166666666631</c:v>
                </c:pt>
                <c:pt idx="15">
                  <c:v>2019.9999999999964</c:v>
                </c:pt>
                <c:pt idx="16">
                  <c:v>2020.0833333333296</c:v>
                </c:pt>
                <c:pt idx="17">
                  <c:v>2020.1666666666629</c:v>
                </c:pt>
                <c:pt idx="18">
                  <c:v>2020.2499999999961</c:v>
                </c:pt>
                <c:pt idx="19">
                  <c:v>2020.3333333333294</c:v>
                </c:pt>
                <c:pt idx="20">
                  <c:v>2020.4166666666626</c:v>
                </c:pt>
                <c:pt idx="21">
                  <c:v>2020.4999999999959</c:v>
                </c:pt>
                <c:pt idx="22">
                  <c:v>2020.5833333333292</c:v>
                </c:pt>
                <c:pt idx="23">
                  <c:v>2020.6666666666624</c:v>
                </c:pt>
                <c:pt idx="24">
                  <c:v>2020.7499999999957</c:v>
                </c:pt>
                <c:pt idx="25">
                  <c:v>2020.8333333333289</c:v>
                </c:pt>
                <c:pt idx="26">
                  <c:v>2020.9166666666622</c:v>
                </c:pt>
                <c:pt idx="27">
                  <c:v>2020.9999999999955</c:v>
                </c:pt>
                <c:pt idx="28">
                  <c:v>2021.0833333333287</c:v>
                </c:pt>
                <c:pt idx="29">
                  <c:v>2021.166666666662</c:v>
                </c:pt>
                <c:pt idx="30">
                  <c:v>2021.2499999999952</c:v>
                </c:pt>
                <c:pt idx="31">
                  <c:v>2021.3333333333285</c:v>
                </c:pt>
                <c:pt idx="32">
                  <c:v>2021.4166666666617</c:v>
                </c:pt>
                <c:pt idx="33">
                  <c:v>2021.499999999995</c:v>
                </c:pt>
                <c:pt idx="34">
                  <c:v>2021.5833333333283</c:v>
                </c:pt>
                <c:pt idx="35">
                  <c:v>2021.6666666666615</c:v>
                </c:pt>
                <c:pt idx="36">
                  <c:v>2021.7499999999948</c:v>
                </c:pt>
                <c:pt idx="37">
                  <c:v>2021.833333333328</c:v>
                </c:pt>
                <c:pt idx="38">
                  <c:v>2021.9166666666613</c:v>
                </c:pt>
                <c:pt idx="39">
                  <c:v>2021.9999999999945</c:v>
                </c:pt>
                <c:pt idx="40">
                  <c:v>2022.0833333333278</c:v>
                </c:pt>
                <c:pt idx="41">
                  <c:v>2022.1666666666611</c:v>
                </c:pt>
                <c:pt idx="42">
                  <c:v>2022.2499999999943</c:v>
                </c:pt>
                <c:pt idx="43">
                  <c:v>2022.3333333333276</c:v>
                </c:pt>
                <c:pt idx="44">
                  <c:v>2022.4166666666608</c:v>
                </c:pt>
                <c:pt idx="45">
                  <c:v>2022.4999999999941</c:v>
                </c:pt>
                <c:pt idx="46">
                  <c:v>2022.5833333333273</c:v>
                </c:pt>
                <c:pt idx="47">
                  <c:v>2022.6666666666606</c:v>
                </c:pt>
                <c:pt idx="48">
                  <c:v>2022.7499999999939</c:v>
                </c:pt>
                <c:pt idx="49">
                  <c:v>2022.8333333333271</c:v>
                </c:pt>
                <c:pt idx="50">
                  <c:v>2022.9166666666604</c:v>
                </c:pt>
                <c:pt idx="51">
                  <c:v>2022.9999999999936</c:v>
                </c:pt>
                <c:pt idx="52">
                  <c:v>2023.0833333333269</c:v>
                </c:pt>
                <c:pt idx="53">
                  <c:v>2023.1666666666601</c:v>
                </c:pt>
                <c:pt idx="54">
                  <c:v>2023.2499999999934</c:v>
                </c:pt>
                <c:pt idx="55">
                  <c:v>2023.3333333333267</c:v>
                </c:pt>
                <c:pt idx="56">
                  <c:v>2023.4166666666599</c:v>
                </c:pt>
                <c:pt idx="57">
                  <c:v>2023.4999999999932</c:v>
                </c:pt>
                <c:pt idx="58">
                  <c:v>2023.5833333333264</c:v>
                </c:pt>
                <c:pt idx="59">
                  <c:v>2023.6666666666597</c:v>
                </c:pt>
                <c:pt idx="60">
                  <c:v>2023.749999999993</c:v>
                </c:pt>
                <c:pt idx="61">
                  <c:v>2023.8333333333262</c:v>
                </c:pt>
                <c:pt idx="62">
                  <c:v>2023.9166666666595</c:v>
                </c:pt>
                <c:pt idx="63">
                  <c:v>2023.9999999999927</c:v>
                </c:pt>
                <c:pt idx="64">
                  <c:v>2024.083333333326</c:v>
                </c:pt>
                <c:pt idx="65">
                  <c:v>2024.1666666666592</c:v>
                </c:pt>
                <c:pt idx="66">
                  <c:v>2024.2499999999925</c:v>
                </c:pt>
                <c:pt idx="67">
                  <c:v>2024.3333333333258</c:v>
                </c:pt>
                <c:pt idx="68">
                  <c:v>2024.416666666659</c:v>
                </c:pt>
                <c:pt idx="69">
                  <c:v>2024.4999999999923</c:v>
                </c:pt>
                <c:pt idx="70">
                  <c:v>2024.5833333333255</c:v>
                </c:pt>
                <c:pt idx="71">
                  <c:v>2024.6666666666588</c:v>
                </c:pt>
                <c:pt idx="72">
                  <c:v>2024.749999999992</c:v>
                </c:pt>
                <c:pt idx="73">
                  <c:v>2024.8333333333253</c:v>
                </c:pt>
                <c:pt idx="74">
                  <c:v>2024.9166666666586</c:v>
                </c:pt>
                <c:pt idx="75">
                  <c:v>2024.9999999999918</c:v>
                </c:pt>
                <c:pt idx="76">
                  <c:v>2025.0833333333251</c:v>
                </c:pt>
                <c:pt idx="77">
                  <c:v>2025.1666666666583</c:v>
                </c:pt>
                <c:pt idx="78">
                  <c:v>2025.2499999999916</c:v>
                </c:pt>
                <c:pt idx="79">
                  <c:v>2025.3333333333248</c:v>
                </c:pt>
                <c:pt idx="80">
                  <c:v>2025.4166666666581</c:v>
                </c:pt>
                <c:pt idx="81">
                  <c:v>2025.4999999999914</c:v>
                </c:pt>
                <c:pt idx="82">
                  <c:v>2025.5833333333246</c:v>
                </c:pt>
                <c:pt idx="83">
                  <c:v>2025.6666666666579</c:v>
                </c:pt>
                <c:pt idx="84">
                  <c:v>2025.7499999999911</c:v>
                </c:pt>
                <c:pt idx="85">
                  <c:v>2025.8333333333244</c:v>
                </c:pt>
                <c:pt idx="86">
                  <c:v>2025.9166666666576</c:v>
                </c:pt>
              </c:numCache>
            </c:numRef>
          </c:xVal>
          <c:yVal>
            <c:numRef>
              <c:f>Flug!$AQ$43:$AQ$129</c:f>
              <c:numCache>
                <c:formatCode>0.0%</c:formatCode>
                <c:ptCount val="87"/>
                <c:pt idx="0">
                  <c:v>-0.1236381644106966</c:v>
                </c:pt>
                <c:pt idx="1">
                  <c:v>0.1917989417989418</c:v>
                </c:pt>
                <c:pt idx="2">
                  <c:v>-0.26576895818568391</c:v>
                </c:pt>
                <c:pt idx="3">
                  <c:v>-2.2371364653243847E-3</c:v>
                </c:pt>
                <c:pt idx="4">
                  <c:v>0.8298453139217471</c:v>
                </c:pt>
                <c:pt idx="5">
                  <c:v>0.66102826619185395</c:v>
                </c:pt>
                <c:pt idx="6">
                  <c:v>-0.22402597402597402</c:v>
                </c:pt>
                <c:pt idx="7">
                  <c:v>0.3135609756097561</c:v>
                </c:pt>
                <c:pt idx="8">
                  <c:v>1.6680294358135731E-2</c:v>
                </c:pt>
                <c:pt idx="9">
                  <c:v>-8.5789705235371758E-2</c:v>
                </c:pt>
                <c:pt idx="10">
                  <c:v>-8.4347953645298512E-2</c:v>
                </c:pt>
                <c:pt idx="11">
                  <c:v>-0.22025447042640992</c:v>
                </c:pt>
                <c:pt idx="12">
                  <c:v>-0.15031079299303071</c:v>
                </c:pt>
                <c:pt idx="13">
                  <c:v>-2.8671846096929337E-2</c:v>
                </c:pt>
                <c:pt idx="14">
                  <c:v>-0.13481338481338481</c:v>
                </c:pt>
                <c:pt idx="15">
                  <c:v>-0.41278026905829596</c:v>
                </c:pt>
                <c:pt idx="16">
                  <c:v>-0.15116857284932869</c:v>
                </c:pt>
                <c:pt idx="17">
                  <c:v>-0.49175934610746347</c:v>
                </c:pt>
                <c:pt idx="18">
                  <c:v>-0.63319386331938632</c:v>
                </c:pt>
                <c:pt idx="19">
                  <c:v>-0.42498514557338085</c:v>
                </c:pt>
                <c:pt idx="20">
                  <c:v>-0.34775615248512143</c:v>
                </c:pt>
                <c:pt idx="21">
                  <c:v>-8.2451074751363485E-2</c:v>
                </c:pt>
                <c:pt idx="22">
                  <c:v>-0.26497917334187759</c:v>
                </c:pt>
                <c:pt idx="23">
                  <c:v>-0.22183020948180815</c:v>
                </c:pt>
                <c:pt idx="24">
                  <c:v>-0.39414763910441142</c:v>
                </c:pt>
                <c:pt idx="25">
                  <c:v>-0.56636831079794325</c:v>
                </c:pt>
                <c:pt idx="26">
                  <c:v>-0.11342506507995537</c:v>
                </c:pt>
                <c:pt idx="27">
                  <c:v>-6.7964872088583428E-2</c:v>
                </c:pt>
                <c:pt idx="28">
                  <c:v>-0.20123022847100175</c:v>
                </c:pt>
                <c:pt idx="29">
                  <c:v>0.10519377801212761</c:v>
                </c:pt>
                <c:pt idx="30">
                  <c:v>2.0095057034220534</c:v>
                </c:pt>
                <c:pt idx="31">
                  <c:v>1.0617411521570654</c:v>
                </c:pt>
                <c:pt idx="32">
                  <c:v>0.20394574599260173</c:v>
                </c:pt>
                <c:pt idx="33">
                  <c:v>-0.21713286713286714</c:v>
                </c:pt>
                <c:pt idx="34">
                  <c:v>5.2964254577157803E-2</c:v>
                </c:pt>
                <c:pt idx="35">
                  <c:v>9.3794275998866528E-2</c:v>
                </c:pt>
                <c:pt idx="36">
                  <c:v>0.70106110501280638</c:v>
                </c:pt>
                <c:pt idx="37">
                  <c:v>0.35265700483091789</c:v>
                </c:pt>
                <c:pt idx="38">
                  <c:v>0.15184563758389261</c:v>
                </c:pt>
                <c:pt idx="39">
                  <c:v>-0.24252355591970504</c:v>
                </c:pt>
                <c:pt idx="40">
                  <c:v>-7.4807480748074806E-2</c:v>
                </c:pt>
                <c:pt idx="41">
                  <c:v>-0.44036259541984735</c:v>
                </c:pt>
                <c:pt idx="42">
                  <c:v>-0.24552537376289746</c:v>
                </c:pt>
                <c:pt idx="43">
                  <c:v>-0.5524370379651673</c:v>
                </c:pt>
                <c:pt idx="44">
                  <c:v>-0.28000819336337568</c:v>
                </c:pt>
                <c:pt idx="45">
                  <c:v>-3.9973202322465387E-2</c:v>
                </c:pt>
                <c:pt idx="46">
                  <c:v>0.24197888635893189</c:v>
                </c:pt>
                <c:pt idx="47">
                  <c:v>0.32953367875647671</c:v>
                </c:pt>
                <c:pt idx="48">
                  <c:v>-5.2269305226930525E-2</c:v>
                </c:pt>
                <c:pt idx="49">
                  <c:v>-0.13928571428571429</c:v>
                </c:pt>
                <c:pt idx="50">
                  <c:v>3.9694100509832485E-2</c:v>
                </c:pt>
                <c:pt idx="51">
                  <c:v>0.53001622498647916</c:v>
                </c:pt>
                <c:pt idx="52">
                  <c:v>-0.25723345223939753</c:v>
                </c:pt>
                <c:pt idx="53">
                  <c:v>0.7996589940323956</c:v>
                </c:pt>
                <c:pt idx="54">
                  <c:v>-9.1543399385989391E-2</c:v>
                </c:pt>
                <c:pt idx="55">
                  <c:v>-0.32390817469204924</c:v>
                </c:pt>
                <c:pt idx="56">
                  <c:v>9.2745376955903278E-2</c:v>
                </c:pt>
                <c:pt idx="57">
                  <c:v>0.96720167480809494</c:v>
                </c:pt>
                <c:pt idx="58">
                  <c:v>-1.55E-2</c:v>
                </c:pt>
                <c:pt idx="59">
                  <c:v>-0.30650818394388152</c:v>
                </c:pt>
                <c:pt idx="60">
                  <c:v>-0.33885610531093963</c:v>
                </c:pt>
                <c:pt idx="61">
                  <c:v>8.4119200301772917E-2</c:v>
                </c:pt>
                <c:pt idx="62">
                  <c:v>-0.15131348511383538</c:v>
                </c:pt>
                <c:pt idx="63">
                  <c:v>-0.25344644750795337</c:v>
                </c:pt>
                <c:pt idx="64">
                  <c:v>0.56776947705442904</c:v>
                </c:pt>
                <c:pt idx="65">
                  <c:v>-0.1314542870677404</c:v>
                </c:pt>
                <c:pt idx="66">
                  <c:v>0.26912442396313363</c:v>
                </c:pt>
                <c:pt idx="67">
                  <c:v>0.36604554865424432</c:v>
                </c:pt>
                <c:pt idx="68">
                  <c:v>7.8365009112210365E-2</c:v>
                </c:pt>
                <c:pt idx="69">
                  <c:v>-0.59654723897363127</c:v>
                </c:pt>
                <c:pt idx="70">
                  <c:v>-0.17267648552564754</c:v>
                </c:pt>
                <c:pt idx="71">
                  <c:v>0.10845743186288283</c:v>
                </c:pt>
                <c:pt idx="72">
                  <c:v>9.7837281153450056E-2</c:v>
                </c:pt>
                <c:pt idx="73">
                  <c:v>0.16771050800278359</c:v>
                </c:pt>
                <c:pt idx="74">
                  <c:v>9.9050763516302098E-3</c:v>
                </c:pt>
                <c:pt idx="75">
                  <c:v>0.10227272727272728</c:v>
                </c:pt>
                <c:pt idx="76">
                  <c:v>-0.47174948944860451</c:v>
                </c:pt>
                <c:pt idx="77">
                  <c:v>-0.24734115080447233</c:v>
                </c:pt>
                <c:pt idx="78">
                  <c:v>-0.24473493100944083</c:v>
                </c:pt>
                <c:pt idx="79">
                  <c:v>0.11821764170960897</c:v>
                </c:pt>
                <c:pt idx="80">
                  <c:v>-0.24770642201834864</c:v>
                </c:pt>
                <c:pt idx="81">
                  <c:v>0.24003516998827668</c:v>
                </c:pt>
                <c:pt idx="82">
                  <c:v>-0.22488234090444034</c:v>
                </c:pt>
                <c:pt idx="83">
                  <c:v>-0.21520912547528517</c:v>
                </c:pt>
                <c:pt idx="84">
                  <c:v>-0.18699186991869918</c:v>
                </c:pt>
                <c:pt idx="85">
                  <c:v>5.8998808104886773E-2</c:v>
                </c:pt>
                <c:pt idx="86">
                  <c:v>-9.3583980384143853E-2</c:v>
                </c:pt>
              </c:numCache>
            </c:numRef>
          </c:yVal>
          <c:smooth val="0"/>
          <c:extLst>
            <c:ext xmlns:c16="http://schemas.microsoft.com/office/drawing/2014/chart" uri="{C3380CC4-5D6E-409C-BE32-E72D297353CC}">
              <c16:uniqueId val="{00000000-7340-4C4A-BDC6-697C1541513F}"/>
            </c:ext>
          </c:extLst>
        </c:ser>
        <c:dLbls>
          <c:showLegendKey val="0"/>
          <c:showVal val="0"/>
          <c:showCatName val="0"/>
          <c:showSerName val="0"/>
          <c:showPercent val="0"/>
          <c:showBubbleSize val="0"/>
        </c:dLbls>
        <c:axId val="1207654463"/>
        <c:axId val="1308770159"/>
      </c:scatterChart>
      <c:valAx>
        <c:axId val="1207654463"/>
        <c:scaling>
          <c:orientation val="minMax"/>
          <c:min val="2017"/>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308770159"/>
        <c:crosses val="autoZero"/>
        <c:crossBetween val="midCat"/>
        <c:majorUnit val="1"/>
      </c:valAx>
      <c:valAx>
        <c:axId val="1308770159"/>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2076544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3"/>
          <c:order val="0"/>
          <c:tx>
            <c:strRef>
              <c:f>Flug!$AE$4</c:f>
              <c:strCache>
                <c:ptCount val="1"/>
                <c:pt idx="0">
                  <c:v>Farþegar</c:v>
                </c:pt>
              </c:strCache>
            </c:strRef>
          </c:tx>
          <c:xVal>
            <c:numRef>
              <c:f>Flug!$U$5:$U$14</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xVal>
          <c:yVal>
            <c:numRef>
              <c:f>Flug!$AE$5:$AE$14</c:f>
              <c:numCache>
                <c:formatCode>#,##0</c:formatCode>
                <c:ptCount val="10"/>
                <c:pt idx="0">
                  <c:v>154074</c:v>
                </c:pt>
                <c:pt idx="1">
                  <c:v>156017</c:v>
                </c:pt>
                <c:pt idx="2">
                  <c:v>144444</c:v>
                </c:pt>
                <c:pt idx="3">
                  <c:v>138592</c:v>
                </c:pt>
                <c:pt idx="4">
                  <c:v>66619</c:v>
                </c:pt>
                <c:pt idx="5">
                  <c:v>92358</c:v>
                </c:pt>
                <c:pt idx="6">
                  <c:v>121660</c:v>
                </c:pt>
                <c:pt idx="7">
                  <c:v>127741</c:v>
                </c:pt>
                <c:pt idx="8">
                  <c:v>138661</c:v>
                </c:pt>
                <c:pt idx="9">
                  <c:v>128237</c:v>
                </c:pt>
              </c:numCache>
            </c:numRef>
          </c:yVal>
          <c:smooth val="0"/>
          <c:extLst>
            <c:ext xmlns:c16="http://schemas.microsoft.com/office/drawing/2014/chart" uri="{C3380CC4-5D6E-409C-BE32-E72D297353CC}">
              <c16:uniqueId val="{00000000-EAD7-4ED5-BC04-C6CBEE25C78E}"/>
            </c:ext>
          </c:extLst>
        </c:ser>
        <c:dLbls>
          <c:showLegendKey val="0"/>
          <c:showVal val="0"/>
          <c:showCatName val="0"/>
          <c:showSerName val="0"/>
          <c:showPercent val="0"/>
          <c:showBubbleSize val="0"/>
        </c:dLbls>
        <c:axId val="1210554703"/>
        <c:axId val="2085043807"/>
      </c:scatterChart>
      <c:scatterChart>
        <c:scatterStyle val="lineMarker"/>
        <c:varyColors val="0"/>
        <c:ser>
          <c:idx val="1"/>
          <c:order val="1"/>
          <c:tx>
            <c:strRef>
              <c:f>Flug!$AB$4</c:f>
              <c:strCache>
                <c:ptCount val="1"/>
                <c:pt idx="0">
                  <c:v>Hreyfingar</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Flug!$U$5:$U$14</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xVal>
          <c:yVal>
            <c:numRef>
              <c:f>Flug!$AB$5:$AB$14</c:f>
              <c:numCache>
                <c:formatCode>#,##0</c:formatCode>
                <c:ptCount val="10"/>
                <c:pt idx="0">
                  <c:v>28087</c:v>
                </c:pt>
                <c:pt idx="1">
                  <c:v>24184</c:v>
                </c:pt>
                <c:pt idx="2">
                  <c:v>21830</c:v>
                </c:pt>
                <c:pt idx="3">
                  <c:v>26979</c:v>
                </c:pt>
                <c:pt idx="4">
                  <c:v>15275</c:v>
                </c:pt>
                <c:pt idx="5">
                  <c:v>22090</c:v>
                </c:pt>
                <c:pt idx="6">
                  <c:v>13873</c:v>
                </c:pt>
                <c:pt idx="7">
                  <c:v>14595</c:v>
                </c:pt>
                <c:pt idx="8">
                  <c:v>16147</c:v>
                </c:pt>
                <c:pt idx="9">
                  <c:v>13449</c:v>
                </c:pt>
              </c:numCache>
            </c:numRef>
          </c:yVal>
          <c:smooth val="0"/>
          <c:extLst>
            <c:ext xmlns:c16="http://schemas.microsoft.com/office/drawing/2014/chart" uri="{C3380CC4-5D6E-409C-BE32-E72D297353CC}">
              <c16:uniqueId val="{00000001-EAD7-4ED5-BC04-C6CBEE25C78E}"/>
            </c:ext>
          </c:extLst>
        </c:ser>
        <c:dLbls>
          <c:showLegendKey val="0"/>
          <c:showVal val="0"/>
          <c:showCatName val="0"/>
          <c:showSerName val="0"/>
          <c:showPercent val="0"/>
          <c:showBubbleSize val="0"/>
        </c:dLbls>
        <c:axId val="1214364207"/>
        <c:axId val="1214363791"/>
      </c:scatterChart>
      <c:valAx>
        <c:axId val="1210554703"/>
        <c:scaling>
          <c:orientation val="minMax"/>
          <c:min val="2016"/>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2085043807"/>
        <c:crosses val="autoZero"/>
        <c:crossBetween val="midCat"/>
        <c:majorUnit val="1"/>
      </c:valAx>
      <c:valAx>
        <c:axId val="2085043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Farþegafjöldi</a:t>
                </a:r>
              </a:p>
            </c:rich>
          </c:tx>
          <c:overlay val="0"/>
          <c:spPr>
            <a:noFill/>
            <a:ln>
              <a:noFill/>
            </a:ln>
            <a:effectLst/>
          </c:sp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0554703"/>
        <c:crosses val="autoZero"/>
        <c:crossBetween val="midCat"/>
        <c:dispUnits>
          <c:custUnit val="1000"/>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dispUnitsLbl>
        </c:dispUnits>
      </c:valAx>
      <c:valAx>
        <c:axId val="1214363791"/>
        <c:scaling>
          <c:orientation val="minMax"/>
        </c:scaling>
        <c:delete val="0"/>
        <c:axPos val="r"/>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Hreyfingar</a:t>
                </a:r>
              </a:p>
            </c:rich>
          </c:tx>
          <c:layout>
            <c:manualLayout>
              <c:xMode val="edge"/>
              <c:yMode val="edge"/>
              <c:x val="0.93371911937238805"/>
              <c:y val="0.25117040661393469"/>
            </c:manualLayout>
          </c:layout>
          <c:overlay val="0"/>
          <c:spPr>
            <a:noFill/>
            <a:ln>
              <a:noFill/>
            </a:ln>
            <a:effectLst/>
          </c:spPr>
        </c:title>
        <c:numFmt formatCode="#,##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4364207"/>
        <c:crosses val="max"/>
        <c:crossBetween val="midCat"/>
        <c:dispUnits>
          <c:custUnit val="1000"/>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dispUnitsLbl>
        </c:dispUnits>
      </c:valAx>
      <c:valAx>
        <c:axId val="1214364207"/>
        <c:scaling>
          <c:orientation val="minMax"/>
        </c:scaling>
        <c:delete val="1"/>
        <c:axPos val="b"/>
        <c:numFmt formatCode="General" sourceLinked="1"/>
        <c:majorTickMark val="out"/>
        <c:minorTickMark val="none"/>
        <c:tickLblPos val="nextTo"/>
        <c:crossAx val="1214363791"/>
        <c:crosses val="autoZero"/>
        <c:crossBetween val="midCat"/>
      </c:valAx>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Flug!$AE$4</c:f>
              <c:strCache>
                <c:ptCount val="1"/>
                <c:pt idx="0">
                  <c:v>Farþegar</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Flug!$U$17:$U$25</c:f>
              <c:numCache>
                <c:formatCode>General</c:formatCode>
                <c:ptCount val="9"/>
                <c:pt idx="0">
                  <c:v>2017</c:v>
                </c:pt>
                <c:pt idx="1">
                  <c:v>2018</c:v>
                </c:pt>
                <c:pt idx="2">
                  <c:v>2019</c:v>
                </c:pt>
                <c:pt idx="3">
                  <c:v>2020</c:v>
                </c:pt>
                <c:pt idx="4">
                  <c:v>2021</c:v>
                </c:pt>
                <c:pt idx="5">
                  <c:v>2022</c:v>
                </c:pt>
                <c:pt idx="6">
                  <c:v>2023</c:v>
                </c:pt>
                <c:pt idx="7">
                  <c:v>2024</c:v>
                </c:pt>
                <c:pt idx="8">
                  <c:v>2025</c:v>
                </c:pt>
              </c:numCache>
            </c:numRef>
          </c:xVal>
          <c:yVal>
            <c:numRef>
              <c:f>Flug!$AE$17:$AE$25</c:f>
              <c:numCache>
                <c:formatCode>0.0%</c:formatCode>
                <c:ptCount val="9"/>
                <c:pt idx="0">
                  <c:v>1.2610823370588159E-2</c:v>
                </c:pt>
                <c:pt idx="1">
                  <c:v>-7.4177813956171443E-2</c:v>
                </c:pt>
                <c:pt idx="2">
                  <c:v>-4.0513970812217887E-2</c:v>
                </c:pt>
                <c:pt idx="3">
                  <c:v>-0.51931568921727089</c:v>
                </c:pt>
                <c:pt idx="4">
                  <c:v>0.38636124829252916</c:v>
                </c:pt>
                <c:pt idx="5">
                  <c:v>0.31726542367742916</c:v>
                </c:pt>
                <c:pt idx="6">
                  <c:v>4.9983560743054413E-2</c:v>
                </c:pt>
                <c:pt idx="7">
                  <c:v>8.5485474514838622E-2</c:v>
                </c:pt>
                <c:pt idx="8">
                  <c:v>-7.5176149025320743E-2</c:v>
                </c:pt>
              </c:numCache>
            </c:numRef>
          </c:yVal>
          <c:smooth val="0"/>
          <c:extLst>
            <c:ext xmlns:c16="http://schemas.microsoft.com/office/drawing/2014/chart" uri="{C3380CC4-5D6E-409C-BE32-E72D297353CC}">
              <c16:uniqueId val="{00000000-1448-4E89-B406-416A3ED3F5E3}"/>
            </c:ext>
          </c:extLst>
        </c:ser>
        <c:dLbls>
          <c:showLegendKey val="0"/>
          <c:showVal val="0"/>
          <c:showCatName val="0"/>
          <c:showSerName val="0"/>
          <c:showPercent val="0"/>
          <c:showBubbleSize val="0"/>
        </c:dLbls>
        <c:axId val="1210554703"/>
        <c:axId val="2085043807"/>
      </c:scatterChart>
      <c:scatterChart>
        <c:scatterStyle val="lineMarker"/>
        <c:varyColors val="0"/>
        <c:ser>
          <c:idx val="1"/>
          <c:order val="1"/>
          <c:tx>
            <c:strRef>
              <c:f>Flug!$AB$4</c:f>
              <c:strCache>
                <c:ptCount val="1"/>
                <c:pt idx="0">
                  <c:v>Hreyfingar</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Flug!$U$17:$U$25</c:f>
              <c:numCache>
                <c:formatCode>General</c:formatCode>
                <c:ptCount val="9"/>
                <c:pt idx="0">
                  <c:v>2017</c:v>
                </c:pt>
                <c:pt idx="1">
                  <c:v>2018</c:v>
                </c:pt>
                <c:pt idx="2">
                  <c:v>2019</c:v>
                </c:pt>
                <c:pt idx="3">
                  <c:v>2020</c:v>
                </c:pt>
                <c:pt idx="4">
                  <c:v>2021</c:v>
                </c:pt>
                <c:pt idx="5">
                  <c:v>2022</c:v>
                </c:pt>
                <c:pt idx="6">
                  <c:v>2023</c:v>
                </c:pt>
                <c:pt idx="7">
                  <c:v>2024</c:v>
                </c:pt>
                <c:pt idx="8">
                  <c:v>2025</c:v>
                </c:pt>
              </c:numCache>
            </c:numRef>
          </c:xVal>
          <c:yVal>
            <c:numRef>
              <c:f>Flug!$AB$17:$AB$25</c:f>
              <c:numCache>
                <c:formatCode>0.0%</c:formatCode>
                <c:ptCount val="9"/>
                <c:pt idx="0">
                  <c:v>-0.13896108519955852</c:v>
                </c:pt>
                <c:pt idx="1">
                  <c:v>-9.7337082368508104E-2</c:v>
                </c:pt>
                <c:pt idx="2">
                  <c:v>0.2358680714612918</c:v>
                </c:pt>
                <c:pt idx="3">
                  <c:v>-0.43381889617850922</c:v>
                </c:pt>
                <c:pt idx="4">
                  <c:v>0.44615384615384618</c:v>
                </c:pt>
                <c:pt idx="5">
                  <c:v>-0.37197827071072881</c:v>
                </c:pt>
                <c:pt idx="6">
                  <c:v>5.2043537807251496E-2</c:v>
                </c:pt>
                <c:pt idx="7">
                  <c:v>0.10633778691332649</c:v>
                </c:pt>
                <c:pt idx="8">
                  <c:v>-0.16708986189385025</c:v>
                </c:pt>
              </c:numCache>
            </c:numRef>
          </c:yVal>
          <c:smooth val="0"/>
          <c:extLst>
            <c:ext xmlns:c16="http://schemas.microsoft.com/office/drawing/2014/chart" uri="{C3380CC4-5D6E-409C-BE32-E72D297353CC}">
              <c16:uniqueId val="{00000001-1448-4E89-B406-416A3ED3F5E3}"/>
            </c:ext>
          </c:extLst>
        </c:ser>
        <c:dLbls>
          <c:showLegendKey val="0"/>
          <c:showVal val="0"/>
          <c:showCatName val="0"/>
          <c:showSerName val="0"/>
          <c:showPercent val="0"/>
          <c:showBubbleSize val="0"/>
        </c:dLbls>
        <c:axId val="1214364207"/>
        <c:axId val="1214363791"/>
      </c:scatterChart>
      <c:valAx>
        <c:axId val="1210554703"/>
        <c:scaling>
          <c:orientation val="minMax"/>
          <c:max val="2026"/>
          <c:min val="2016"/>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is-IS"/>
          </a:p>
        </c:txPr>
        <c:crossAx val="2085043807"/>
        <c:crosses val="autoZero"/>
        <c:crossBetween val="midCat"/>
        <c:majorUnit val="1"/>
      </c:valAx>
      <c:valAx>
        <c:axId val="2085043807"/>
        <c:scaling>
          <c:orientation val="minMax"/>
          <c:max val="0.5500000000000000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Farþegafjöldi</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is-I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0554703"/>
        <c:crosses val="autoZero"/>
        <c:crossBetween val="midCat"/>
      </c:valAx>
      <c:valAx>
        <c:axId val="1214363791"/>
        <c:scaling>
          <c:orientation val="minMax"/>
          <c:max val="0.5"/>
          <c:min val="-0.60000000000000009"/>
        </c:scaling>
        <c:delete val="0"/>
        <c:axPos val="r"/>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is-IS" sz="1400"/>
                  <a:t>Hreyfingar</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is-IS"/>
            </a:p>
          </c:txPr>
        </c:title>
        <c:numFmt formatCod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s-IS"/>
          </a:p>
        </c:txPr>
        <c:crossAx val="1214364207"/>
        <c:crosses val="max"/>
        <c:crossBetween val="midCat"/>
      </c:valAx>
      <c:valAx>
        <c:axId val="1214364207"/>
        <c:scaling>
          <c:orientation val="minMax"/>
        </c:scaling>
        <c:delete val="1"/>
        <c:axPos val="b"/>
        <c:numFmt formatCode="General" sourceLinked="1"/>
        <c:majorTickMark val="out"/>
        <c:minorTickMark val="none"/>
        <c:tickLblPos val="nextTo"/>
        <c:crossAx val="121436379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Skip!$C$3</c:f>
          <c:strCache>
            <c:ptCount val="1"/>
            <c:pt idx="0">
              <c:v>Sundahöfn</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0"/>
          <c:order val="0"/>
          <c:tx>
            <c:strRef>
              <c:f>Skip!$A$9</c:f>
              <c:strCache>
                <c:ptCount val="1"/>
                <c:pt idx="0">
                  <c:v>2016</c:v>
                </c:pt>
              </c:strCache>
            </c:strRef>
          </c:tx>
          <c:spPr>
            <a:solidFill>
              <a:schemeClr val="accent1"/>
            </a:solidFill>
            <a:ln>
              <a:noFill/>
            </a:ln>
            <a:effectLst/>
          </c:spPr>
          <c:invertIfNegative val="0"/>
          <c:cat>
            <c:strRef>
              <c:extLst>
                <c:ext xmlns:c15="http://schemas.microsoft.com/office/drawing/2012/chart" uri="{02D57815-91ED-43cb-92C2-25804820EDAC}">
                  <c15:fullRef>
                    <c15:sqref>Skip!$B$9:$B$20</c15:sqref>
                  </c15:fullRef>
                </c:ext>
              </c:extLst>
              <c:f>(Skip!$B$13,Skip!$B$16,Skip!$B$18:$B$20)</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Skip!$G$9:$G$20</c15:sqref>
                  </c15:fullRef>
                </c:ext>
              </c:extLst>
              <c:f>(Skip!$G$13,Skip!$G$16,Skip!$G$18:$G$20)</c:f>
              <c:numCache>
                <c:formatCode>#,##0</c:formatCode>
                <c:ptCount val="5"/>
                <c:pt idx="0">
                  <c:v>10253.903232000001</c:v>
                </c:pt>
                <c:pt idx="1">
                  <c:v>12626.697</c:v>
                </c:pt>
                <c:pt idx="2">
                  <c:v>2064.4776000000002</c:v>
                </c:pt>
                <c:pt idx="3">
                  <c:v>0</c:v>
                </c:pt>
                <c:pt idx="4">
                  <c:v>788.88250000000005</c:v>
                </c:pt>
              </c:numCache>
            </c:numRef>
          </c:val>
          <c:extLst>
            <c:ext xmlns:c16="http://schemas.microsoft.com/office/drawing/2014/chart" uri="{C3380CC4-5D6E-409C-BE32-E72D297353CC}">
              <c16:uniqueId val="{00000000-96EF-43D6-AB67-90EF2798FF25}"/>
            </c:ext>
          </c:extLst>
        </c:ser>
        <c:ser>
          <c:idx val="1"/>
          <c:order val="1"/>
          <c:tx>
            <c:strRef>
              <c:f>Skip!$A$22</c:f>
              <c:strCache>
                <c:ptCount val="1"/>
                <c:pt idx="0">
                  <c:v>2017</c:v>
                </c:pt>
              </c:strCache>
            </c:strRef>
          </c:tx>
          <c:spPr>
            <a:solidFill>
              <a:schemeClr val="accent2"/>
            </a:solidFill>
            <a:ln>
              <a:noFill/>
            </a:ln>
            <a:effectLst/>
          </c:spPr>
          <c:invertIfNegative val="0"/>
          <c:cat>
            <c:strRef>
              <c:extLst>
                <c:ext xmlns:c15="http://schemas.microsoft.com/office/drawing/2012/chart" uri="{02D57815-91ED-43cb-92C2-25804820EDAC}">
                  <c15:fullRef>
                    <c15:sqref>Skip!$B$9:$B$20</c15:sqref>
                  </c15:fullRef>
                </c:ext>
              </c:extLst>
              <c:f>(Skip!$B$13,Skip!$B$16,Skip!$B$18:$B$20)</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Skip!$G$22:$G$33</c15:sqref>
                  </c15:fullRef>
                </c:ext>
              </c:extLst>
              <c:f>(Skip!$G$26,Skip!$G$29,Skip!$G$31:$G$33)</c:f>
              <c:numCache>
                <c:formatCode>#,##0</c:formatCode>
                <c:ptCount val="5"/>
                <c:pt idx="0">
                  <c:v>12544.778778</c:v>
                </c:pt>
                <c:pt idx="1">
                  <c:v>10610.726000000001</c:v>
                </c:pt>
                <c:pt idx="2">
                  <c:v>2103.1581999999999</c:v>
                </c:pt>
                <c:pt idx="3">
                  <c:v>0</c:v>
                </c:pt>
                <c:pt idx="4">
                  <c:v>652.22568000000001</c:v>
                </c:pt>
              </c:numCache>
            </c:numRef>
          </c:val>
          <c:extLst>
            <c:ext xmlns:c16="http://schemas.microsoft.com/office/drawing/2014/chart" uri="{C3380CC4-5D6E-409C-BE32-E72D297353CC}">
              <c16:uniqueId val="{00000001-96EF-43D6-AB67-90EF2798FF25}"/>
            </c:ext>
          </c:extLst>
        </c:ser>
        <c:ser>
          <c:idx val="2"/>
          <c:order val="2"/>
          <c:tx>
            <c:strRef>
              <c:f>Skip!$A$35</c:f>
              <c:strCache>
                <c:ptCount val="1"/>
                <c:pt idx="0">
                  <c:v>2018</c:v>
                </c:pt>
              </c:strCache>
            </c:strRef>
          </c:tx>
          <c:spPr>
            <a:solidFill>
              <a:schemeClr val="accent3"/>
            </a:solidFill>
            <a:ln>
              <a:noFill/>
            </a:ln>
            <a:effectLst/>
          </c:spPr>
          <c:invertIfNegative val="0"/>
          <c:cat>
            <c:strRef>
              <c:extLst>
                <c:ext xmlns:c15="http://schemas.microsoft.com/office/drawing/2012/chart" uri="{02D57815-91ED-43cb-92C2-25804820EDAC}">
                  <c15:fullRef>
                    <c15:sqref>Skip!$B$9:$B$20</c15:sqref>
                  </c15:fullRef>
                </c:ext>
              </c:extLst>
              <c:f>(Skip!$B$13,Skip!$B$16,Skip!$B$18:$B$20)</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Skip!$G$35:$G$46</c15:sqref>
                  </c15:fullRef>
                </c:ext>
              </c:extLst>
              <c:f>(Skip!$G$39,Skip!$G$42,Skip!$G$44:$G$46)</c:f>
              <c:numCache>
                <c:formatCode>#,##0</c:formatCode>
                <c:ptCount val="5"/>
                <c:pt idx="0">
                  <c:v>13457.445100000001</c:v>
                </c:pt>
                <c:pt idx="1">
                  <c:v>12441.867553</c:v>
                </c:pt>
                <c:pt idx="2">
                  <c:v>1992.0116</c:v>
                </c:pt>
                <c:pt idx="3">
                  <c:v>0</c:v>
                </c:pt>
                <c:pt idx="4">
                  <c:v>825.88745999999992</c:v>
                </c:pt>
              </c:numCache>
            </c:numRef>
          </c:val>
          <c:extLst>
            <c:ext xmlns:c16="http://schemas.microsoft.com/office/drawing/2014/chart" uri="{C3380CC4-5D6E-409C-BE32-E72D297353CC}">
              <c16:uniqueId val="{00000002-96EF-43D6-AB67-90EF2798FF25}"/>
            </c:ext>
          </c:extLst>
        </c:ser>
        <c:ser>
          <c:idx val="3"/>
          <c:order val="3"/>
          <c:tx>
            <c:strRef>
              <c:f>Skip!$A$48</c:f>
              <c:strCache>
                <c:ptCount val="1"/>
                <c:pt idx="0">
                  <c:v>2019</c:v>
                </c:pt>
              </c:strCache>
            </c:strRef>
          </c:tx>
          <c:spPr>
            <a:solidFill>
              <a:schemeClr val="accent4"/>
            </a:solidFill>
            <a:ln>
              <a:noFill/>
            </a:ln>
            <a:effectLst/>
          </c:spPr>
          <c:invertIfNegative val="0"/>
          <c:cat>
            <c:strRef>
              <c:extLst>
                <c:ext xmlns:c15="http://schemas.microsoft.com/office/drawing/2012/chart" uri="{02D57815-91ED-43cb-92C2-25804820EDAC}">
                  <c15:fullRef>
                    <c15:sqref>Skip!$B$9:$B$20</c15:sqref>
                  </c15:fullRef>
                </c:ext>
              </c:extLst>
              <c:f>(Skip!$B$13,Skip!$B$16,Skip!$B$18:$B$20)</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Skip!$G$48:$G$59</c15:sqref>
                  </c15:fullRef>
                </c:ext>
              </c:extLst>
              <c:f>(Skip!$G$52,Skip!$G$55,Skip!$G$57:$G$59)</c:f>
              <c:numCache>
                <c:formatCode>#,##0</c:formatCode>
                <c:ptCount val="5"/>
                <c:pt idx="0">
                  <c:v>17861.026180000001</c:v>
                </c:pt>
                <c:pt idx="1">
                  <c:v>16966.674899999998</c:v>
                </c:pt>
                <c:pt idx="2">
                  <c:v>1880.8135</c:v>
                </c:pt>
                <c:pt idx="3">
                  <c:v>0</c:v>
                </c:pt>
                <c:pt idx="4">
                  <c:v>151.53954999999999</c:v>
                </c:pt>
              </c:numCache>
            </c:numRef>
          </c:val>
          <c:extLst>
            <c:ext xmlns:c16="http://schemas.microsoft.com/office/drawing/2014/chart" uri="{C3380CC4-5D6E-409C-BE32-E72D297353CC}">
              <c16:uniqueId val="{00000003-96EF-43D6-AB67-90EF2798FF25}"/>
            </c:ext>
          </c:extLst>
        </c:ser>
        <c:ser>
          <c:idx val="4"/>
          <c:order val="4"/>
          <c:tx>
            <c:strRef>
              <c:f>Skip!$A$61</c:f>
              <c:strCache>
                <c:ptCount val="1"/>
                <c:pt idx="0">
                  <c:v>2020</c:v>
                </c:pt>
              </c:strCache>
            </c:strRef>
          </c:tx>
          <c:spPr>
            <a:solidFill>
              <a:schemeClr val="accent5"/>
            </a:solidFill>
            <a:ln>
              <a:noFill/>
            </a:ln>
            <a:effectLst/>
          </c:spPr>
          <c:invertIfNegative val="0"/>
          <c:cat>
            <c:strRef>
              <c:extLst>
                <c:ext xmlns:c15="http://schemas.microsoft.com/office/drawing/2012/chart" uri="{02D57815-91ED-43cb-92C2-25804820EDAC}">
                  <c15:fullRef>
                    <c15:sqref>Skip!$B$9:$B$20</c15:sqref>
                  </c15:fullRef>
                </c:ext>
              </c:extLst>
              <c:f>(Skip!$B$13,Skip!$B$16,Skip!$B$18:$B$20)</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Skip!$G$61:$G$72</c15:sqref>
                  </c15:fullRef>
                </c:ext>
              </c:extLst>
              <c:f>(Skip!$G$65,Skip!$G$68,Skip!$G$70:$G$72)</c:f>
              <c:numCache>
                <c:formatCode>#,##0</c:formatCode>
                <c:ptCount val="5"/>
                <c:pt idx="0">
                  <c:v>20502.696624</c:v>
                </c:pt>
                <c:pt idx="1">
                  <c:v>320.66964200000001</c:v>
                </c:pt>
                <c:pt idx="2">
                  <c:v>4792.3062</c:v>
                </c:pt>
                <c:pt idx="3">
                  <c:v>0</c:v>
                </c:pt>
                <c:pt idx="4">
                  <c:v>178.68713</c:v>
                </c:pt>
              </c:numCache>
            </c:numRef>
          </c:val>
          <c:extLst>
            <c:ext xmlns:c16="http://schemas.microsoft.com/office/drawing/2014/chart" uri="{C3380CC4-5D6E-409C-BE32-E72D297353CC}">
              <c16:uniqueId val="{00000004-96EF-43D6-AB67-90EF2798FF25}"/>
            </c:ext>
          </c:extLst>
        </c:ser>
        <c:ser>
          <c:idx val="5"/>
          <c:order val="5"/>
          <c:tx>
            <c:strRef>
              <c:f>Skip!$A$74</c:f>
              <c:strCache>
                <c:ptCount val="1"/>
                <c:pt idx="0">
                  <c:v>2021</c:v>
                </c:pt>
              </c:strCache>
            </c:strRef>
          </c:tx>
          <c:spPr>
            <a:solidFill>
              <a:schemeClr val="accent6"/>
            </a:solidFill>
            <a:ln>
              <a:noFill/>
            </a:ln>
            <a:effectLst/>
          </c:spPr>
          <c:invertIfNegative val="0"/>
          <c:cat>
            <c:strLit>
              <c:ptCount val="5"/>
              <c:pt idx="0">
                <c:v>Flutningaskip</c:v>
              </c:pt>
              <c:pt idx="1">
                <c:v>Farþegaskip</c:v>
              </c:pt>
              <c:pt idx="2">
                <c:v>Fiskiskip</c:v>
              </c:pt>
              <c:pt idx="3">
                <c:v>Hvalaskoðunarskip</c:v>
              </c:pt>
              <c:pt idx="4">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Skip!$G$74:$G$85</c15:sqref>
                  </c15:fullRef>
                </c:ext>
              </c:extLst>
              <c:f>(Skip!$G$78,Skip!$G$81,Skip!$G$83:$G$85)</c:f>
              <c:numCache>
                <c:formatCode>#,##0</c:formatCode>
                <c:ptCount val="5"/>
                <c:pt idx="0">
                  <c:v>15998</c:v>
                </c:pt>
                <c:pt idx="1">
                  <c:v>4880</c:v>
                </c:pt>
                <c:pt idx="2">
                  <c:v>3720</c:v>
                </c:pt>
                <c:pt idx="3">
                  <c:v>0</c:v>
                </c:pt>
                <c:pt idx="4">
                  <c:v>300</c:v>
                </c:pt>
              </c:numCache>
            </c:numRef>
          </c:val>
          <c:extLst>
            <c:ext xmlns:c16="http://schemas.microsoft.com/office/drawing/2014/chart" uri="{C3380CC4-5D6E-409C-BE32-E72D297353CC}">
              <c16:uniqueId val="{00000001-59FF-4ECD-AC24-9D973925B392}"/>
            </c:ext>
          </c:extLst>
        </c:ser>
        <c:dLbls>
          <c:showLegendKey val="0"/>
          <c:showVal val="0"/>
          <c:showCatName val="0"/>
          <c:showSerName val="0"/>
          <c:showPercent val="0"/>
          <c:showBubbleSize val="0"/>
        </c:dLbls>
        <c:gapWidth val="150"/>
        <c:axId val="2085961695"/>
        <c:axId val="2085971999"/>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Losun (tonn</a:t>
                </a:r>
                <a:r>
                  <a:rPr lang="is-IS" baseline="0"/>
                  <a:t> CO</a:t>
                </a:r>
                <a:r>
                  <a:rPr lang="is-IS" baseline="-25000"/>
                  <a:t>2</a:t>
                </a:r>
                <a:r>
                  <a:rPr lang="is-IS" baseline="0"/>
                  <a:t> ígilda)</a:t>
                </a:r>
                <a:endParaRPr lang="is-I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spPr>
        <a:noFill/>
        <a:ln>
          <a:noFill/>
        </a:ln>
        <a:effectLst/>
      </c:spPr>
    </c:plotArea>
    <c:legend>
      <c:legendPos val="r"/>
      <c:layout>
        <c:manualLayout>
          <c:xMode val="edge"/>
          <c:yMode val="edge"/>
          <c:x val="0.88625864464223014"/>
          <c:y val="0.21210272468625674"/>
          <c:w val="9.3331287844683683E-2"/>
          <c:h val="0.4982956283297157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Skip!$C$3</c:f>
          <c:strCache>
            <c:ptCount val="1"/>
            <c:pt idx="0">
              <c:v>Sundahöfn</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0"/>
          <c:order val="0"/>
          <c:tx>
            <c:strRef>
              <c:f>Skip!$A$9</c:f>
              <c:strCache>
                <c:ptCount val="1"/>
                <c:pt idx="0">
                  <c:v>2016</c:v>
                </c:pt>
              </c:strCache>
            </c:strRef>
          </c:tx>
          <c:spPr>
            <a:solidFill>
              <a:schemeClr val="accent1"/>
            </a:solidFill>
            <a:ln>
              <a:noFill/>
            </a:ln>
            <a:effectLst/>
          </c:spPr>
          <c:invertIfNegative val="0"/>
          <c:cat>
            <c:strRef>
              <c:extLst>
                <c:ext xmlns:c15="http://schemas.microsoft.com/office/drawing/2012/chart" uri="{02D57815-91ED-43cb-92C2-25804820EDAC}">
                  <c15:fullRef>
                    <c15:sqref>Skip!$B$9:$B$20</c15:sqref>
                  </c15:fullRef>
                </c:ext>
              </c:extLst>
              <c:f>(Skip!$B$13,Skip!$B$16,Skip!$B$19:$B$20)</c:f>
              <c:strCache>
                <c:ptCount val="4"/>
                <c:pt idx="0">
                  <c:v>Flutningaskip</c:v>
                </c:pt>
                <c:pt idx="1">
                  <c:v>Farþegaskip</c:v>
                </c:pt>
                <c:pt idx="2">
                  <c:v>Hvalaskoðunarskip</c:v>
                </c:pt>
                <c:pt idx="3">
                  <c:v>Önnur skip</c:v>
                </c:pt>
              </c:strCache>
            </c:strRef>
          </c:cat>
          <c:val>
            <c:numRef>
              <c:extLst>
                <c:ext xmlns:c15="http://schemas.microsoft.com/office/drawing/2012/chart" uri="{02D57815-91ED-43cb-92C2-25804820EDAC}">
                  <c15:fullRef>
                    <c15:sqref>Skip!$I$9:$I$20</c15:sqref>
                  </c15:fullRef>
                </c:ext>
              </c:extLst>
              <c:f>(Skip!$I$13,Skip!$I$16,Skip!$I$19:$I$20)</c:f>
              <c:numCache>
                <c:formatCode>#,##0</c:formatCode>
                <c:ptCount val="4"/>
                <c:pt idx="0">
                  <c:v>386</c:v>
                </c:pt>
                <c:pt idx="1">
                  <c:v>62</c:v>
                </c:pt>
                <c:pt idx="2">
                  <c:v>0</c:v>
                </c:pt>
                <c:pt idx="3">
                  <c:v>30</c:v>
                </c:pt>
              </c:numCache>
            </c:numRef>
          </c:val>
          <c:extLst>
            <c:ext xmlns:c16="http://schemas.microsoft.com/office/drawing/2014/chart" uri="{C3380CC4-5D6E-409C-BE32-E72D297353CC}">
              <c16:uniqueId val="{00000000-08E6-4CF1-BFB7-1824A9F93CF1}"/>
            </c:ext>
          </c:extLst>
        </c:ser>
        <c:ser>
          <c:idx val="1"/>
          <c:order val="1"/>
          <c:tx>
            <c:strRef>
              <c:f>Skip!$A$22</c:f>
              <c:strCache>
                <c:ptCount val="1"/>
                <c:pt idx="0">
                  <c:v>2017</c:v>
                </c:pt>
              </c:strCache>
            </c:strRef>
          </c:tx>
          <c:spPr>
            <a:solidFill>
              <a:schemeClr val="accent2"/>
            </a:solidFill>
            <a:ln>
              <a:noFill/>
            </a:ln>
            <a:effectLst/>
          </c:spPr>
          <c:invertIfNegative val="0"/>
          <c:cat>
            <c:strRef>
              <c:extLst>
                <c:ext xmlns:c15="http://schemas.microsoft.com/office/drawing/2012/chart" uri="{02D57815-91ED-43cb-92C2-25804820EDAC}">
                  <c15:fullRef>
                    <c15:sqref>Skip!$B$9:$B$20</c15:sqref>
                  </c15:fullRef>
                </c:ext>
              </c:extLst>
              <c:f>(Skip!$B$13,Skip!$B$16,Skip!$B$19:$B$20)</c:f>
              <c:strCache>
                <c:ptCount val="4"/>
                <c:pt idx="0">
                  <c:v>Flutningaskip</c:v>
                </c:pt>
                <c:pt idx="1">
                  <c:v>Farþegaskip</c:v>
                </c:pt>
                <c:pt idx="2">
                  <c:v>Hvalaskoðunarskip</c:v>
                </c:pt>
                <c:pt idx="3">
                  <c:v>Önnur skip</c:v>
                </c:pt>
              </c:strCache>
            </c:strRef>
          </c:cat>
          <c:val>
            <c:numRef>
              <c:extLst>
                <c:ext xmlns:c15="http://schemas.microsoft.com/office/drawing/2012/chart" uri="{02D57815-91ED-43cb-92C2-25804820EDAC}">
                  <c15:fullRef>
                    <c15:sqref>Skip!$I$22:$I$33</c15:sqref>
                  </c15:fullRef>
                </c:ext>
              </c:extLst>
              <c:f>(Skip!$I$26,Skip!$I$29,Skip!$I$32:$I$33)</c:f>
              <c:numCache>
                <c:formatCode>#,##0</c:formatCode>
                <c:ptCount val="4"/>
                <c:pt idx="0">
                  <c:v>460</c:v>
                </c:pt>
                <c:pt idx="1">
                  <c:v>80</c:v>
                </c:pt>
                <c:pt idx="2">
                  <c:v>0</c:v>
                </c:pt>
                <c:pt idx="3">
                  <c:v>31</c:v>
                </c:pt>
              </c:numCache>
            </c:numRef>
          </c:val>
          <c:extLst>
            <c:ext xmlns:c16="http://schemas.microsoft.com/office/drawing/2014/chart" uri="{C3380CC4-5D6E-409C-BE32-E72D297353CC}">
              <c16:uniqueId val="{00000001-08E6-4CF1-BFB7-1824A9F93CF1}"/>
            </c:ext>
          </c:extLst>
        </c:ser>
        <c:ser>
          <c:idx val="2"/>
          <c:order val="2"/>
          <c:tx>
            <c:strRef>
              <c:f>Skip!$A$35</c:f>
              <c:strCache>
                <c:ptCount val="1"/>
                <c:pt idx="0">
                  <c:v>2018</c:v>
                </c:pt>
              </c:strCache>
            </c:strRef>
          </c:tx>
          <c:spPr>
            <a:solidFill>
              <a:schemeClr val="accent3"/>
            </a:solidFill>
            <a:ln>
              <a:noFill/>
            </a:ln>
            <a:effectLst/>
          </c:spPr>
          <c:invertIfNegative val="0"/>
          <c:cat>
            <c:strRef>
              <c:extLst>
                <c:ext xmlns:c15="http://schemas.microsoft.com/office/drawing/2012/chart" uri="{02D57815-91ED-43cb-92C2-25804820EDAC}">
                  <c15:fullRef>
                    <c15:sqref>Skip!$B$9:$B$20</c15:sqref>
                  </c15:fullRef>
                </c:ext>
              </c:extLst>
              <c:f>(Skip!$B$13,Skip!$B$16,Skip!$B$19:$B$20)</c:f>
              <c:strCache>
                <c:ptCount val="4"/>
                <c:pt idx="0">
                  <c:v>Flutningaskip</c:v>
                </c:pt>
                <c:pt idx="1">
                  <c:v>Farþegaskip</c:v>
                </c:pt>
                <c:pt idx="2">
                  <c:v>Hvalaskoðunarskip</c:v>
                </c:pt>
                <c:pt idx="3">
                  <c:v>Önnur skip</c:v>
                </c:pt>
              </c:strCache>
            </c:strRef>
          </c:cat>
          <c:val>
            <c:numRef>
              <c:extLst>
                <c:ext xmlns:c15="http://schemas.microsoft.com/office/drawing/2012/chart" uri="{02D57815-91ED-43cb-92C2-25804820EDAC}">
                  <c15:fullRef>
                    <c15:sqref>Skip!$I$35:$I$46</c15:sqref>
                  </c15:fullRef>
                </c:ext>
              </c:extLst>
              <c:f>(Skip!$I$39,Skip!$I$42,Skip!$I$45:$I$46)</c:f>
              <c:numCache>
                <c:formatCode>#,##0</c:formatCode>
                <c:ptCount val="4"/>
                <c:pt idx="0">
                  <c:v>435</c:v>
                </c:pt>
                <c:pt idx="1">
                  <c:v>84</c:v>
                </c:pt>
                <c:pt idx="2">
                  <c:v>0</c:v>
                </c:pt>
                <c:pt idx="3">
                  <c:v>31</c:v>
                </c:pt>
              </c:numCache>
            </c:numRef>
          </c:val>
          <c:extLst>
            <c:ext xmlns:c16="http://schemas.microsoft.com/office/drawing/2014/chart" uri="{C3380CC4-5D6E-409C-BE32-E72D297353CC}">
              <c16:uniqueId val="{00000002-08E6-4CF1-BFB7-1824A9F93CF1}"/>
            </c:ext>
          </c:extLst>
        </c:ser>
        <c:ser>
          <c:idx val="3"/>
          <c:order val="3"/>
          <c:tx>
            <c:strRef>
              <c:f>Skip!$A$48</c:f>
              <c:strCache>
                <c:ptCount val="1"/>
                <c:pt idx="0">
                  <c:v>2019</c:v>
                </c:pt>
              </c:strCache>
            </c:strRef>
          </c:tx>
          <c:spPr>
            <a:solidFill>
              <a:schemeClr val="accent4"/>
            </a:solidFill>
            <a:ln>
              <a:noFill/>
            </a:ln>
            <a:effectLst/>
          </c:spPr>
          <c:invertIfNegative val="0"/>
          <c:cat>
            <c:strRef>
              <c:extLst>
                <c:ext xmlns:c15="http://schemas.microsoft.com/office/drawing/2012/chart" uri="{02D57815-91ED-43cb-92C2-25804820EDAC}">
                  <c15:fullRef>
                    <c15:sqref>Skip!$B$9:$B$20</c15:sqref>
                  </c15:fullRef>
                </c:ext>
              </c:extLst>
              <c:f>(Skip!$B$13,Skip!$B$16,Skip!$B$19:$B$20)</c:f>
              <c:strCache>
                <c:ptCount val="4"/>
                <c:pt idx="0">
                  <c:v>Flutningaskip</c:v>
                </c:pt>
                <c:pt idx="1">
                  <c:v>Farþegaskip</c:v>
                </c:pt>
                <c:pt idx="2">
                  <c:v>Hvalaskoðunarskip</c:v>
                </c:pt>
                <c:pt idx="3">
                  <c:v>Önnur skip</c:v>
                </c:pt>
              </c:strCache>
            </c:strRef>
          </c:cat>
          <c:val>
            <c:numRef>
              <c:extLst>
                <c:ext xmlns:c15="http://schemas.microsoft.com/office/drawing/2012/chart" uri="{02D57815-91ED-43cb-92C2-25804820EDAC}">
                  <c15:fullRef>
                    <c15:sqref>Skip!$I$48:$I$59</c15:sqref>
                  </c15:fullRef>
                </c:ext>
              </c:extLst>
              <c:f>(Skip!$I$52,Skip!$I$55,Skip!$I$58:$I$59)</c:f>
              <c:numCache>
                <c:formatCode>#,##0</c:formatCode>
                <c:ptCount val="4"/>
                <c:pt idx="0">
                  <c:v>477</c:v>
                </c:pt>
                <c:pt idx="1">
                  <c:v>109</c:v>
                </c:pt>
                <c:pt idx="2">
                  <c:v>0</c:v>
                </c:pt>
                <c:pt idx="3">
                  <c:v>9</c:v>
                </c:pt>
              </c:numCache>
            </c:numRef>
          </c:val>
          <c:extLst>
            <c:ext xmlns:c16="http://schemas.microsoft.com/office/drawing/2014/chart" uri="{C3380CC4-5D6E-409C-BE32-E72D297353CC}">
              <c16:uniqueId val="{00000003-08E6-4CF1-BFB7-1824A9F93CF1}"/>
            </c:ext>
          </c:extLst>
        </c:ser>
        <c:ser>
          <c:idx val="4"/>
          <c:order val="4"/>
          <c:tx>
            <c:strRef>
              <c:f>Skip!$A$61</c:f>
              <c:strCache>
                <c:ptCount val="1"/>
                <c:pt idx="0">
                  <c:v>2020</c:v>
                </c:pt>
              </c:strCache>
            </c:strRef>
          </c:tx>
          <c:spPr>
            <a:solidFill>
              <a:schemeClr val="accent5"/>
            </a:solidFill>
            <a:ln>
              <a:noFill/>
            </a:ln>
            <a:effectLst/>
          </c:spPr>
          <c:invertIfNegative val="0"/>
          <c:cat>
            <c:strRef>
              <c:extLst>
                <c:ext xmlns:c15="http://schemas.microsoft.com/office/drawing/2012/chart" uri="{02D57815-91ED-43cb-92C2-25804820EDAC}">
                  <c15:fullRef>
                    <c15:sqref>Skip!$B$9:$B$20</c15:sqref>
                  </c15:fullRef>
                </c:ext>
              </c:extLst>
              <c:f>(Skip!$B$13,Skip!$B$16,Skip!$B$19:$B$20)</c:f>
              <c:strCache>
                <c:ptCount val="4"/>
                <c:pt idx="0">
                  <c:v>Flutningaskip</c:v>
                </c:pt>
                <c:pt idx="1">
                  <c:v>Farþegaskip</c:v>
                </c:pt>
                <c:pt idx="2">
                  <c:v>Hvalaskoðunarskip</c:v>
                </c:pt>
                <c:pt idx="3">
                  <c:v>Önnur skip</c:v>
                </c:pt>
              </c:strCache>
            </c:strRef>
          </c:cat>
          <c:val>
            <c:numRef>
              <c:extLst>
                <c:ext xmlns:c15="http://schemas.microsoft.com/office/drawing/2012/chart" uri="{02D57815-91ED-43cb-92C2-25804820EDAC}">
                  <c15:fullRef>
                    <c15:sqref>Skip!$I$61:$I$72</c15:sqref>
                  </c15:fullRef>
                </c:ext>
              </c:extLst>
              <c:f>(Skip!$I$65,Skip!$I$68,Skip!$I$71:$I$72)</c:f>
              <c:numCache>
                <c:formatCode>#,##0</c:formatCode>
                <c:ptCount val="4"/>
                <c:pt idx="0">
                  <c:v>369</c:v>
                </c:pt>
                <c:pt idx="1">
                  <c:v>2</c:v>
                </c:pt>
                <c:pt idx="2">
                  <c:v>0</c:v>
                </c:pt>
                <c:pt idx="3">
                  <c:v>14</c:v>
                </c:pt>
              </c:numCache>
            </c:numRef>
          </c:val>
          <c:extLst>
            <c:ext xmlns:c16="http://schemas.microsoft.com/office/drawing/2014/chart" uri="{C3380CC4-5D6E-409C-BE32-E72D297353CC}">
              <c16:uniqueId val="{00000004-08E6-4CF1-BFB7-1824A9F93CF1}"/>
            </c:ext>
          </c:extLst>
        </c:ser>
        <c:ser>
          <c:idx val="5"/>
          <c:order val="5"/>
          <c:tx>
            <c:strRef>
              <c:f>Skip!$A$74</c:f>
              <c:strCache>
                <c:ptCount val="1"/>
                <c:pt idx="0">
                  <c:v>2021</c:v>
                </c:pt>
              </c:strCache>
            </c:strRef>
          </c:tx>
          <c:spPr>
            <a:solidFill>
              <a:schemeClr val="accent6"/>
            </a:solidFill>
            <a:ln>
              <a:noFill/>
            </a:ln>
            <a:effectLst/>
          </c:spPr>
          <c:invertIfNegative val="0"/>
          <c:cat>
            <c:strLit>
              <c:ptCount val="4"/>
              <c:pt idx="0">
                <c:v>Flutningaskip</c:v>
              </c:pt>
              <c:pt idx="1">
                <c:v>Farþegaskip</c:v>
              </c:pt>
              <c:pt idx="2">
                <c:v>Hvalaskoðunarskip</c:v>
              </c:pt>
              <c:pt idx="3">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Skip!$I$74:$I$85</c15:sqref>
                  </c15:fullRef>
                </c:ext>
              </c:extLst>
              <c:f>(Skip!$I$78,Skip!$I$81,Skip!$I$84:$I$85)</c:f>
              <c:numCache>
                <c:formatCode>#,##0</c:formatCode>
                <c:ptCount val="4"/>
                <c:pt idx="0">
                  <c:v>402</c:v>
                </c:pt>
                <c:pt idx="1">
                  <c:v>34</c:v>
                </c:pt>
                <c:pt idx="2">
                  <c:v>0</c:v>
                </c:pt>
                <c:pt idx="3">
                  <c:v>18</c:v>
                </c:pt>
              </c:numCache>
            </c:numRef>
          </c:val>
          <c:extLst>
            <c:ext xmlns:c16="http://schemas.microsoft.com/office/drawing/2014/chart" uri="{C3380CC4-5D6E-409C-BE32-E72D297353CC}">
              <c16:uniqueId val="{00000001-5986-429E-8296-6E73C6FC438F}"/>
            </c:ext>
          </c:extLst>
        </c:ser>
        <c:ser>
          <c:idx val="6"/>
          <c:order val="6"/>
          <c:tx>
            <c:strRef>
              <c:f>Skip!$A$100</c:f>
              <c:strCache>
                <c:ptCount val="1"/>
                <c:pt idx="0">
                  <c:v>2023</c:v>
                </c:pt>
              </c:strCache>
            </c:strRef>
          </c:tx>
          <c:spPr>
            <a:solidFill>
              <a:schemeClr val="accent1">
                <a:lumMod val="60000"/>
              </a:schemeClr>
            </a:solidFill>
            <a:ln>
              <a:noFill/>
            </a:ln>
            <a:effectLst/>
          </c:spPr>
          <c:invertIfNegative val="0"/>
          <c:cat>
            <c:strLit>
              <c:ptCount val="4"/>
              <c:pt idx="0">
                <c:v>Flutningaskip</c:v>
              </c:pt>
              <c:pt idx="1">
                <c:v>Farþegaskip</c:v>
              </c:pt>
              <c:pt idx="2">
                <c:v>Hvalaskoðunarskip</c:v>
              </c:pt>
              <c:pt idx="3">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Skip!$I$100:$I$111</c15:sqref>
                  </c15:fullRef>
                </c:ext>
              </c:extLst>
              <c:f>(Skip!$I$104,Skip!$I$107,Skip!$I$110:$I$111)</c:f>
              <c:numCache>
                <c:formatCode>#,##0</c:formatCode>
                <c:ptCount val="4"/>
                <c:pt idx="0">
                  <c:v>446</c:v>
                </c:pt>
                <c:pt idx="1">
                  <c:v>166</c:v>
                </c:pt>
                <c:pt idx="2">
                  <c:v>0</c:v>
                </c:pt>
                <c:pt idx="3">
                  <c:v>14</c:v>
                </c:pt>
              </c:numCache>
            </c:numRef>
          </c:val>
          <c:extLst>
            <c:ext xmlns:c16="http://schemas.microsoft.com/office/drawing/2014/chart" uri="{C3380CC4-5D6E-409C-BE32-E72D297353CC}">
              <c16:uniqueId val="{00000003-DC48-4D89-9F56-BB2B3858D0F0}"/>
            </c:ext>
          </c:extLst>
        </c:ser>
        <c:dLbls>
          <c:showLegendKey val="0"/>
          <c:showVal val="0"/>
          <c:showCatName val="0"/>
          <c:showSerName val="0"/>
          <c:showPercent val="0"/>
          <c:showBubbleSize val="0"/>
        </c:dLbls>
        <c:gapWidth val="150"/>
        <c:axId val="2085961695"/>
        <c:axId val="2085971999"/>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Fjöldi skipakoma</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Skip!$AQ$30</c:f>
          <c:strCache>
            <c:ptCount val="1"/>
            <c:pt idx="0">
              <c:v>Breytingar á milli ára</c:v>
            </c:pt>
          </c:strCache>
        </c:strRef>
      </c:tx>
      <c:layout>
        <c:manualLayout>
          <c:xMode val="edge"/>
          <c:yMode val="edge"/>
          <c:x val="0.31473203608016825"/>
          <c:y val="2.221339905234491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7.6192393871832034E-2"/>
          <c:y val="0.11138432953390094"/>
          <c:w val="0.87131076116428263"/>
          <c:h val="0.78088218427926015"/>
        </c:manualLayout>
      </c:layout>
      <c:scatterChart>
        <c:scatterStyle val="lineMarker"/>
        <c:varyColors val="0"/>
        <c:ser>
          <c:idx val="2"/>
          <c:order val="0"/>
          <c:tx>
            <c:strRef>
              <c:f>Skip!$AS$32</c:f>
              <c:strCache>
                <c:ptCount val="1"/>
                <c:pt idx="0">
                  <c:v>Farþegaskip</c:v>
                </c:pt>
              </c:strCache>
            </c:strRef>
          </c:tx>
          <c:xVal>
            <c:numRef>
              <c:f>Skip!$AQ$33:$AQ$38</c:f>
              <c:numCache>
                <c:formatCode>General</c:formatCode>
                <c:ptCount val="6"/>
                <c:pt idx="0">
                  <c:v>2017</c:v>
                </c:pt>
                <c:pt idx="1">
                  <c:v>2018</c:v>
                </c:pt>
                <c:pt idx="2">
                  <c:v>2019</c:v>
                </c:pt>
                <c:pt idx="3">
                  <c:v>2020</c:v>
                </c:pt>
                <c:pt idx="4">
                  <c:v>2021</c:v>
                </c:pt>
                <c:pt idx="5">
                  <c:v>2022</c:v>
                </c:pt>
              </c:numCache>
            </c:numRef>
          </c:xVal>
          <c:yVal>
            <c:numRef>
              <c:f>Skip!$AS$33:$AS$38</c:f>
              <c:numCache>
                <c:formatCode>0.0%</c:formatCode>
                <c:ptCount val="6"/>
                <c:pt idx="0">
                  <c:v>-0.16642760503377749</c:v>
                </c:pt>
                <c:pt idx="1">
                  <c:v>0.23491809444419443</c:v>
                </c:pt>
                <c:pt idx="2">
                  <c:v>0.32678506380264771</c:v>
                </c:pt>
                <c:pt idx="3">
                  <c:v>-0.95455951071173983</c:v>
                </c:pt>
                <c:pt idx="4">
                  <c:v>6.8136475758618289</c:v>
                </c:pt>
                <c:pt idx="5">
                  <c:v>2.2562225475841875</c:v>
                </c:pt>
              </c:numCache>
            </c:numRef>
          </c:yVal>
          <c:smooth val="0"/>
          <c:extLst>
            <c:ext xmlns:c16="http://schemas.microsoft.com/office/drawing/2014/chart" uri="{C3380CC4-5D6E-409C-BE32-E72D297353CC}">
              <c16:uniqueId val="{0000000B-7790-47E0-A63D-7C410AC8BFCA}"/>
            </c:ext>
          </c:extLst>
        </c:ser>
        <c:ser>
          <c:idx val="3"/>
          <c:order val="1"/>
          <c:tx>
            <c:strRef>
              <c:f>Skip!$AR$32</c:f>
              <c:strCache>
                <c:ptCount val="1"/>
                <c:pt idx="0">
                  <c:v>Flutningaskip</c:v>
                </c:pt>
              </c:strCache>
            </c:strRef>
          </c:tx>
          <c:spPr>
            <a:ln w="19050" cap="rnd">
              <a:solidFill>
                <a:srgbClr val="00B050"/>
              </a:solidFill>
              <a:round/>
            </a:ln>
            <a:effectLst/>
          </c:spPr>
          <c:marker>
            <c:spPr>
              <a:ln>
                <a:solidFill>
                  <a:srgbClr val="00B050"/>
                </a:solidFill>
              </a:ln>
            </c:spPr>
          </c:marker>
          <c:xVal>
            <c:numRef>
              <c:f>Skip!$AQ$33:$AQ$38</c:f>
              <c:numCache>
                <c:formatCode>General</c:formatCode>
                <c:ptCount val="6"/>
                <c:pt idx="0">
                  <c:v>2017</c:v>
                </c:pt>
                <c:pt idx="1">
                  <c:v>2018</c:v>
                </c:pt>
                <c:pt idx="2">
                  <c:v>2019</c:v>
                </c:pt>
                <c:pt idx="3">
                  <c:v>2020</c:v>
                </c:pt>
                <c:pt idx="4">
                  <c:v>2021</c:v>
                </c:pt>
                <c:pt idx="5">
                  <c:v>2022</c:v>
                </c:pt>
              </c:numCache>
            </c:numRef>
          </c:xVal>
          <c:yVal>
            <c:numRef>
              <c:f>Skip!$AR$33:$AR$38</c:f>
              <c:numCache>
                <c:formatCode>0.0%</c:formatCode>
                <c:ptCount val="6"/>
                <c:pt idx="0">
                  <c:v>0.19450568855047948</c:v>
                </c:pt>
                <c:pt idx="1">
                  <c:v>6.6143747914344159E-2</c:v>
                </c:pt>
                <c:pt idx="2">
                  <c:v>0.35562797137693192</c:v>
                </c:pt>
                <c:pt idx="3">
                  <c:v>0.1084006533125252</c:v>
                </c:pt>
                <c:pt idx="4">
                  <c:v>-0.20700614341005955</c:v>
                </c:pt>
                <c:pt idx="5">
                  <c:v>1.1260623638643264E-2</c:v>
                </c:pt>
              </c:numCache>
            </c:numRef>
          </c:yVal>
          <c:smooth val="0"/>
          <c:extLst>
            <c:ext xmlns:c16="http://schemas.microsoft.com/office/drawing/2014/chart" uri="{C3380CC4-5D6E-409C-BE32-E72D297353CC}">
              <c16:uniqueId val="{0000000C-7790-47E0-A63D-7C410AC8BFCA}"/>
            </c:ext>
          </c:extLst>
        </c:ser>
        <c:ser>
          <c:idx val="0"/>
          <c:order val="2"/>
          <c:tx>
            <c:strRef>
              <c:f>Skip!$AT$32</c:f>
              <c:strCache>
                <c:ptCount val="1"/>
                <c:pt idx="0">
                  <c:v>Farþega- og flutningaskip</c:v>
                </c:pt>
              </c:strCache>
            </c:strRef>
          </c:tx>
          <c:xVal>
            <c:numRef>
              <c:f>Skip!$AQ$33:$AQ$38</c:f>
              <c:numCache>
                <c:formatCode>General</c:formatCode>
                <c:ptCount val="6"/>
                <c:pt idx="0">
                  <c:v>2017</c:v>
                </c:pt>
                <c:pt idx="1">
                  <c:v>2018</c:v>
                </c:pt>
                <c:pt idx="2">
                  <c:v>2019</c:v>
                </c:pt>
                <c:pt idx="3">
                  <c:v>2020</c:v>
                </c:pt>
                <c:pt idx="4">
                  <c:v>2021</c:v>
                </c:pt>
                <c:pt idx="5">
                  <c:v>2022</c:v>
                </c:pt>
              </c:numCache>
            </c:numRef>
          </c:xVal>
          <c:yVal>
            <c:numRef>
              <c:f>Skip!$AT$33:$AT$38</c:f>
              <c:numCache>
                <c:formatCode>0.0%</c:formatCode>
                <c:ptCount val="6"/>
                <c:pt idx="0">
                  <c:v>-4.9231682178763553E-3</c:v>
                </c:pt>
                <c:pt idx="1">
                  <c:v>0.14426230256221947</c:v>
                </c:pt>
                <c:pt idx="2">
                  <c:v>0.34122011514780265</c:v>
                </c:pt>
                <c:pt idx="3">
                  <c:v>-0.41686358364648496</c:v>
                </c:pt>
                <c:pt idx="4">
                  <c:v>6.3334430726805835E-2</c:v>
                </c:pt>
                <c:pt idx="5">
                  <c:v>0.64648418889639214</c:v>
                </c:pt>
              </c:numCache>
            </c:numRef>
          </c:yVal>
          <c:smooth val="0"/>
          <c:extLst>
            <c:ext xmlns:c16="http://schemas.microsoft.com/office/drawing/2014/chart" uri="{C3380CC4-5D6E-409C-BE32-E72D297353CC}">
              <c16:uniqueId val="{00000008-7790-47E0-A63D-7C410AC8BFCA}"/>
            </c:ext>
          </c:extLst>
        </c:ser>
        <c:ser>
          <c:idx val="1"/>
          <c:order val="3"/>
          <c:tx>
            <c:strRef>
              <c:f>Skip!$AU$32</c:f>
              <c:strCache>
                <c:ptCount val="1"/>
                <c:pt idx="0">
                  <c:v>Alls</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Skip!$AQ$33:$AQ$38</c:f>
              <c:numCache>
                <c:formatCode>General</c:formatCode>
                <c:ptCount val="6"/>
                <c:pt idx="0">
                  <c:v>2017</c:v>
                </c:pt>
                <c:pt idx="1">
                  <c:v>2018</c:v>
                </c:pt>
                <c:pt idx="2">
                  <c:v>2019</c:v>
                </c:pt>
                <c:pt idx="3">
                  <c:v>2020</c:v>
                </c:pt>
                <c:pt idx="4">
                  <c:v>2021</c:v>
                </c:pt>
                <c:pt idx="5">
                  <c:v>2022</c:v>
                </c:pt>
              </c:numCache>
            </c:numRef>
          </c:xVal>
          <c:yVal>
            <c:numRef>
              <c:f>Skip!$AU$33:$AU$38</c:f>
              <c:numCache>
                <c:formatCode>0.0%</c:formatCode>
                <c:ptCount val="6"/>
                <c:pt idx="0">
                  <c:v>-0.10158177291492375</c:v>
                </c:pt>
                <c:pt idx="1">
                  <c:v>0.15505645364164353</c:v>
                </c:pt>
                <c:pt idx="2">
                  <c:v>0.22989198096049024</c:v>
                </c:pt>
                <c:pt idx="3">
                  <c:v>-0.26435214805447493</c:v>
                </c:pt>
                <c:pt idx="4">
                  <c:v>-5.3555306185965657E-2</c:v>
                </c:pt>
                <c:pt idx="5">
                  <c:v>0.47870787764938799</c:v>
                </c:pt>
              </c:numCache>
            </c:numRef>
          </c:yVal>
          <c:smooth val="0"/>
          <c:extLst>
            <c:ext xmlns:c16="http://schemas.microsoft.com/office/drawing/2014/chart" uri="{C3380CC4-5D6E-409C-BE32-E72D297353CC}">
              <c16:uniqueId val="{0000000A-7790-47E0-A63D-7C410AC8BFCA}"/>
            </c:ext>
          </c:extLst>
        </c:ser>
        <c:dLbls>
          <c:showLegendKey val="0"/>
          <c:showVal val="0"/>
          <c:showCatName val="0"/>
          <c:showSerName val="0"/>
          <c:showPercent val="0"/>
          <c:showBubbleSize val="0"/>
        </c:dLbls>
        <c:axId val="1040464111"/>
        <c:axId val="1036699407"/>
      </c:scatterChart>
      <c:valAx>
        <c:axId val="1040464111"/>
        <c:scaling>
          <c:orientation val="minMax"/>
          <c:max val="2021"/>
          <c:min val="2017"/>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36699407"/>
        <c:crosses val="autoZero"/>
        <c:crossBetween val="midCat"/>
        <c:majorUnit val="1"/>
      </c:valAx>
      <c:valAx>
        <c:axId val="1036699407"/>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40464111"/>
        <c:crosses val="autoZero"/>
        <c:crossBetween val="midCat"/>
      </c:valAx>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is-IS"/>
              <a:t>Breytingar á milli ára</a:t>
            </a:r>
          </a:p>
        </c:rich>
      </c:tx>
      <c:overlay val="0"/>
      <c:spPr>
        <a:noFill/>
        <a:ln>
          <a:noFill/>
        </a:ln>
        <a:effectLst/>
      </c:spPr>
    </c:title>
    <c:autoTitleDeleted val="0"/>
    <c:plotArea>
      <c:layout/>
      <c:scatterChart>
        <c:scatterStyle val="lineMarker"/>
        <c:varyColors val="0"/>
        <c:ser>
          <c:idx val="2"/>
          <c:order val="0"/>
          <c:tx>
            <c:strRef>
              <c:f>Skip!$BJ$17</c:f>
              <c:strCache>
                <c:ptCount val="1"/>
                <c:pt idx="0">
                  <c:v>Skipakomur</c:v>
                </c:pt>
              </c:strCache>
            </c:strRef>
          </c:tx>
          <c:xVal>
            <c:numRef>
              <c:f>Skip!$AQ$19:$AQ$24</c:f>
              <c:numCache>
                <c:formatCode>General</c:formatCode>
                <c:ptCount val="6"/>
                <c:pt idx="0">
                  <c:v>2016</c:v>
                </c:pt>
                <c:pt idx="1">
                  <c:v>2017</c:v>
                </c:pt>
                <c:pt idx="2">
                  <c:v>2018</c:v>
                </c:pt>
                <c:pt idx="3">
                  <c:v>2019</c:v>
                </c:pt>
                <c:pt idx="4">
                  <c:v>2020</c:v>
                </c:pt>
                <c:pt idx="5">
                  <c:v>2021</c:v>
                </c:pt>
              </c:numCache>
            </c:numRef>
          </c:xVal>
          <c:yVal>
            <c:numRef>
              <c:f>Skip!$BJ$19:$BJ$24</c:f>
              <c:numCache>
                <c:formatCode>0.0%</c:formatCode>
                <c:ptCount val="6"/>
                <c:pt idx="0">
                  <c:v>5.5555555555555552E-2</c:v>
                </c:pt>
                <c:pt idx="1">
                  <c:v>0.16666666666666666</c:v>
                </c:pt>
                <c:pt idx="2">
                  <c:v>0.24812030075187969</c:v>
                </c:pt>
                <c:pt idx="3">
                  <c:v>0.14457831325301204</c:v>
                </c:pt>
                <c:pt idx="4">
                  <c:v>-0.9631578947368421</c:v>
                </c:pt>
                <c:pt idx="5">
                  <c:v>8.7142857142857135</c:v>
                </c:pt>
              </c:numCache>
            </c:numRef>
          </c:yVal>
          <c:smooth val="0"/>
          <c:extLst>
            <c:ext xmlns:c16="http://schemas.microsoft.com/office/drawing/2014/chart" uri="{C3380CC4-5D6E-409C-BE32-E72D297353CC}">
              <c16:uniqueId val="{0000000B-0C35-42C6-8120-845243B1B3E1}"/>
            </c:ext>
          </c:extLst>
        </c:ser>
        <c:ser>
          <c:idx val="3"/>
          <c:order val="1"/>
          <c:tx>
            <c:strRef>
              <c:f>Skip!$BG$17</c:f>
              <c:strCache>
                <c:ptCount val="1"/>
                <c:pt idx="0">
                  <c:v>Farþegar</c:v>
                </c:pt>
              </c:strCache>
            </c:strRef>
          </c:tx>
          <c:xVal>
            <c:numRef>
              <c:f>Skip!$AQ$19:$AQ$24</c:f>
              <c:numCache>
                <c:formatCode>General</c:formatCode>
                <c:ptCount val="6"/>
                <c:pt idx="0">
                  <c:v>2016</c:v>
                </c:pt>
                <c:pt idx="1">
                  <c:v>2017</c:v>
                </c:pt>
                <c:pt idx="2">
                  <c:v>2018</c:v>
                </c:pt>
                <c:pt idx="3">
                  <c:v>2019</c:v>
                </c:pt>
                <c:pt idx="4">
                  <c:v>2020</c:v>
                </c:pt>
                <c:pt idx="5">
                  <c:v>2021</c:v>
                </c:pt>
              </c:numCache>
            </c:numRef>
          </c:xVal>
          <c:yVal>
            <c:numRef>
              <c:f>Skip!$BG$19:$BG$24</c:f>
              <c:numCache>
                <c:formatCode>0.0%</c:formatCode>
                <c:ptCount val="6"/>
                <c:pt idx="0">
                  <c:v>-1.4629372584655636E-2</c:v>
                </c:pt>
                <c:pt idx="1">
                  <c:v>0.29996149012931211</c:v>
                </c:pt>
                <c:pt idx="2">
                  <c:v>0.12771779380237772</c:v>
                </c:pt>
                <c:pt idx="3">
                  <c:v>0.3039721273624687</c:v>
                </c:pt>
                <c:pt idx="4">
                  <c:v>-0.99286433759211157</c:v>
                </c:pt>
                <c:pt idx="5">
                  <c:v>13.078751857355126</c:v>
                </c:pt>
              </c:numCache>
            </c:numRef>
          </c:yVal>
          <c:smooth val="0"/>
          <c:extLst>
            <c:ext xmlns:c16="http://schemas.microsoft.com/office/drawing/2014/chart" uri="{C3380CC4-5D6E-409C-BE32-E72D297353CC}">
              <c16:uniqueId val="{0000000C-0C35-42C6-8120-845243B1B3E1}"/>
            </c:ext>
          </c:extLst>
        </c:ser>
        <c:ser>
          <c:idx val="1"/>
          <c:order val="2"/>
          <c:tx>
            <c:strRef>
              <c:f>Skip!$BH$17</c:f>
              <c:strCache>
                <c:ptCount val="1"/>
                <c:pt idx="0">
                  <c:v>Áhöfn</c:v>
                </c:pt>
              </c:strCache>
            </c:strRef>
          </c:tx>
          <c:xVal>
            <c:numRef>
              <c:f>Skip!$AQ$19:$AQ$24</c:f>
              <c:numCache>
                <c:formatCode>General</c:formatCode>
                <c:ptCount val="6"/>
                <c:pt idx="0">
                  <c:v>2016</c:v>
                </c:pt>
                <c:pt idx="1">
                  <c:v>2017</c:v>
                </c:pt>
                <c:pt idx="2">
                  <c:v>2018</c:v>
                </c:pt>
                <c:pt idx="3">
                  <c:v>2019</c:v>
                </c:pt>
                <c:pt idx="4">
                  <c:v>2020</c:v>
                </c:pt>
                <c:pt idx="5">
                  <c:v>2021</c:v>
                </c:pt>
              </c:numCache>
            </c:numRef>
          </c:xVal>
          <c:yVal>
            <c:numRef>
              <c:f>Skip!$BH$19:$BH$24</c:f>
              <c:numCache>
                <c:formatCode>0.0%</c:formatCode>
                <c:ptCount val="6"/>
                <c:pt idx="0">
                  <c:v>1.8341585884650253E-2</c:v>
                </c:pt>
                <c:pt idx="1">
                  <c:v>0.26466694060174406</c:v>
                </c:pt>
                <c:pt idx="2">
                  <c:v>8.0126353790613725E-2</c:v>
                </c:pt>
                <c:pt idx="3">
                  <c:v>0.27573990207055599</c:v>
                </c:pt>
                <c:pt idx="4">
                  <c:v>-0.98467362684866189</c:v>
                </c:pt>
                <c:pt idx="5">
                  <c:v>15.357264957264958</c:v>
                </c:pt>
              </c:numCache>
            </c:numRef>
          </c:yVal>
          <c:smooth val="0"/>
          <c:extLst>
            <c:ext xmlns:c16="http://schemas.microsoft.com/office/drawing/2014/chart" uri="{C3380CC4-5D6E-409C-BE32-E72D297353CC}">
              <c16:uniqueId val="{00000008-0C35-42C6-8120-845243B1B3E1}"/>
            </c:ext>
          </c:extLst>
        </c:ser>
        <c:ser>
          <c:idx val="0"/>
          <c:order val="3"/>
          <c:tx>
            <c:strRef>
              <c:f>Skip!$BF$17</c:f>
              <c:strCache>
                <c:ptCount val="1"/>
                <c:pt idx="0">
                  <c:v>GRT</c:v>
                </c:pt>
              </c:strCache>
            </c:strRef>
          </c:tx>
          <c:xVal>
            <c:numRef>
              <c:f>Skip!$AQ$19:$AQ$24</c:f>
              <c:numCache>
                <c:formatCode>General</c:formatCode>
                <c:ptCount val="6"/>
                <c:pt idx="0">
                  <c:v>2016</c:v>
                </c:pt>
                <c:pt idx="1">
                  <c:v>2017</c:v>
                </c:pt>
                <c:pt idx="2">
                  <c:v>2018</c:v>
                </c:pt>
                <c:pt idx="3">
                  <c:v>2019</c:v>
                </c:pt>
                <c:pt idx="4">
                  <c:v>2020</c:v>
                </c:pt>
                <c:pt idx="5">
                  <c:v>2021</c:v>
                </c:pt>
              </c:numCache>
            </c:numRef>
          </c:xVal>
          <c:yVal>
            <c:numRef>
              <c:f>Skip!$BF$19:$BF$24</c:f>
              <c:numCache>
                <c:formatCode>0.0%</c:formatCode>
                <c:ptCount val="6"/>
                <c:pt idx="0">
                  <c:v>-1.79864794838628E-2</c:v>
                </c:pt>
                <c:pt idx="1">
                  <c:v>0.24605771709619986</c:v>
                </c:pt>
                <c:pt idx="2">
                  <c:v>0.15168299483919431</c:v>
                </c:pt>
                <c:pt idx="3">
                  <c:v>0.2646516837059425</c:v>
                </c:pt>
                <c:pt idx="4">
                  <c:v>-0.98522678499739624</c:v>
                </c:pt>
                <c:pt idx="5">
                  <c:v>15.12994854266827</c:v>
                </c:pt>
              </c:numCache>
            </c:numRef>
          </c:yVal>
          <c:smooth val="0"/>
          <c:extLst>
            <c:ext xmlns:c16="http://schemas.microsoft.com/office/drawing/2014/chart" uri="{C3380CC4-5D6E-409C-BE32-E72D297353CC}">
              <c16:uniqueId val="{0000000A-0C35-42C6-8120-845243B1B3E1}"/>
            </c:ext>
          </c:extLst>
        </c:ser>
        <c:dLbls>
          <c:showLegendKey val="0"/>
          <c:showVal val="0"/>
          <c:showCatName val="0"/>
          <c:showSerName val="0"/>
          <c:showPercent val="0"/>
          <c:showBubbleSize val="0"/>
        </c:dLbls>
        <c:axId val="1040464111"/>
        <c:axId val="1036699407"/>
      </c:scatterChart>
      <c:valAx>
        <c:axId val="1040464111"/>
        <c:scaling>
          <c:orientation val="minMax"/>
          <c:max val="2021"/>
          <c:min val="2016"/>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36699407"/>
        <c:crosses val="autoZero"/>
        <c:crossBetween val="midCat"/>
        <c:majorUnit val="1"/>
      </c:valAx>
      <c:valAx>
        <c:axId val="1036699407"/>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40464111"/>
        <c:crosses val="autoZero"/>
        <c:crossBetween val="midCat"/>
      </c:valAx>
    </c:plotArea>
    <c:legend>
      <c:legendPos val="b"/>
      <c:layout>
        <c:manualLayout>
          <c:xMode val="edge"/>
          <c:yMode val="edge"/>
          <c:x val="6.2905976132339878E-2"/>
          <c:y val="0.91064691453227087"/>
          <c:w val="0.89999995692846546"/>
          <c:h val="7.223163302930397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Skip!$AV$17</c:f>
              <c:strCache>
                <c:ptCount val="1"/>
                <c:pt idx="0">
                  <c:v>GRT</c:v>
                </c:pt>
              </c:strCache>
            </c:strRef>
          </c:tx>
          <c:xVal>
            <c:numRef>
              <c:f>Skip!$AQ$18:$AQ$24</c:f>
              <c:numCache>
                <c:formatCode>General</c:formatCode>
                <c:ptCount val="7"/>
                <c:pt idx="0">
                  <c:v>2015</c:v>
                </c:pt>
                <c:pt idx="1">
                  <c:v>2016</c:v>
                </c:pt>
                <c:pt idx="2">
                  <c:v>2017</c:v>
                </c:pt>
                <c:pt idx="3">
                  <c:v>2018</c:v>
                </c:pt>
                <c:pt idx="4">
                  <c:v>2019</c:v>
                </c:pt>
                <c:pt idx="5">
                  <c:v>2020</c:v>
                </c:pt>
                <c:pt idx="6">
                  <c:v>2021</c:v>
                </c:pt>
              </c:numCache>
            </c:numRef>
          </c:xVal>
          <c:yVal>
            <c:numRef>
              <c:f>Skip!$AV$18:$AV$24</c:f>
              <c:numCache>
                <c:formatCode>General</c:formatCode>
                <c:ptCount val="7"/>
                <c:pt idx="0">
                  <c:v>4044816</c:v>
                </c:pt>
                <c:pt idx="1">
                  <c:v>3972064</c:v>
                </c:pt>
                <c:pt idx="2">
                  <c:v>4949421</c:v>
                </c:pt>
                <c:pt idx="3">
                  <c:v>5700164</c:v>
                </c:pt>
                <c:pt idx="4">
                  <c:v>7208722</c:v>
                </c:pt>
                <c:pt idx="5">
                  <c:v>106496</c:v>
                </c:pt>
                <c:pt idx="6">
                  <c:v>1717775</c:v>
                </c:pt>
              </c:numCache>
            </c:numRef>
          </c:yVal>
          <c:smooth val="0"/>
          <c:extLst>
            <c:ext xmlns:c16="http://schemas.microsoft.com/office/drawing/2014/chart" uri="{C3380CC4-5D6E-409C-BE32-E72D297353CC}">
              <c16:uniqueId val="{00000000-3166-4FF9-8014-F55818C01160}"/>
            </c:ext>
          </c:extLst>
        </c:ser>
        <c:dLbls>
          <c:showLegendKey val="0"/>
          <c:showVal val="0"/>
          <c:showCatName val="0"/>
          <c:showSerName val="0"/>
          <c:showPercent val="0"/>
          <c:showBubbleSize val="0"/>
        </c:dLbls>
        <c:axId val="1040464111"/>
        <c:axId val="1036699407"/>
      </c:scatterChart>
      <c:scatterChart>
        <c:scatterStyle val="lineMarker"/>
        <c:varyColors val="0"/>
        <c:ser>
          <c:idx val="1"/>
          <c:order val="1"/>
          <c:tx>
            <c:strRef>
              <c:f>Skip!$AW$17</c:f>
              <c:strCache>
                <c:ptCount val="1"/>
                <c:pt idx="0">
                  <c:v>Farþegar</c:v>
                </c:pt>
              </c:strCache>
            </c:strRef>
          </c:tx>
          <c:marker>
            <c:symbol val="circle"/>
            <c:size val="5"/>
            <c:spPr>
              <a:solidFill>
                <a:schemeClr val="accent2"/>
              </a:solidFill>
              <a:ln w="9525">
                <a:solidFill>
                  <a:schemeClr val="accent2"/>
                </a:solidFill>
              </a:ln>
              <a:effectLst/>
            </c:spPr>
          </c:marker>
          <c:xVal>
            <c:numRef>
              <c:f>Skip!$AQ$18:$AQ$24</c:f>
              <c:numCache>
                <c:formatCode>General</c:formatCode>
                <c:ptCount val="7"/>
                <c:pt idx="0">
                  <c:v>2015</c:v>
                </c:pt>
                <c:pt idx="1">
                  <c:v>2016</c:v>
                </c:pt>
                <c:pt idx="2">
                  <c:v>2017</c:v>
                </c:pt>
                <c:pt idx="3">
                  <c:v>2018</c:v>
                </c:pt>
                <c:pt idx="4">
                  <c:v>2019</c:v>
                </c:pt>
                <c:pt idx="5">
                  <c:v>2020</c:v>
                </c:pt>
                <c:pt idx="6">
                  <c:v>2021</c:v>
                </c:pt>
              </c:numCache>
            </c:numRef>
          </c:xVal>
          <c:yVal>
            <c:numRef>
              <c:f>Skip!$AW$18:$AW$24</c:f>
              <c:numCache>
                <c:formatCode>General</c:formatCode>
                <c:ptCount val="7"/>
                <c:pt idx="0">
                  <c:v>100141</c:v>
                </c:pt>
                <c:pt idx="1">
                  <c:v>98676</c:v>
                </c:pt>
                <c:pt idx="2">
                  <c:v>128275</c:v>
                </c:pt>
                <c:pt idx="3">
                  <c:v>144658</c:v>
                </c:pt>
                <c:pt idx="4">
                  <c:v>188630</c:v>
                </c:pt>
                <c:pt idx="5">
                  <c:v>1346</c:v>
                </c:pt>
                <c:pt idx="6">
                  <c:v>18950</c:v>
                </c:pt>
              </c:numCache>
            </c:numRef>
          </c:yVal>
          <c:smooth val="0"/>
          <c:extLst>
            <c:ext xmlns:c16="http://schemas.microsoft.com/office/drawing/2014/chart" uri="{C3380CC4-5D6E-409C-BE32-E72D297353CC}">
              <c16:uniqueId val="{00000001-3166-4FF9-8014-F55818C01160}"/>
            </c:ext>
          </c:extLst>
        </c:ser>
        <c:dLbls>
          <c:showLegendKey val="0"/>
          <c:showVal val="0"/>
          <c:showCatName val="0"/>
          <c:showSerName val="0"/>
          <c:showPercent val="0"/>
          <c:showBubbleSize val="0"/>
        </c:dLbls>
        <c:axId val="1038968847"/>
        <c:axId val="1047751135"/>
      </c:scatterChart>
      <c:valAx>
        <c:axId val="1040464111"/>
        <c:scaling>
          <c:orientation val="minMax"/>
          <c:max val="2020"/>
          <c:min val="201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36699407"/>
        <c:crosses val="autoZero"/>
        <c:crossBetween val="midCat"/>
        <c:majorUnit val="1"/>
      </c:valAx>
      <c:valAx>
        <c:axId val="103669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is-IS"/>
                  <a:t>Heildarþungi (GRT)</a:t>
                </a:r>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40464111"/>
        <c:crosses val="autoZero"/>
        <c:crossBetween val="midCat"/>
        <c:dispUnits>
          <c:builtInUnit val="hundredThousands"/>
          <c:dispUnitsLbl/>
        </c:dispUnits>
      </c:valAx>
      <c:valAx>
        <c:axId val="1047751135"/>
        <c:scaling>
          <c:orientation val="minMax"/>
        </c:scaling>
        <c:delete val="0"/>
        <c:axPos val="r"/>
        <c:title>
          <c:tx>
            <c:rich>
              <a:bodyPr/>
              <a:lstStyle/>
              <a:p>
                <a:pPr>
                  <a:defRPr/>
                </a:pPr>
                <a:r>
                  <a:rPr lang="is-IS"/>
                  <a:t>Farþegar og áhöfn</a:t>
                </a:r>
              </a:p>
            </c:rich>
          </c:tx>
          <c:overlay val="0"/>
        </c:title>
        <c:numFmt formatCode="General" sourceLinked="1"/>
        <c:majorTickMark val="out"/>
        <c:minorTickMark val="none"/>
        <c:tickLblPos val="nextTo"/>
        <c:crossAx val="1038968847"/>
        <c:crosses val="max"/>
        <c:crossBetween val="midCat"/>
        <c:dispUnits>
          <c:builtInUnit val="hundredThousands"/>
          <c:dispUnitsLbl/>
        </c:dispUnits>
      </c:valAx>
      <c:valAx>
        <c:axId val="1038968847"/>
        <c:scaling>
          <c:orientation val="minMax"/>
        </c:scaling>
        <c:delete val="1"/>
        <c:axPos val="b"/>
        <c:numFmt formatCode="General" sourceLinked="1"/>
        <c:majorTickMark val="out"/>
        <c:minorTickMark val="none"/>
        <c:tickLblPos val="nextTo"/>
        <c:crossAx val="1047751135"/>
        <c:crosses val="autoZero"/>
        <c:crossBetween val="midCat"/>
      </c:valAx>
    </c:plotArea>
    <c:legend>
      <c:legendPos val="b"/>
      <c:layout>
        <c:manualLayout>
          <c:xMode val="edge"/>
          <c:yMode val="edge"/>
          <c:x val="4.4103513797496843E-2"/>
          <c:y val="0.88477375812663273"/>
          <c:w val="0.89999995692846546"/>
          <c:h val="7.223163302930397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1"/>
          <c:order val="0"/>
          <c:spPr>
            <a:ln w="19050">
              <a:noFill/>
            </a:ln>
          </c:spPr>
          <c:trendline>
            <c:trendlineType val="linear"/>
            <c:dispRSqr val="0"/>
            <c:dispEq val="0"/>
          </c:trendline>
          <c:xVal>
            <c:numRef>
              <c:f>Skip!$BP$3:$BP$64</c:f>
              <c:numCache>
                <c:formatCode>General</c:formatCode>
                <c:ptCount val="62"/>
                <c:pt idx="0">
                  <c:v>2015.5</c:v>
                </c:pt>
                <c:pt idx="1">
                  <c:v>2015.5833333333333</c:v>
                </c:pt>
                <c:pt idx="2">
                  <c:v>2015.6666666666665</c:v>
                </c:pt>
                <c:pt idx="3">
                  <c:v>2015.7499999999998</c:v>
                </c:pt>
                <c:pt idx="4">
                  <c:v>2015.833333333333</c:v>
                </c:pt>
                <c:pt idx="5">
                  <c:v>2015.9166666666663</c:v>
                </c:pt>
                <c:pt idx="6">
                  <c:v>2015.9999999999995</c:v>
                </c:pt>
                <c:pt idx="7">
                  <c:v>2016.0833333333328</c:v>
                </c:pt>
                <c:pt idx="8">
                  <c:v>2016.1666666666661</c:v>
                </c:pt>
                <c:pt idx="9">
                  <c:v>2016.2499999999993</c:v>
                </c:pt>
                <c:pt idx="10">
                  <c:v>2016.3333333333326</c:v>
                </c:pt>
                <c:pt idx="11">
                  <c:v>2016.4166666666658</c:v>
                </c:pt>
                <c:pt idx="12">
                  <c:v>2016.4999999999991</c:v>
                </c:pt>
                <c:pt idx="13">
                  <c:v>2016.5833333333323</c:v>
                </c:pt>
                <c:pt idx="14">
                  <c:v>2016.6666666666656</c:v>
                </c:pt>
                <c:pt idx="15">
                  <c:v>2016.7499999999989</c:v>
                </c:pt>
                <c:pt idx="16">
                  <c:v>2016.8333333333321</c:v>
                </c:pt>
                <c:pt idx="17">
                  <c:v>2016.9166666666654</c:v>
                </c:pt>
                <c:pt idx="18">
                  <c:v>2016.9999999999986</c:v>
                </c:pt>
                <c:pt idx="19">
                  <c:v>2017.0833333333319</c:v>
                </c:pt>
                <c:pt idx="20">
                  <c:v>2017.1666666666652</c:v>
                </c:pt>
                <c:pt idx="21">
                  <c:v>2017.2499999999984</c:v>
                </c:pt>
                <c:pt idx="22">
                  <c:v>2017.3333333333317</c:v>
                </c:pt>
                <c:pt idx="23">
                  <c:v>2017.4166666666649</c:v>
                </c:pt>
                <c:pt idx="24">
                  <c:v>2017.4999999999982</c:v>
                </c:pt>
                <c:pt idx="25">
                  <c:v>2017.5833333333314</c:v>
                </c:pt>
                <c:pt idx="26">
                  <c:v>2017.6666666666647</c:v>
                </c:pt>
                <c:pt idx="27">
                  <c:v>2017.749999999998</c:v>
                </c:pt>
                <c:pt idx="28">
                  <c:v>2017.8333333333312</c:v>
                </c:pt>
                <c:pt idx="29">
                  <c:v>2017.9166666666645</c:v>
                </c:pt>
                <c:pt idx="30">
                  <c:v>2017.9999999999977</c:v>
                </c:pt>
                <c:pt idx="31">
                  <c:v>2018.083333333331</c:v>
                </c:pt>
                <c:pt idx="32">
                  <c:v>2018.1666666666642</c:v>
                </c:pt>
                <c:pt idx="33">
                  <c:v>2018.2499999999975</c:v>
                </c:pt>
                <c:pt idx="34">
                  <c:v>2018.3333333333308</c:v>
                </c:pt>
                <c:pt idx="35">
                  <c:v>2018.416666666664</c:v>
                </c:pt>
                <c:pt idx="36">
                  <c:v>2018.4999999999973</c:v>
                </c:pt>
                <c:pt idx="37">
                  <c:v>2018.5833333333305</c:v>
                </c:pt>
                <c:pt idx="38">
                  <c:v>2018.6666666666638</c:v>
                </c:pt>
                <c:pt idx="39">
                  <c:v>2018.749999999997</c:v>
                </c:pt>
                <c:pt idx="40">
                  <c:v>2018.8333333333303</c:v>
                </c:pt>
                <c:pt idx="41">
                  <c:v>2018.9166666666636</c:v>
                </c:pt>
                <c:pt idx="42">
                  <c:v>2018.9999999999968</c:v>
                </c:pt>
                <c:pt idx="43">
                  <c:v>2019.0833333333301</c:v>
                </c:pt>
                <c:pt idx="44">
                  <c:v>2019.1666666666633</c:v>
                </c:pt>
                <c:pt idx="45">
                  <c:v>2019.2499999999966</c:v>
                </c:pt>
                <c:pt idx="46">
                  <c:v>2019.3333333333298</c:v>
                </c:pt>
                <c:pt idx="47">
                  <c:v>2019.4166666666631</c:v>
                </c:pt>
                <c:pt idx="48">
                  <c:v>2019.4999999999964</c:v>
                </c:pt>
                <c:pt idx="49">
                  <c:v>2019.5833333333296</c:v>
                </c:pt>
                <c:pt idx="50">
                  <c:v>2019.6666666666629</c:v>
                </c:pt>
                <c:pt idx="51">
                  <c:v>2019.7499999999961</c:v>
                </c:pt>
                <c:pt idx="52">
                  <c:v>2019.8333333333294</c:v>
                </c:pt>
                <c:pt idx="53">
                  <c:v>2019.9166666666626</c:v>
                </c:pt>
                <c:pt idx="54">
                  <c:v>2019.9999999999959</c:v>
                </c:pt>
                <c:pt idx="55">
                  <c:v>2020.0833333333292</c:v>
                </c:pt>
                <c:pt idx="56">
                  <c:v>2020.1666666666624</c:v>
                </c:pt>
                <c:pt idx="57">
                  <c:v>2020.2499999999957</c:v>
                </c:pt>
                <c:pt idx="58">
                  <c:v>2020.3333333333289</c:v>
                </c:pt>
                <c:pt idx="59">
                  <c:v>2020.4166666666622</c:v>
                </c:pt>
                <c:pt idx="60">
                  <c:v>2020.4999999999955</c:v>
                </c:pt>
                <c:pt idx="61">
                  <c:v>2020.5833333333287</c:v>
                </c:pt>
              </c:numCache>
            </c:numRef>
          </c:xVal>
          <c:yVal>
            <c:numRef>
              <c:f>Skip!$BQ$3:$BQ$64</c:f>
              <c:numCache>
                <c:formatCode>#,##0.00</c:formatCode>
                <c:ptCount val="62"/>
                <c:pt idx="0">
                  <c:v>54618.400000000001</c:v>
                </c:pt>
                <c:pt idx="1">
                  <c:v>48661</c:v>
                </c:pt>
                <c:pt idx="2">
                  <c:v>56252.4</c:v>
                </c:pt>
                <c:pt idx="3">
                  <c:v>50844.5</c:v>
                </c:pt>
                <c:pt idx="4">
                  <c:v>51994.1</c:v>
                </c:pt>
                <c:pt idx="5">
                  <c:v>57347.5</c:v>
                </c:pt>
                <c:pt idx="6">
                  <c:v>46533.1</c:v>
                </c:pt>
                <c:pt idx="7">
                  <c:v>45365.2</c:v>
                </c:pt>
                <c:pt idx="8">
                  <c:v>66309</c:v>
                </c:pt>
                <c:pt idx="9">
                  <c:v>53810.1</c:v>
                </c:pt>
                <c:pt idx="10">
                  <c:v>64035.6</c:v>
                </c:pt>
                <c:pt idx="11">
                  <c:v>63030.7</c:v>
                </c:pt>
                <c:pt idx="12">
                  <c:v>53653.5</c:v>
                </c:pt>
                <c:pt idx="13">
                  <c:v>53547.7</c:v>
                </c:pt>
                <c:pt idx="14">
                  <c:v>49609.9</c:v>
                </c:pt>
                <c:pt idx="15">
                  <c:v>47625.599999999999</c:v>
                </c:pt>
                <c:pt idx="16">
                  <c:v>52639.6</c:v>
                </c:pt>
                <c:pt idx="17">
                  <c:v>49451.6</c:v>
                </c:pt>
                <c:pt idx="18">
                  <c:v>46446.7</c:v>
                </c:pt>
                <c:pt idx="19">
                  <c:v>44502.9</c:v>
                </c:pt>
                <c:pt idx="20">
                  <c:v>55858.8</c:v>
                </c:pt>
                <c:pt idx="21">
                  <c:v>51902.9</c:v>
                </c:pt>
                <c:pt idx="22">
                  <c:v>73176.800000000003</c:v>
                </c:pt>
                <c:pt idx="23">
                  <c:v>59967.5</c:v>
                </c:pt>
                <c:pt idx="24">
                  <c:v>59997.599999999999</c:v>
                </c:pt>
                <c:pt idx="25">
                  <c:v>52056.800000000003</c:v>
                </c:pt>
                <c:pt idx="26">
                  <c:v>65984.7</c:v>
                </c:pt>
                <c:pt idx="27">
                  <c:v>62654.6</c:v>
                </c:pt>
                <c:pt idx="28">
                  <c:v>56669.9</c:v>
                </c:pt>
                <c:pt idx="29">
                  <c:v>66853.399999999994</c:v>
                </c:pt>
                <c:pt idx="30">
                  <c:v>51372.5</c:v>
                </c:pt>
                <c:pt idx="31">
                  <c:v>60322.400000000001</c:v>
                </c:pt>
                <c:pt idx="32">
                  <c:v>57062.7</c:v>
                </c:pt>
                <c:pt idx="33">
                  <c:v>62465.7</c:v>
                </c:pt>
                <c:pt idx="34">
                  <c:v>69336.2</c:v>
                </c:pt>
                <c:pt idx="35">
                  <c:v>70628.399999999994</c:v>
                </c:pt>
                <c:pt idx="36">
                  <c:v>68925.2</c:v>
                </c:pt>
                <c:pt idx="37">
                  <c:v>66549.600000000006</c:v>
                </c:pt>
                <c:pt idx="38">
                  <c:v>63039.9</c:v>
                </c:pt>
                <c:pt idx="39">
                  <c:v>73077.100000000006</c:v>
                </c:pt>
                <c:pt idx="40">
                  <c:v>72586.2</c:v>
                </c:pt>
                <c:pt idx="41">
                  <c:v>64250.3</c:v>
                </c:pt>
                <c:pt idx="42">
                  <c:v>52595.3</c:v>
                </c:pt>
                <c:pt idx="43">
                  <c:v>60429.1</c:v>
                </c:pt>
                <c:pt idx="44">
                  <c:v>61729.4</c:v>
                </c:pt>
                <c:pt idx="45">
                  <c:v>65567.8</c:v>
                </c:pt>
                <c:pt idx="46">
                  <c:v>66047.199999999997</c:v>
                </c:pt>
                <c:pt idx="47">
                  <c:v>74676.800000000003</c:v>
                </c:pt>
                <c:pt idx="48">
                  <c:v>71560.5</c:v>
                </c:pt>
                <c:pt idx="49">
                  <c:v>58093.4</c:v>
                </c:pt>
                <c:pt idx="50">
                  <c:v>69422.600000000006</c:v>
                </c:pt>
                <c:pt idx="51">
                  <c:v>64734.1</c:v>
                </c:pt>
                <c:pt idx="52">
                  <c:v>57174.6</c:v>
                </c:pt>
                <c:pt idx="53">
                  <c:v>53624.7</c:v>
                </c:pt>
                <c:pt idx="54">
                  <c:v>50798</c:v>
                </c:pt>
                <c:pt idx="55">
                  <c:v>49383.5</c:v>
                </c:pt>
                <c:pt idx="56">
                  <c:v>68943.5</c:v>
                </c:pt>
                <c:pt idx="57">
                  <c:v>47735.9</c:v>
                </c:pt>
                <c:pt idx="58">
                  <c:v>51382.8</c:v>
                </c:pt>
                <c:pt idx="59">
                  <c:v>59472</c:v>
                </c:pt>
                <c:pt idx="60">
                  <c:v>58235</c:v>
                </c:pt>
                <c:pt idx="61">
                  <c:v>55303.6</c:v>
                </c:pt>
              </c:numCache>
            </c:numRef>
          </c:yVal>
          <c:smooth val="0"/>
          <c:extLst>
            <c:ext xmlns:c16="http://schemas.microsoft.com/office/drawing/2014/chart" uri="{C3380CC4-5D6E-409C-BE32-E72D297353CC}">
              <c16:uniqueId val="{00000001-5170-4373-9101-D3EE834511F3}"/>
            </c:ext>
          </c:extLst>
        </c:ser>
        <c:ser>
          <c:idx val="0"/>
          <c:order val="1"/>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Skip!$BP$5:$BP$64</c:f>
              <c:numCache>
                <c:formatCode>General</c:formatCode>
                <c:ptCount val="60"/>
                <c:pt idx="0">
                  <c:v>2015.6666666666665</c:v>
                </c:pt>
                <c:pt idx="1">
                  <c:v>2015.7499999999998</c:v>
                </c:pt>
                <c:pt idx="2">
                  <c:v>2015.833333333333</c:v>
                </c:pt>
                <c:pt idx="3">
                  <c:v>2015.9166666666663</c:v>
                </c:pt>
                <c:pt idx="4">
                  <c:v>2015.9999999999995</c:v>
                </c:pt>
                <c:pt idx="5">
                  <c:v>2016.0833333333328</c:v>
                </c:pt>
                <c:pt idx="6">
                  <c:v>2016.1666666666661</c:v>
                </c:pt>
                <c:pt idx="7">
                  <c:v>2016.2499999999993</c:v>
                </c:pt>
                <c:pt idx="8">
                  <c:v>2016.3333333333326</c:v>
                </c:pt>
                <c:pt idx="9">
                  <c:v>2016.4166666666658</c:v>
                </c:pt>
                <c:pt idx="10">
                  <c:v>2016.4999999999991</c:v>
                </c:pt>
                <c:pt idx="11">
                  <c:v>2016.5833333333323</c:v>
                </c:pt>
                <c:pt idx="12">
                  <c:v>2016.6666666666656</c:v>
                </c:pt>
                <c:pt idx="13">
                  <c:v>2016.7499999999989</c:v>
                </c:pt>
                <c:pt idx="14">
                  <c:v>2016.8333333333321</c:v>
                </c:pt>
                <c:pt idx="15">
                  <c:v>2016.9166666666654</c:v>
                </c:pt>
                <c:pt idx="16">
                  <c:v>2016.9999999999986</c:v>
                </c:pt>
                <c:pt idx="17">
                  <c:v>2017.0833333333319</c:v>
                </c:pt>
                <c:pt idx="18">
                  <c:v>2017.1666666666652</c:v>
                </c:pt>
                <c:pt idx="19">
                  <c:v>2017.2499999999984</c:v>
                </c:pt>
                <c:pt idx="20">
                  <c:v>2017.3333333333317</c:v>
                </c:pt>
                <c:pt idx="21">
                  <c:v>2017.4166666666649</c:v>
                </c:pt>
                <c:pt idx="22">
                  <c:v>2017.4999999999982</c:v>
                </c:pt>
                <c:pt idx="23">
                  <c:v>2017.5833333333314</c:v>
                </c:pt>
                <c:pt idx="24">
                  <c:v>2017.6666666666647</c:v>
                </c:pt>
                <c:pt idx="25">
                  <c:v>2017.749999999998</c:v>
                </c:pt>
                <c:pt idx="26">
                  <c:v>2017.8333333333312</c:v>
                </c:pt>
                <c:pt idx="27">
                  <c:v>2017.9166666666645</c:v>
                </c:pt>
                <c:pt idx="28">
                  <c:v>2017.9999999999977</c:v>
                </c:pt>
                <c:pt idx="29">
                  <c:v>2018.083333333331</c:v>
                </c:pt>
                <c:pt idx="30">
                  <c:v>2018.1666666666642</c:v>
                </c:pt>
                <c:pt idx="31">
                  <c:v>2018.2499999999975</c:v>
                </c:pt>
                <c:pt idx="32">
                  <c:v>2018.3333333333308</c:v>
                </c:pt>
                <c:pt idx="33">
                  <c:v>2018.416666666664</c:v>
                </c:pt>
                <c:pt idx="34">
                  <c:v>2018.4999999999973</c:v>
                </c:pt>
                <c:pt idx="35">
                  <c:v>2018.5833333333305</c:v>
                </c:pt>
                <c:pt idx="36">
                  <c:v>2018.6666666666638</c:v>
                </c:pt>
                <c:pt idx="37">
                  <c:v>2018.749999999997</c:v>
                </c:pt>
                <c:pt idx="38">
                  <c:v>2018.8333333333303</c:v>
                </c:pt>
                <c:pt idx="39">
                  <c:v>2018.9166666666636</c:v>
                </c:pt>
                <c:pt idx="40">
                  <c:v>2018.9999999999968</c:v>
                </c:pt>
                <c:pt idx="41">
                  <c:v>2019.0833333333301</c:v>
                </c:pt>
                <c:pt idx="42">
                  <c:v>2019.1666666666633</c:v>
                </c:pt>
                <c:pt idx="43">
                  <c:v>2019.2499999999966</c:v>
                </c:pt>
                <c:pt idx="44">
                  <c:v>2019.3333333333298</c:v>
                </c:pt>
                <c:pt idx="45">
                  <c:v>2019.4166666666631</c:v>
                </c:pt>
                <c:pt idx="46">
                  <c:v>2019.4999999999964</c:v>
                </c:pt>
                <c:pt idx="47">
                  <c:v>2019.5833333333296</c:v>
                </c:pt>
                <c:pt idx="48">
                  <c:v>2019.6666666666629</c:v>
                </c:pt>
                <c:pt idx="49">
                  <c:v>2019.7499999999961</c:v>
                </c:pt>
                <c:pt idx="50">
                  <c:v>2019.8333333333294</c:v>
                </c:pt>
                <c:pt idx="51">
                  <c:v>2019.9166666666626</c:v>
                </c:pt>
                <c:pt idx="52">
                  <c:v>2019.9999999999959</c:v>
                </c:pt>
                <c:pt idx="53">
                  <c:v>2020.0833333333292</c:v>
                </c:pt>
                <c:pt idx="54">
                  <c:v>2020.1666666666624</c:v>
                </c:pt>
                <c:pt idx="55">
                  <c:v>2020.2499999999957</c:v>
                </c:pt>
                <c:pt idx="56">
                  <c:v>2020.3333333333289</c:v>
                </c:pt>
                <c:pt idx="57">
                  <c:v>2020.4166666666622</c:v>
                </c:pt>
                <c:pt idx="58">
                  <c:v>2020.4999999999955</c:v>
                </c:pt>
                <c:pt idx="59">
                  <c:v>2020.5833333333287</c:v>
                </c:pt>
              </c:numCache>
            </c:numRef>
          </c:xVal>
          <c:yVal>
            <c:numRef>
              <c:f>Skip!$CA$5:$CA$64</c:f>
              <c:numCache>
                <c:formatCode>0.0</c:formatCode>
                <c:ptCount val="60"/>
                <c:pt idx="0">
                  <c:v>47830.5</c:v>
                </c:pt>
                <c:pt idx="1">
                  <c:v>46838</c:v>
                </c:pt>
                <c:pt idx="2">
                  <c:v>51495.7</c:v>
                </c:pt>
                <c:pt idx="3">
                  <c:v>48080.800000000003</c:v>
                </c:pt>
                <c:pt idx="4">
                  <c:v>45877.599999999999</c:v>
                </c:pt>
                <c:pt idx="5">
                  <c:v>42520.5</c:v>
                </c:pt>
                <c:pt idx="6">
                  <c:v>44203.1</c:v>
                </c:pt>
                <c:pt idx="7">
                  <c:v>47222.8</c:v>
                </c:pt>
                <c:pt idx="8">
                  <c:v>46768.7</c:v>
                </c:pt>
                <c:pt idx="9">
                  <c:v>48352.9</c:v>
                </c:pt>
                <c:pt idx="10">
                  <c:v>43861.5</c:v>
                </c:pt>
                <c:pt idx="11">
                  <c:v>40617.4</c:v>
                </c:pt>
                <c:pt idx="12">
                  <c:v>46332.4</c:v>
                </c:pt>
                <c:pt idx="13">
                  <c:v>49157</c:v>
                </c:pt>
                <c:pt idx="14">
                  <c:v>41015.199999999997</c:v>
                </c:pt>
                <c:pt idx="15">
                  <c:v>41515.699999999997</c:v>
                </c:pt>
                <c:pt idx="16">
                  <c:v>37693.599999999999</c:v>
                </c:pt>
                <c:pt idx="17">
                  <c:v>33443.599999999999</c:v>
                </c:pt>
                <c:pt idx="18">
                  <c:v>39625.699999999997</c:v>
                </c:pt>
                <c:pt idx="19">
                  <c:v>41323.5</c:v>
                </c:pt>
                <c:pt idx="20">
                  <c:v>49096.9</c:v>
                </c:pt>
                <c:pt idx="21">
                  <c:v>44976</c:v>
                </c:pt>
                <c:pt idx="22">
                  <c:v>38653.1</c:v>
                </c:pt>
                <c:pt idx="23">
                  <c:v>45161.4</c:v>
                </c:pt>
                <c:pt idx="24">
                  <c:v>44869.2</c:v>
                </c:pt>
                <c:pt idx="25">
                  <c:v>55768.6</c:v>
                </c:pt>
                <c:pt idx="26">
                  <c:v>45789.1</c:v>
                </c:pt>
                <c:pt idx="27">
                  <c:v>43211.7</c:v>
                </c:pt>
                <c:pt idx="28">
                  <c:v>48365.2</c:v>
                </c:pt>
                <c:pt idx="29">
                  <c:v>46196.800000000003</c:v>
                </c:pt>
                <c:pt idx="30">
                  <c:v>45685</c:v>
                </c:pt>
                <c:pt idx="31">
                  <c:v>44121.1</c:v>
                </c:pt>
                <c:pt idx="32">
                  <c:v>52417.3</c:v>
                </c:pt>
                <c:pt idx="33">
                  <c:v>50449.3</c:v>
                </c:pt>
                <c:pt idx="34">
                  <c:v>50469.8</c:v>
                </c:pt>
                <c:pt idx="35">
                  <c:v>47773</c:v>
                </c:pt>
                <c:pt idx="36">
                  <c:v>48786.8</c:v>
                </c:pt>
                <c:pt idx="37">
                  <c:v>60961.4</c:v>
                </c:pt>
                <c:pt idx="38">
                  <c:v>53795.5</c:v>
                </c:pt>
                <c:pt idx="39">
                  <c:v>53081.2</c:v>
                </c:pt>
                <c:pt idx="40">
                  <c:v>76557</c:v>
                </c:pt>
                <c:pt idx="41">
                  <c:v>44705</c:v>
                </c:pt>
                <c:pt idx="42">
                  <c:v>52704.9</c:v>
                </c:pt>
                <c:pt idx="43">
                  <c:v>50232.2</c:v>
                </c:pt>
                <c:pt idx="44">
                  <c:v>63230.5</c:v>
                </c:pt>
                <c:pt idx="45">
                  <c:v>45688.3</c:v>
                </c:pt>
                <c:pt idx="46">
                  <c:v>51508.800000000003</c:v>
                </c:pt>
                <c:pt idx="47">
                  <c:v>45886.400000000001</c:v>
                </c:pt>
                <c:pt idx="48">
                  <c:v>50404.6</c:v>
                </c:pt>
                <c:pt idx="49">
                  <c:v>65051.4</c:v>
                </c:pt>
                <c:pt idx="50">
                  <c:v>52114.1</c:v>
                </c:pt>
                <c:pt idx="51">
                  <c:v>42871.1</c:v>
                </c:pt>
                <c:pt idx="52">
                  <c:v>46755.4</c:v>
                </c:pt>
                <c:pt idx="53">
                  <c:v>46096.2</c:v>
                </c:pt>
                <c:pt idx="54">
                  <c:v>56167.5</c:v>
                </c:pt>
                <c:pt idx="55">
                  <c:v>47267.199999999997</c:v>
                </c:pt>
                <c:pt idx="56">
                  <c:v>52949.1</c:v>
                </c:pt>
                <c:pt idx="57">
                  <c:v>46495.1</c:v>
                </c:pt>
                <c:pt idx="58">
                  <c:v>46768.1</c:v>
                </c:pt>
                <c:pt idx="59">
                  <c:v>44056.6</c:v>
                </c:pt>
              </c:numCache>
            </c:numRef>
          </c:yVal>
          <c:smooth val="0"/>
          <c:extLst>
            <c:ext xmlns:c16="http://schemas.microsoft.com/office/drawing/2014/chart" uri="{C3380CC4-5D6E-409C-BE32-E72D297353CC}">
              <c16:uniqueId val="{00000003-5170-4373-9101-D3EE834511F3}"/>
            </c:ext>
          </c:extLst>
        </c:ser>
        <c:dLbls>
          <c:showLegendKey val="0"/>
          <c:showVal val="0"/>
          <c:showCatName val="0"/>
          <c:showSerName val="0"/>
          <c:showPercent val="0"/>
          <c:showBubbleSize val="0"/>
        </c:dLbls>
        <c:axId val="1183985695"/>
        <c:axId val="1060000335"/>
      </c:scatterChart>
      <c:valAx>
        <c:axId val="11839856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60000335"/>
        <c:crosses val="autoZero"/>
        <c:crossBetween val="midCat"/>
      </c:valAx>
      <c:valAx>
        <c:axId val="106000033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183985695"/>
        <c:crosses val="autoZero"/>
        <c:crossBetween val="midCat"/>
      </c:valAx>
    </c:plotArea>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Skip!$N$3</c:f>
          <c:strCache>
            <c:ptCount val="1"/>
            <c:pt idx="0">
              <c:v>Gamla höfnin</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0"/>
          <c:order val="0"/>
          <c:tx>
            <c:strRef>
              <c:f>Skip!$A$9</c:f>
              <c:strCache>
                <c:ptCount val="1"/>
                <c:pt idx="0">
                  <c:v>2016</c:v>
                </c:pt>
              </c:strCache>
            </c:strRef>
          </c:tx>
          <c:spPr>
            <a:solidFill>
              <a:schemeClr val="accent1"/>
            </a:solidFill>
            <a:ln>
              <a:noFill/>
            </a:ln>
            <a:effectLst/>
          </c:spPr>
          <c:invertIfNegative val="0"/>
          <c:cat>
            <c:strRef>
              <c:extLst>
                <c:ext xmlns:c15="http://schemas.microsoft.com/office/drawing/2012/chart" uri="{02D57815-91ED-43cb-92C2-25804820EDAC}">
                  <c15:fullRef>
                    <c15:sqref>Skip!$B$48:$B$59</c15:sqref>
                  </c15:fullRef>
                </c:ext>
              </c:extLst>
              <c:f>(Skip!$B$52,Skip!$B$55,Skip!$B$57,Skip!$B$59)</c:f>
              <c:strCache>
                <c:ptCount val="4"/>
                <c:pt idx="0">
                  <c:v>Flutningaskip</c:v>
                </c:pt>
                <c:pt idx="1">
                  <c:v>Farþegaskip</c:v>
                </c:pt>
                <c:pt idx="2">
                  <c:v>Fiskiskip</c:v>
                </c:pt>
                <c:pt idx="3">
                  <c:v>Önnur skip</c:v>
                </c:pt>
              </c:strCache>
            </c:strRef>
          </c:cat>
          <c:val>
            <c:numRef>
              <c:extLst>
                <c:ext xmlns:c15="http://schemas.microsoft.com/office/drawing/2012/chart" uri="{02D57815-91ED-43cb-92C2-25804820EDAC}">
                  <c15:fullRef>
                    <c15:sqref>Skip!$T$9:$T$20</c15:sqref>
                  </c15:fullRef>
                </c:ext>
              </c:extLst>
              <c:f>(Skip!$T$13,Skip!$T$16,Skip!$T$18,Skip!$T$20)</c:f>
              <c:numCache>
                <c:formatCode>#,##0</c:formatCode>
                <c:ptCount val="4"/>
                <c:pt idx="0">
                  <c:v>113</c:v>
                </c:pt>
                <c:pt idx="1">
                  <c:v>48</c:v>
                </c:pt>
                <c:pt idx="2">
                  <c:v>513</c:v>
                </c:pt>
                <c:pt idx="3">
                  <c:v>114</c:v>
                </c:pt>
              </c:numCache>
            </c:numRef>
          </c:val>
          <c:extLst>
            <c:ext xmlns:c16="http://schemas.microsoft.com/office/drawing/2014/chart" uri="{C3380CC4-5D6E-409C-BE32-E72D297353CC}">
              <c16:uniqueId val="{00000000-478B-43E0-8D8A-84C8D3DE9F4F}"/>
            </c:ext>
          </c:extLst>
        </c:ser>
        <c:ser>
          <c:idx val="1"/>
          <c:order val="1"/>
          <c:tx>
            <c:strRef>
              <c:f>Skip!$A$22</c:f>
              <c:strCache>
                <c:ptCount val="1"/>
                <c:pt idx="0">
                  <c:v>2017</c:v>
                </c:pt>
              </c:strCache>
            </c:strRef>
          </c:tx>
          <c:spPr>
            <a:solidFill>
              <a:schemeClr val="accent2"/>
            </a:solidFill>
            <a:ln>
              <a:noFill/>
            </a:ln>
            <a:effectLst/>
          </c:spPr>
          <c:invertIfNegative val="0"/>
          <c:cat>
            <c:strRef>
              <c:extLst>
                <c:ext xmlns:c15="http://schemas.microsoft.com/office/drawing/2012/chart" uri="{02D57815-91ED-43cb-92C2-25804820EDAC}">
                  <c15:fullRef>
                    <c15:sqref>Skip!$B$48:$B$59</c15:sqref>
                  </c15:fullRef>
                </c:ext>
              </c:extLst>
              <c:f>(Skip!$B$52,Skip!$B$55,Skip!$B$57,Skip!$B$59)</c:f>
              <c:strCache>
                <c:ptCount val="4"/>
                <c:pt idx="0">
                  <c:v>Flutningaskip</c:v>
                </c:pt>
                <c:pt idx="1">
                  <c:v>Farþegaskip</c:v>
                </c:pt>
                <c:pt idx="2">
                  <c:v>Fiskiskip</c:v>
                </c:pt>
                <c:pt idx="3">
                  <c:v>Önnur skip</c:v>
                </c:pt>
              </c:strCache>
            </c:strRef>
          </c:cat>
          <c:val>
            <c:numRef>
              <c:extLst>
                <c:ext xmlns:c15="http://schemas.microsoft.com/office/drawing/2012/chart" uri="{02D57815-91ED-43cb-92C2-25804820EDAC}">
                  <c15:fullRef>
                    <c15:sqref>Skip!$T$22:$T$33</c15:sqref>
                  </c15:fullRef>
                </c:ext>
              </c:extLst>
              <c:f>(Skip!$T$26,Skip!$T$29,Skip!$T$31,Skip!$T$33)</c:f>
              <c:numCache>
                <c:formatCode>#,##0</c:formatCode>
                <c:ptCount val="4"/>
                <c:pt idx="0">
                  <c:v>122</c:v>
                </c:pt>
                <c:pt idx="1">
                  <c:v>55</c:v>
                </c:pt>
                <c:pt idx="2">
                  <c:v>356</c:v>
                </c:pt>
                <c:pt idx="3">
                  <c:v>30</c:v>
                </c:pt>
              </c:numCache>
            </c:numRef>
          </c:val>
          <c:extLst>
            <c:ext xmlns:c16="http://schemas.microsoft.com/office/drawing/2014/chart" uri="{C3380CC4-5D6E-409C-BE32-E72D297353CC}">
              <c16:uniqueId val="{00000001-478B-43E0-8D8A-84C8D3DE9F4F}"/>
            </c:ext>
          </c:extLst>
        </c:ser>
        <c:ser>
          <c:idx val="2"/>
          <c:order val="2"/>
          <c:tx>
            <c:strRef>
              <c:f>Skip!$A$35</c:f>
              <c:strCache>
                <c:ptCount val="1"/>
                <c:pt idx="0">
                  <c:v>2018</c:v>
                </c:pt>
              </c:strCache>
            </c:strRef>
          </c:tx>
          <c:spPr>
            <a:solidFill>
              <a:schemeClr val="accent3"/>
            </a:solidFill>
            <a:ln>
              <a:noFill/>
            </a:ln>
            <a:effectLst/>
          </c:spPr>
          <c:invertIfNegative val="0"/>
          <c:cat>
            <c:strRef>
              <c:extLst>
                <c:ext xmlns:c15="http://schemas.microsoft.com/office/drawing/2012/chart" uri="{02D57815-91ED-43cb-92C2-25804820EDAC}">
                  <c15:fullRef>
                    <c15:sqref>Skip!$B$48:$B$59</c15:sqref>
                  </c15:fullRef>
                </c:ext>
              </c:extLst>
              <c:f>(Skip!$B$52,Skip!$B$55,Skip!$B$57,Skip!$B$59)</c:f>
              <c:strCache>
                <c:ptCount val="4"/>
                <c:pt idx="0">
                  <c:v>Flutningaskip</c:v>
                </c:pt>
                <c:pt idx="1">
                  <c:v>Farþegaskip</c:v>
                </c:pt>
                <c:pt idx="2">
                  <c:v>Fiskiskip</c:v>
                </c:pt>
                <c:pt idx="3">
                  <c:v>Önnur skip</c:v>
                </c:pt>
              </c:strCache>
            </c:strRef>
          </c:cat>
          <c:val>
            <c:numRef>
              <c:extLst>
                <c:ext xmlns:c15="http://schemas.microsoft.com/office/drawing/2012/chart" uri="{02D57815-91ED-43cb-92C2-25804820EDAC}">
                  <c15:fullRef>
                    <c15:sqref>Skip!$T$35:$T$46</c15:sqref>
                  </c15:fullRef>
                </c:ext>
              </c:extLst>
              <c:f>(Skip!$T$39,Skip!$T$42,Skip!$T$44,Skip!$T$46)</c:f>
              <c:numCache>
                <c:formatCode>#,##0</c:formatCode>
                <c:ptCount val="4"/>
                <c:pt idx="0">
                  <c:v>123</c:v>
                </c:pt>
                <c:pt idx="1">
                  <c:v>66</c:v>
                </c:pt>
                <c:pt idx="2">
                  <c:v>368</c:v>
                </c:pt>
                <c:pt idx="3">
                  <c:v>110</c:v>
                </c:pt>
              </c:numCache>
            </c:numRef>
          </c:val>
          <c:extLst>
            <c:ext xmlns:c16="http://schemas.microsoft.com/office/drawing/2014/chart" uri="{C3380CC4-5D6E-409C-BE32-E72D297353CC}">
              <c16:uniqueId val="{00000002-478B-43E0-8D8A-84C8D3DE9F4F}"/>
            </c:ext>
          </c:extLst>
        </c:ser>
        <c:ser>
          <c:idx val="3"/>
          <c:order val="3"/>
          <c:tx>
            <c:strRef>
              <c:f>Skip!$A$48</c:f>
              <c:strCache>
                <c:ptCount val="1"/>
                <c:pt idx="0">
                  <c:v>2019</c:v>
                </c:pt>
              </c:strCache>
            </c:strRef>
          </c:tx>
          <c:spPr>
            <a:solidFill>
              <a:schemeClr val="accent4"/>
            </a:solidFill>
            <a:ln>
              <a:noFill/>
            </a:ln>
            <a:effectLst/>
          </c:spPr>
          <c:invertIfNegative val="0"/>
          <c:cat>
            <c:strRef>
              <c:extLst>
                <c:ext xmlns:c15="http://schemas.microsoft.com/office/drawing/2012/chart" uri="{02D57815-91ED-43cb-92C2-25804820EDAC}">
                  <c15:fullRef>
                    <c15:sqref>Skip!$B$48:$B$59</c15:sqref>
                  </c15:fullRef>
                </c:ext>
              </c:extLst>
              <c:f>(Skip!$B$52,Skip!$B$55,Skip!$B$57,Skip!$B$59)</c:f>
              <c:strCache>
                <c:ptCount val="4"/>
                <c:pt idx="0">
                  <c:v>Flutningaskip</c:v>
                </c:pt>
                <c:pt idx="1">
                  <c:v>Farþegaskip</c:v>
                </c:pt>
                <c:pt idx="2">
                  <c:v>Fiskiskip</c:v>
                </c:pt>
                <c:pt idx="3">
                  <c:v>Önnur skip</c:v>
                </c:pt>
              </c:strCache>
            </c:strRef>
          </c:cat>
          <c:val>
            <c:numRef>
              <c:extLst>
                <c:ext xmlns:c15="http://schemas.microsoft.com/office/drawing/2012/chart" uri="{02D57815-91ED-43cb-92C2-25804820EDAC}">
                  <c15:fullRef>
                    <c15:sqref>Skip!$T$48:$T$59</c15:sqref>
                  </c15:fullRef>
                </c:ext>
              </c:extLst>
              <c:f>(Skip!$T$52,Skip!$T$55,Skip!$T$57,Skip!$T$59)</c:f>
              <c:numCache>
                <c:formatCode>#,##0</c:formatCode>
                <c:ptCount val="4"/>
                <c:pt idx="0">
                  <c:v>143</c:v>
                </c:pt>
                <c:pt idx="1">
                  <c:v>66</c:v>
                </c:pt>
                <c:pt idx="2">
                  <c:v>294</c:v>
                </c:pt>
                <c:pt idx="3">
                  <c:v>83</c:v>
                </c:pt>
              </c:numCache>
            </c:numRef>
          </c:val>
          <c:extLst>
            <c:ext xmlns:c16="http://schemas.microsoft.com/office/drawing/2014/chart" uri="{C3380CC4-5D6E-409C-BE32-E72D297353CC}">
              <c16:uniqueId val="{00000003-478B-43E0-8D8A-84C8D3DE9F4F}"/>
            </c:ext>
          </c:extLst>
        </c:ser>
        <c:ser>
          <c:idx val="4"/>
          <c:order val="4"/>
          <c:tx>
            <c:strRef>
              <c:f>Skip!$A$61</c:f>
              <c:strCache>
                <c:ptCount val="1"/>
                <c:pt idx="0">
                  <c:v>2020</c:v>
                </c:pt>
              </c:strCache>
            </c:strRef>
          </c:tx>
          <c:spPr>
            <a:solidFill>
              <a:schemeClr val="accent5"/>
            </a:solidFill>
            <a:ln>
              <a:noFill/>
            </a:ln>
            <a:effectLst/>
          </c:spPr>
          <c:invertIfNegative val="0"/>
          <c:cat>
            <c:strLit>
              <c:ptCount val="4"/>
              <c:pt idx="0">
                <c:v>Flutningaskip</c:v>
              </c:pt>
              <c:pt idx="1">
                <c:v>Farþegaskip</c:v>
              </c:pt>
              <c:pt idx="2">
                <c:v>Fiskiskip</c:v>
              </c:pt>
              <c:pt idx="3">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Skip!$T$61:$T$72</c15:sqref>
                  </c15:fullRef>
                </c:ext>
              </c:extLst>
              <c:f>(Skip!$T$65,Skip!$T$68,Skip!$T$70,Skip!$T$72)</c:f>
              <c:numCache>
                <c:formatCode>#,##0</c:formatCode>
                <c:ptCount val="4"/>
                <c:pt idx="0">
                  <c:v>153</c:v>
                </c:pt>
                <c:pt idx="1">
                  <c:v>6</c:v>
                </c:pt>
                <c:pt idx="2">
                  <c:v>240</c:v>
                </c:pt>
                <c:pt idx="3">
                  <c:v>43</c:v>
                </c:pt>
              </c:numCache>
            </c:numRef>
          </c:val>
          <c:extLst>
            <c:ext xmlns:c16="http://schemas.microsoft.com/office/drawing/2014/chart" uri="{C3380CC4-5D6E-409C-BE32-E72D297353CC}">
              <c16:uniqueId val="{00000004-478B-43E0-8D8A-84C8D3DE9F4F}"/>
            </c:ext>
          </c:extLst>
        </c:ser>
        <c:ser>
          <c:idx val="5"/>
          <c:order val="5"/>
          <c:tx>
            <c:strRef>
              <c:f>Skip!$A$74</c:f>
              <c:strCache>
                <c:ptCount val="1"/>
                <c:pt idx="0">
                  <c:v>2021</c:v>
                </c:pt>
              </c:strCache>
            </c:strRef>
          </c:tx>
          <c:spPr>
            <a:solidFill>
              <a:schemeClr val="accent6"/>
            </a:solidFill>
            <a:ln>
              <a:noFill/>
            </a:ln>
            <a:effectLst/>
          </c:spPr>
          <c:invertIfNegative val="0"/>
          <c:cat>
            <c:strLit>
              <c:ptCount val="4"/>
              <c:pt idx="0">
                <c:v>Flutningaskip</c:v>
              </c:pt>
              <c:pt idx="1">
                <c:v>Farþegaskip</c:v>
              </c:pt>
              <c:pt idx="2">
                <c:v>Fiskiskip</c:v>
              </c:pt>
              <c:pt idx="3">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Skip!$T$74:$T$85</c15:sqref>
                  </c15:fullRef>
                </c:ext>
              </c:extLst>
              <c:f>(Skip!$T$78,Skip!$T$81,Skip!$T$83,Skip!$T$85)</c:f>
              <c:numCache>
                <c:formatCode>#,##0</c:formatCode>
                <c:ptCount val="4"/>
                <c:pt idx="0">
                  <c:v>161</c:v>
                </c:pt>
                <c:pt idx="1">
                  <c:v>25</c:v>
                </c:pt>
                <c:pt idx="2">
                  <c:v>319</c:v>
                </c:pt>
                <c:pt idx="3">
                  <c:v>60</c:v>
                </c:pt>
              </c:numCache>
            </c:numRef>
          </c:val>
          <c:extLst>
            <c:ext xmlns:c16="http://schemas.microsoft.com/office/drawing/2014/chart" uri="{C3380CC4-5D6E-409C-BE32-E72D297353CC}">
              <c16:uniqueId val="{00000001-7A55-4CE6-A286-38444BB4AA07}"/>
            </c:ext>
          </c:extLst>
        </c:ser>
        <c:dLbls>
          <c:showLegendKey val="0"/>
          <c:showVal val="0"/>
          <c:showCatName val="0"/>
          <c:showSerName val="0"/>
          <c:showPercent val="0"/>
          <c:showBubbleSize val="0"/>
        </c:dLbls>
        <c:gapWidth val="150"/>
        <c:axId val="2085961695"/>
        <c:axId val="2085971999"/>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Fjöldi skipakoma</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Skip!$N$3</c:f>
          <c:strCache>
            <c:ptCount val="1"/>
            <c:pt idx="0">
              <c:v>Gamla höfnin</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0"/>
          <c:order val="0"/>
          <c:tx>
            <c:strRef>
              <c:f>Skip!$A$9</c:f>
              <c:strCache>
                <c:ptCount val="1"/>
                <c:pt idx="0">
                  <c:v>2016</c:v>
                </c:pt>
              </c:strCache>
            </c:strRef>
          </c:tx>
          <c:spPr>
            <a:solidFill>
              <a:schemeClr val="accent1"/>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Skip!$R$9:$R$20</c15:sqref>
                  </c15:fullRef>
                </c:ext>
              </c:extLst>
              <c:f>(Skip!$R$13,Skip!$R$16,Skip!$R$18:$R$20)</c:f>
              <c:numCache>
                <c:formatCode>#,##0</c:formatCode>
                <c:ptCount val="5"/>
                <c:pt idx="0">
                  <c:v>1152.226103</c:v>
                </c:pt>
                <c:pt idx="1">
                  <c:v>1457.8159599999999</c:v>
                </c:pt>
                <c:pt idx="2">
                  <c:v>6211.4049999999997</c:v>
                </c:pt>
                <c:pt idx="3">
                  <c:v>4283.5609999999997</c:v>
                </c:pt>
                <c:pt idx="4">
                  <c:v>1178.4461800000001</c:v>
                </c:pt>
              </c:numCache>
            </c:numRef>
          </c:val>
          <c:extLst>
            <c:ext xmlns:c16="http://schemas.microsoft.com/office/drawing/2014/chart" uri="{C3380CC4-5D6E-409C-BE32-E72D297353CC}">
              <c16:uniqueId val="{00000000-27FA-42F4-B81A-6DD957BF0B1E}"/>
            </c:ext>
          </c:extLst>
        </c:ser>
        <c:ser>
          <c:idx val="1"/>
          <c:order val="1"/>
          <c:tx>
            <c:strRef>
              <c:f>Skip!$A$22</c:f>
              <c:strCache>
                <c:ptCount val="1"/>
                <c:pt idx="0">
                  <c:v>2017</c:v>
                </c:pt>
              </c:strCache>
            </c:strRef>
          </c:tx>
          <c:spPr>
            <a:solidFill>
              <a:schemeClr val="accent2"/>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Skip!$R$22:$R$33</c15:sqref>
                  </c15:fullRef>
                </c:ext>
              </c:extLst>
              <c:f>(Skip!$R$26,Skip!$R$29,Skip!$R$31:$R$33)</c:f>
              <c:numCache>
                <c:formatCode>#,##0</c:formatCode>
                <c:ptCount val="5"/>
                <c:pt idx="0">
                  <c:v>1079.9075969999999</c:v>
                </c:pt>
                <c:pt idx="1">
                  <c:v>1129.7352000000001</c:v>
                </c:pt>
                <c:pt idx="2">
                  <c:v>5805.1783999999998</c:v>
                </c:pt>
                <c:pt idx="3">
                  <c:v>846.87019999999995</c:v>
                </c:pt>
                <c:pt idx="4">
                  <c:v>1179.7946000000002</c:v>
                </c:pt>
              </c:numCache>
            </c:numRef>
          </c:val>
          <c:extLst>
            <c:ext xmlns:c16="http://schemas.microsoft.com/office/drawing/2014/chart" uri="{C3380CC4-5D6E-409C-BE32-E72D297353CC}">
              <c16:uniqueId val="{00000001-27FA-42F4-B81A-6DD957BF0B1E}"/>
            </c:ext>
          </c:extLst>
        </c:ser>
        <c:ser>
          <c:idx val="2"/>
          <c:order val="2"/>
          <c:tx>
            <c:strRef>
              <c:f>Skip!$A$35</c:f>
              <c:strCache>
                <c:ptCount val="1"/>
                <c:pt idx="0">
                  <c:v>2018</c:v>
                </c:pt>
              </c:strCache>
            </c:strRef>
          </c:tx>
          <c:spPr>
            <a:solidFill>
              <a:schemeClr val="accent3"/>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Skip!$R$35:$R$46</c15:sqref>
                  </c15:fullRef>
                </c:ext>
              </c:extLst>
              <c:f>(Skip!$R$39,Skip!$R$42,Skip!$R$44:$R$46)</c:f>
              <c:numCache>
                <c:formatCode>#,##0</c:formatCode>
                <c:ptCount val="5"/>
                <c:pt idx="0">
                  <c:v>1068.4290959999998</c:v>
                </c:pt>
                <c:pt idx="1">
                  <c:v>2056.6404200000002</c:v>
                </c:pt>
                <c:pt idx="2">
                  <c:v>7564.3499999999995</c:v>
                </c:pt>
                <c:pt idx="3">
                  <c:v>820.54463999999996</c:v>
                </c:pt>
                <c:pt idx="4">
                  <c:v>1299.8464999999999</c:v>
                </c:pt>
              </c:numCache>
            </c:numRef>
          </c:val>
          <c:extLst>
            <c:ext xmlns:c16="http://schemas.microsoft.com/office/drawing/2014/chart" uri="{C3380CC4-5D6E-409C-BE32-E72D297353CC}">
              <c16:uniqueId val="{00000002-27FA-42F4-B81A-6DD957BF0B1E}"/>
            </c:ext>
          </c:extLst>
        </c:ser>
        <c:ser>
          <c:idx val="3"/>
          <c:order val="3"/>
          <c:tx>
            <c:strRef>
              <c:f>Skip!$A$48</c:f>
              <c:strCache>
                <c:ptCount val="1"/>
                <c:pt idx="0">
                  <c:v>2019</c:v>
                </c:pt>
              </c:strCache>
            </c:strRef>
          </c:tx>
          <c:spPr>
            <a:solidFill>
              <a:schemeClr val="accent4"/>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Skip!$R$48:$R$59</c15:sqref>
                  </c15:fullRef>
                </c:ext>
              </c:extLst>
              <c:f>(Skip!$R$52,Skip!$R$55,Skip!$R$57:$R$59)</c:f>
              <c:numCache>
                <c:formatCode>#,##0</c:formatCode>
                <c:ptCount val="5"/>
                <c:pt idx="0">
                  <c:v>1830.6551888000001</c:v>
                </c:pt>
                <c:pt idx="1">
                  <c:v>2269.7289260000002</c:v>
                </c:pt>
                <c:pt idx="2">
                  <c:v>8151.4780000000001</c:v>
                </c:pt>
                <c:pt idx="3">
                  <c:v>894.36400000000003</c:v>
                </c:pt>
                <c:pt idx="4">
                  <c:v>1067.47156</c:v>
                </c:pt>
              </c:numCache>
            </c:numRef>
          </c:val>
          <c:extLst>
            <c:ext xmlns:c16="http://schemas.microsoft.com/office/drawing/2014/chart" uri="{C3380CC4-5D6E-409C-BE32-E72D297353CC}">
              <c16:uniqueId val="{00000003-27FA-42F4-B81A-6DD957BF0B1E}"/>
            </c:ext>
          </c:extLst>
        </c:ser>
        <c:ser>
          <c:idx val="4"/>
          <c:order val="4"/>
          <c:tx>
            <c:strRef>
              <c:f>Skip!$A$61</c:f>
              <c:strCache>
                <c:ptCount val="1"/>
                <c:pt idx="0">
                  <c:v>2020</c:v>
                </c:pt>
              </c:strCache>
            </c:strRef>
          </c:tx>
          <c:spPr>
            <a:solidFill>
              <a:schemeClr val="accent5"/>
            </a:solidFill>
            <a:ln>
              <a:noFill/>
            </a:ln>
            <a:effectLst/>
          </c:spPr>
          <c:invertIfNegative val="0"/>
          <c:cat>
            <c:strLit>
              <c:ptCount val="5"/>
              <c:pt idx="0">
                <c:v>Flutningaskip</c:v>
              </c:pt>
              <c:pt idx="1">
                <c:v>Farþegaskip</c:v>
              </c:pt>
              <c:pt idx="2">
                <c:v>Fiskiskip</c:v>
              </c:pt>
              <c:pt idx="3">
                <c:v>Hvalaskoðunarskip</c:v>
              </c:pt>
              <c:pt idx="4">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Skip!$R$61:$R$72</c15:sqref>
                  </c15:fullRef>
                </c:ext>
              </c:extLst>
              <c:f>(Skip!$R$65,Skip!$R$68,Skip!$R$70:$R$72)</c:f>
              <c:numCache>
                <c:formatCode>#,##0</c:formatCode>
                <c:ptCount val="5"/>
                <c:pt idx="0">
                  <c:v>1323.5758699999999</c:v>
                </c:pt>
                <c:pt idx="1">
                  <c:v>553.44195999999999</c:v>
                </c:pt>
                <c:pt idx="2">
                  <c:v>8868.3269999999993</c:v>
                </c:pt>
                <c:pt idx="3">
                  <c:v>350.09008</c:v>
                </c:pt>
                <c:pt idx="4">
                  <c:v>682.5012999999999</c:v>
                </c:pt>
              </c:numCache>
            </c:numRef>
          </c:val>
          <c:extLst>
            <c:ext xmlns:c16="http://schemas.microsoft.com/office/drawing/2014/chart" uri="{C3380CC4-5D6E-409C-BE32-E72D297353CC}">
              <c16:uniqueId val="{00000004-27FA-42F4-B81A-6DD957BF0B1E}"/>
            </c:ext>
          </c:extLst>
        </c:ser>
        <c:ser>
          <c:idx val="5"/>
          <c:order val="5"/>
          <c:tx>
            <c:strRef>
              <c:f>Skip!$A$74</c:f>
              <c:strCache>
                <c:ptCount val="1"/>
                <c:pt idx="0">
                  <c:v>2021</c:v>
                </c:pt>
              </c:strCache>
            </c:strRef>
          </c:tx>
          <c:spPr>
            <a:solidFill>
              <a:schemeClr val="accent6"/>
            </a:solidFill>
            <a:ln>
              <a:noFill/>
            </a:ln>
            <a:effectLst/>
          </c:spPr>
          <c:invertIfNegative val="0"/>
          <c:cat>
            <c:strLit>
              <c:ptCount val="5"/>
              <c:pt idx="0">
                <c:v>Flutningaskip</c:v>
              </c:pt>
              <c:pt idx="1">
                <c:v>Farþegaskip</c:v>
              </c:pt>
              <c:pt idx="2">
                <c:v>Fiskiskip</c:v>
              </c:pt>
              <c:pt idx="3">
                <c:v>Hvalaskoðunarskip</c:v>
              </c:pt>
              <c:pt idx="4">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Skip!$R$74:$R$85</c15:sqref>
                  </c15:fullRef>
                </c:ext>
              </c:extLst>
              <c:f>(Skip!$R$78,Skip!$R$81,Skip!$R$83:$R$85)</c:f>
              <c:numCache>
                <c:formatCode>#,##0</c:formatCode>
                <c:ptCount val="5"/>
                <c:pt idx="0">
                  <c:v>1310.0999999999999</c:v>
                </c:pt>
                <c:pt idx="1">
                  <c:v>1950</c:v>
                </c:pt>
                <c:pt idx="2">
                  <c:v>6160</c:v>
                </c:pt>
                <c:pt idx="3">
                  <c:v>542</c:v>
                </c:pt>
                <c:pt idx="4">
                  <c:v>700</c:v>
                </c:pt>
              </c:numCache>
            </c:numRef>
          </c:val>
          <c:extLst>
            <c:ext xmlns:c16="http://schemas.microsoft.com/office/drawing/2014/chart" uri="{C3380CC4-5D6E-409C-BE32-E72D297353CC}">
              <c16:uniqueId val="{00000001-D3A3-495E-92BC-950775611862}"/>
            </c:ext>
          </c:extLst>
        </c:ser>
        <c:dLbls>
          <c:showLegendKey val="0"/>
          <c:showVal val="0"/>
          <c:showCatName val="0"/>
          <c:showSerName val="0"/>
          <c:showPercent val="0"/>
          <c:showBubbleSize val="0"/>
        </c:dLbls>
        <c:gapWidth val="150"/>
        <c:axId val="2085961695"/>
        <c:axId val="2085971999"/>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Losun (tonn</a:t>
                </a:r>
                <a:r>
                  <a:rPr lang="is-IS" baseline="0"/>
                  <a:t> CO</a:t>
                </a:r>
                <a:r>
                  <a:rPr lang="is-IS" baseline="-25000"/>
                  <a:t>2</a:t>
                </a:r>
                <a:r>
                  <a:rPr lang="is-IS" baseline="0"/>
                  <a:t> ígilda)</a:t>
                </a:r>
                <a:endParaRPr lang="is-I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spPr>
        <a:noFill/>
        <a:ln>
          <a:noFill/>
        </a:ln>
        <a:effectLst/>
      </c:spPr>
    </c:plotArea>
    <c:legend>
      <c:legendPos val="r"/>
      <c:layout>
        <c:manualLayout>
          <c:xMode val="edge"/>
          <c:yMode val="edge"/>
          <c:x val="0.88625864464223014"/>
          <c:y val="0.21614902823074666"/>
          <c:w val="9.3331287844683683E-2"/>
          <c:h val="0.5081227885850748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Skip!$AF$3</c:f>
          <c:strCache>
            <c:ptCount val="1"/>
            <c:pt idx="0">
              <c:v>Hafnarsvæði Reykjavíkur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0"/>
          <c:order val="0"/>
          <c:tx>
            <c:strRef>
              <c:f>Skip!$A$9</c:f>
              <c:strCache>
                <c:ptCount val="1"/>
                <c:pt idx="0">
                  <c:v>2016</c:v>
                </c:pt>
              </c:strCache>
            </c:strRef>
          </c:tx>
          <c:spPr>
            <a:solidFill>
              <a:schemeClr val="accent1"/>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Skip!$AJ$9:$AJ$20</c15:sqref>
                  </c15:fullRef>
                </c:ext>
              </c:extLst>
              <c:f>(Skip!$AJ$13,Skip!$AJ$16,Skip!$AJ$18:$AJ$20)</c:f>
              <c:numCache>
                <c:formatCode>#,##0</c:formatCode>
                <c:ptCount val="5"/>
                <c:pt idx="0">
                  <c:v>11406.129335000001</c:v>
                </c:pt>
                <c:pt idx="1">
                  <c:v>14084.51296</c:v>
                </c:pt>
                <c:pt idx="2">
                  <c:v>8275.8826000000008</c:v>
                </c:pt>
                <c:pt idx="3">
                  <c:v>4283.5609999999997</c:v>
                </c:pt>
                <c:pt idx="4">
                  <c:v>1967.3286800000001</c:v>
                </c:pt>
              </c:numCache>
            </c:numRef>
          </c:val>
          <c:extLst>
            <c:ext xmlns:c16="http://schemas.microsoft.com/office/drawing/2014/chart" uri="{C3380CC4-5D6E-409C-BE32-E72D297353CC}">
              <c16:uniqueId val="{00000000-7EC5-403A-A177-DEA09BEA399D}"/>
            </c:ext>
          </c:extLst>
        </c:ser>
        <c:ser>
          <c:idx val="1"/>
          <c:order val="1"/>
          <c:tx>
            <c:strRef>
              <c:f>Skip!$A$22</c:f>
              <c:strCache>
                <c:ptCount val="1"/>
                <c:pt idx="0">
                  <c:v>2017</c:v>
                </c:pt>
              </c:strCache>
            </c:strRef>
          </c:tx>
          <c:spPr>
            <a:solidFill>
              <a:schemeClr val="accent2"/>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Skip!$AJ$22:$AJ$33</c15:sqref>
                  </c15:fullRef>
                </c:ext>
              </c:extLst>
              <c:f>(Skip!$AJ$26,Skip!$AJ$29,Skip!$AJ$31:$AJ$33)</c:f>
              <c:numCache>
                <c:formatCode>#,##0</c:formatCode>
                <c:ptCount val="5"/>
                <c:pt idx="0">
                  <c:v>13624.686374999999</c:v>
                </c:pt>
                <c:pt idx="1">
                  <c:v>11740.4612</c:v>
                </c:pt>
                <c:pt idx="2">
                  <c:v>7908.3365999999996</c:v>
                </c:pt>
                <c:pt idx="3">
                  <c:v>846.87019999999995</c:v>
                </c:pt>
                <c:pt idx="4">
                  <c:v>1832.02028</c:v>
                </c:pt>
              </c:numCache>
            </c:numRef>
          </c:val>
          <c:extLst>
            <c:ext xmlns:c16="http://schemas.microsoft.com/office/drawing/2014/chart" uri="{C3380CC4-5D6E-409C-BE32-E72D297353CC}">
              <c16:uniqueId val="{00000001-7EC5-403A-A177-DEA09BEA399D}"/>
            </c:ext>
          </c:extLst>
        </c:ser>
        <c:ser>
          <c:idx val="2"/>
          <c:order val="2"/>
          <c:tx>
            <c:strRef>
              <c:f>Skip!$A$35</c:f>
              <c:strCache>
                <c:ptCount val="1"/>
                <c:pt idx="0">
                  <c:v>2018</c:v>
                </c:pt>
              </c:strCache>
            </c:strRef>
          </c:tx>
          <c:spPr>
            <a:solidFill>
              <a:schemeClr val="accent3"/>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Skip!$AJ$35:$AJ$46</c15:sqref>
                  </c15:fullRef>
                </c:ext>
              </c:extLst>
              <c:f>(Skip!$AJ$39,Skip!$AJ$42,Skip!$AJ$44:$AJ$46)</c:f>
              <c:numCache>
                <c:formatCode>#,##0</c:formatCode>
                <c:ptCount val="5"/>
                <c:pt idx="0">
                  <c:v>14525.874195999999</c:v>
                </c:pt>
                <c:pt idx="1">
                  <c:v>14498.507973</c:v>
                </c:pt>
                <c:pt idx="2">
                  <c:v>9556.3616000000002</c:v>
                </c:pt>
                <c:pt idx="3">
                  <c:v>820.54463999999996</c:v>
                </c:pt>
                <c:pt idx="4">
                  <c:v>2125.73396</c:v>
                </c:pt>
              </c:numCache>
            </c:numRef>
          </c:val>
          <c:extLst>
            <c:ext xmlns:c16="http://schemas.microsoft.com/office/drawing/2014/chart" uri="{C3380CC4-5D6E-409C-BE32-E72D297353CC}">
              <c16:uniqueId val="{00000002-7EC5-403A-A177-DEA09BEA399D}"/>
            </c:ext>
          </c:extLst>
        </c:ser>
        <c:ser>
          <c:idx val="3"/>
          <c:order val="3"/>
          <c:tx>
            <c:strRef>
              <c:f>Skip!$A$48</c:f>
              <c:strCache>
                <c:ptCount val="1"/>
                <c:pt idx="0">
                  <c:v>2019</c:v>
                </c:pt>
              </c:strCache>
            </c:strRef>
          </c:tx>
          <c:spPr>
            <a:solidFill>
              <a:schemeClr val="accent4"/>
            </a:solidFill>
            <a:ln>
              <a:noFill/>
            </a:ln>
            <a:effectLst/>
          </c:spPr>
          <c:invertIfNegative val="0"/>
          <c:cat>
            <c:strRef>
              <c:extLst>
                <c:ext xmlns:c15="http://schemas.microsoft.com/office/drawing/2012/chart" uri="{02D57815-91ED-43cb-92C2-25804820EDAC}">
                  <c15:fullRef>
                    <c15:sqref>Skip!$B$35:$B$46</c15:sqref>
                  </c15:fullRef>
                </c:ext>
              </c:extLst>
              <c:f>(Skip!$B$39,Skip!$B$42,Skip!$B$44:$B$46)</c:f>
              <c:strCache>
                <c:ptCount val="5"/>
                <c:pt idx="0">
                  <c:v>Flutningaskip</c:v>
                </c:pt>
                <c:pt idx="1">
                  <c:v>Farþegaskip</c:v>
                </c:pt>
                <c:pt idx="2">
                  <c:v>Fiskiskip</c:v>
                </c:pt>
                <c:pt idx="3">
                  <c:v>Hvalaskoðunarskip</c:v>
                </c:pt>
                <c:pt idx="4">
                  <c:v>Önnur skip</c:v>
                </c:pt>
              </c:strCache>
            </c:strRef>
          </c:cat>
          <c:val>
            <c:numRef>
              <c:extLst>
                <c:ext xmlns:c15="http://schemas.microsoft.com/office/drawing/2012/chart" uri="{02D57815-91ED-43cb-92C2-25804820EDAC}">
                  <c15:fullRef>
                    <c15:sqref>Skip!$AJ$48:$AJ$59</c15:sqref>
                  </c15:fullRef>
                </c:ext>
              </c:extLst>
              <c:f>(Skip!$AJ$52,Skip!$AJ$55,Skip!$AJ$57:$AJ$59)</c:f>
              <c:numCache>
                <c:formatCode>#,##0</c:formatCode>
                <c:ptCount val="5"/>
                <c:pt idx="0">
                  <c:v>19691.6813688</c:v>
                </c:pt>
                <c:pt idx="1">
                  <c:v>19236.403826000002</c:v>
                </c:pt>
                <c:pt idx="2">
                  <c:v>10032.291499999999</c:v>
                </c:pt>
                <c:pt idx="3">
                  <c:v>894.36400000000003</c:v>
                </c:pt>
                <c:pt idx="4">
                  <c:v>1219.0111100000001</c:v>
                </c:pt>
              </c:numCache>
            </c:numRef>
          </c:val>
          <c:extLst>
            <c:ext xmlns:c16="http://schemas.microsoft.com/office/drawing/2014/chart" uri="{C3380CC4-5D6E-409C-BE32-E72D297353CC}">
              <c16:uniqueId val="{00000003-7EC5-403A-A177-DEA09BEA399D}"/>
            </c:ext>
          </c:extLst>
        </c:ser>
        <c:ser>
          <c:idx val="4"/>
          <c:order val="4"/>
          <c:tx>
            <c:strRef>
              <c:f>Skip!$A$61</c:f>
              <c:strCache>
                <c:ptCount val="1"/>
                <c:pt idx="0">
                  <c:v>2020</c:v>
                </c:pt>
              </c:strCache>
            </c:strRef>
          </c:tx>
          <c:spPr>
            <a:solidFill>
              <a:schemeClr val="accent5"/>
            </a:solidFill>
            <a:ln>
              <a:noFill/>
            </a:ln>
            <a:effectLst/>
          </c:spPr>
          <c:invertIfNegative val="0"/>
          <c:cat>
            <c:strLit>
              <c:ptCount val="5"/>
              <c:pt idx="0">
                <c:v>Flutningaskip</c:v>
              </c:pt>
              <c:pt idx="1">
                <c:v>Farþegaskip</c:v>
              </c:pt>
              <c:pt idx="2">
                <c:v>Fiskiskip</c:v>
              </c:pt>
              <c:pt idx="3">
                <c:v>Hvalaskoðunarskip</c:v>
              </c:pt>
              <c:pt idx="4">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Skip!$AJ$61:$AJ$72</c15:sqref>
                  </c15:fullRef>
                </c:ext>
              </c:extLst>
              <c:f>(Skip!$AJ$65,Skip!$AJ$68,Skip!$AJ$70:$AJ$72)</c:f>
              <c:numCache>
                <c:formatCode>#,##0</c:formatCode>
                <c:ptCount val="5"/>
                <c:pt idx="0">
                  <c:v>21826.272494000001</c:v>
                </c:pt>
                <c:pt idx="1">
                  <c:v>874.11160200000006</c:v>
                </c:pt>
                <c:pt idx="2">
                  <c:v>13660.6332</c:v>
                </c:pt>
                <c:pt idx="3">
                  <c:v>350.09008</c:v>
                </c:pt>
                <c:pt idx="4">
                  <c:v>861.18843000000004</c:v>
                </c:pt>
              </c:numCache>
            </c:numRef>
          </c:val>
          <c:extLst>
            <c:ext xmlns:c16="http://schemas.microsoft.com/office/drawing/2014/chart" uri="{C3380CC4-5D6E-409C-BE32-E72D297353CC}">
              <c16:uniqueId val="{00000004-7EC5-403A-A177-DEA09BEA399D}"/>
            </c:ext>
          </c:extLst>
        </c:ser>
        <c:ser>
          <c:idx val="5"/>
          <c:order val="5"/>
          <c:tx>
            <c:strRef>
              <c:f>Skip!$A$74</c:f>
              <c:strCache>
                <c:ptCount val="1"/>
                <c:pt idx="0">
                  <c:v>2021</c:v>
                </c:pt>
              </c:strCache>
            </c:strRef>
          </c:tx>
          <c:spPr>
            <a:solidFill>
              <a:schemeClr val="accent6"/>
            </a:solidFill>
            <a:ln>
              <a:noFill/>
            </a:ln>
            <a:effectLst/>
          </c:spPr>
          <c:invertIfNegative val="0"/>
          <c:cat>
            <c:strLit>
              <c:ptCount val="5"/>
              <c:pt idx="0">
                <c:v>Flutningaskip</c:v>
              </c:pt>
              <c:pt idx="1">
                <c:v>Farþegaskip</c:v>
              </c:pt>
              <c:pt idx="2">
                <c:v>Fiskiskip</c:v>
              </c:pt>
              <c:pt idx="3">
                <c:v>Hvalaskoðunarskip</c:v>
              </c:pt>
              <c:pt idx="4">
                <c:v>Önnur skip</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Skip!$AJ$74:$AJ$85</c15:sqref>
                  </c15:fullRef>
                </c:ext>
              </c:extLst>
              <c:f>(Skip!$AJ$78,Skip!$AJ$81,Skip!$AJ$83:$AJ$85)</c:f>
              <c:numCache>
                <c:formatCode>#,##0</c:formatCode>
                <c:ptCount val="5"/>
                <c:pt idx="0">
                  <c:v>17308.099999999999</c:v>
                </c:pt>
                <c:pt idx="1">
                  <c:v>6830</c:v>
                </c:pt>
                <c:pt idx="2">
                  <c:v>9880</c:v>
                </c:pt>
                <c:pt idx="3">
                  <c:v>542</c:v>
                </c:pt>
                <c:pt idx="4">
                  <c:v>1000</c:v>
                </c:pt>
              </c:numCache>
            </c:numRef>
          </c:val>
          <c:extLst>
            <c:ext xmlns:c16="http://schemas.microsoft.com/office/drawing/2014/chart" uri="{C3380CC4-5D6E-409C-BE32-E72D297353CC}">
              <c16:uniqueId val="{00000003-6608-4AC4-9EC8-A972232B858C}"/>
            </c:ext>
          </c:extLst>
        </c:ser>
        <c:dLbls>
          <c:showLegendKey val="0"/>
          <c:showVal val="0"/>
          <c:showCatName val="0"/>
          <c:showSerName val="0"/>
          <c:showPercent val="0"/>
          <c:showBubbleSize val="0"/>
        </c:dLbls>
        <c:gapWidth val="150"/>
        <c:axId val="2085961695"/>
        <c:axId val="2085971999"/>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Losun (tonn</a:t>
                </a:r>
                <a:r>
                  <a:rPr lang="is-IS" baseline="0"/>
                  <a:t> CO</a:t>
                </a:r>
                <a:r>
                  <a:rPr lang="is-IS" baseline="-25000"/>
                  <a:t>2</a:t>
                </a:r>
                <a:r>
                  <a:rPr lang="is-IS" baseline="0"/>
                  <a:t> ígilda)</a:t>
                </a:r>
                <a:endParaRPr lang="is-I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spPr>
        <a:noFill/>
        <a:ln>
          <a:noFill/>
        </a:ln>
        <a:effectLst/>
      </c:spPr>
    </c:plotArea>
    <c:legend>
      <c:legendPos val="r"/>
      <c:layout>
        <c:manualLayout>
          <c:xMode val="edge"/>
          <c:yMode val="edge"/>
          <c:x val="0.88625864464223014"/>
          <c:y val="0.21614902823074666"/>
          <c:w val="9.345566098357104E-2"/>
          <c:h val="0.4679535555651386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Skip!$AF$3</c:f>
          <c:strCache>
            <c:ptCount val="1"/>
            <c:pt idx="0">
              <c:v>Hafnarsvæði Reykjavíkur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6"/>
          <c:order val="0"/>
          <c:tx>
            <c:strRef>
              <c:f>Skip!$A$9</c:f>
              <c:strCache>
                <c:ptCount val="1"/>
                <c:pt idx="0">
                  <c:v>2016</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Skip!$AL$9:$AL$20</c:f>
              <c:numCache>
                <c:formatCode>#,##0</c:formatCode>
                <c:ptCount val="12"/>
                <c:pt idx="0">
                  <c:v>3</c:v>
                </c:pt>
                <c:pt idx="1">
                  <c:v>237</c:v>
                </c:pt>
                <c:pt idx="2">
                  <c:v>147</c:v>
                </c:pt>
                <c:pt idx="3">
                  <c:v>112</c:v>
                </c:pt>
                <c:pt idx="4">
                  <c:v>499</c:v>
                </c:pt>
                <c:pt idx="5">
                  <c:v>8</c:v>
                </c:pt>
                <c:pt idx="6">
                  <c:v>102</c:v>
                </c:pt>
                <c:pt idx="7">
                  <c:v>110</c:v>
                </c:pt>
                <c:pt idx="8">
                  <c:v>609</c:v>
                </c:pt>
                <c:pt idx="9">
                  <c:v>583</c:v>
                </c:pt>
                <c:pt idx="10">
                  <c:v>5607</c:v>
                </c:pt>
                <c:pt idx="11">
                  <c:v>144</c:v>
                </c:pt>
              </c:numCache>
            </c:numRef>
          </c:val>
          <c:extLst>
            <c:ext xmlns:c16="http://schemas.microsoft.com/office/drawing/2014/chart" uri="{C3380CC4-5D6E-409C-BE32-E72D297353CC}">
              <c16:uniqueId val="{0000000E-0114-4D49-BD6C-6E3C80B0D331}"/>
            </c:ext>
          </c:extLst>
        </c:ser>
        <c:ser>
          <c:idx val="7"/>
          <c:order val="1"/>
          <c:tx>
            <c:strRef>
              <c:f>Skip!$A$22</c:f>
              <c:strCache>
                <c:ptCount val="1"/>
                <c:pt idx="0">
                  <c:v>2017</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Skip!$AL$22:$AL$33</c:f>
              <c:numCache>
                <c:formatCode>#,##0</c:formatCode>
                <c:ptCount val="12"/>
                <c:pt idx="0">
                  <c:v>3</c:v>
                </c:pt>
                <c:pt idx="1">
                  <c:v>284</c:v>
                </c:pt>
                <c:pt idx="2">
                  <c:v>182</c:v>
                </c:pt>
                <c:pt idx="3">
                  <c:v>113</c:v>
                </c:pt>
                <c:pt idx="4">
                  <c:v>582</c:v>
                </c:pt>
                <c:pt idx="5">
                  <c:v>6</c:v>
                </c:pt>
                <c:pt idx="6">
                  <c:v>129</c:v>
                </c:pt>
                <c:pt idx="7">
                  <c:v>135</c:v>
                </c:pt>
                <c:pt idx="8">
                  <c:v>717</c:v>
                </c:pt>
                <c:pt idx="9">
                  <c:v>468</c:v>
                </c:pt>
                <c:pt idx="10">
                  <c:v>5375</c:v>
                </c:pt>
                <c:pt idx="11">
                  <c:v>61</c:v>
                </c:pt>
              </c:numCache>
            </c:numRef>
          </c:val>
          <c:extLst>
            <c:ext xmlns:c16="http://schemas.microsoft.com/office/drawing/2014/chart" uri="{C3380CC4-5D6E-409C-BE32-E72D297353CC}">
              <c16:uniqueId val="{0000000F-0114-4D49-BD6C-6E3C80B0D331}"/>
            </c:ext>
          </c:extLst>
        </c:ser>
        <c:ser>
          <c:idx val="8"/>
          <c:order val="2"/>
          <c:tx>
            <c:strRef>
              <c:f>Skip!$A$35</c:f>
              <c:strCache>
                <c:ptCount val="1"/>
                <c:pt idx="0">
                  <c:v>2018</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Skip!$AL$35:$AL$46</c:f>
              <c:numCache>
                <c:formatCode>#,##0</c:formatCode>
                <c:ptCount val="12"/>
                <c:pt idx="0">
                  <c:v>2</c:v>
                </c:pt>
                <c:pt idx="1">
                  <c:v>269</c:v>
                </c:pt>
                <c:pt idx="2">
                  <c:v>166</c:v>
                </c:pt>
                <c:pt idx="3">
                  <c:v>121</c:v>
                </c:pt>
                <c:pt idx="4">
                  <c:v>558</c:v>
                </c:pt>
                <c:pt idx="5">
                  <c:v>5</c:v>
                </c:pt>
                <c:pt idx="6">
                  <c:v>145</c:v>
                </c:pt>
                <c:pt idx="7">
                  <c:v>150</c:v>
                </c:pt>
                <c:pt idx="8">
                  <c:v>708</c:v>
                </c:pt>
                <c:pt idx="9">
                  <c:v>446</c:v>
                </c:pt>
                <c:pt idx="10">
                  <c:v>4520</c:v>
                </c:pt>
                <c:pt idx="11">
                  <c:v>141</c:v>
                </c:pt>
              </c:numCache>
            </c:numRef>
          </c:val>
          <c:extLst>
            <c:ext xmlns:c16="http://schemas.microsoft.com/office/drawing/2014/chart" uri="{C3380CC4-5D6E-409C-BE32-E72D297353CC}">
              <c16:uniqueId val="{00000010-0114-4D49-BD6C-6E3C80B0D331}"/>
            </c:ext>
          </c:extLst>
        </c:ser>
        <c:ser>
          <c:idx val="9"/>
          <c:order val="3"/>
          <c:tx>
            <c:strRef>
              <c:f>Skip!$A$48</c:f>
              <c:strCache>
                <c:ptCount val="1"/>
                <c:pt idx="0">
                  <c:v>2019</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Skip!$AL$48:$AL$59</c:f>
              <c:numCache>
                <c:formatCode>#,##0</c:formatCode>
                <c:ptCount val="12"/>
                <c:pt idx="0">
                  <c:v>14</c:v>
                </c:pt>
                <c:pt idx="1">
                  <c:v>339</c:v>
                </c:pt>
                <c:pt idx="2">
                  <c:v>124</c:v>
                </c:pt>
                <c:pt idx="3">
                  <c:v>143</c:v>
                </c:pt>
                <c:pt idx="4">
                  <c:v>620</c:v>
                </c:pt>
                <c:pt idx="5">
                  <c:v>10</c:v>
                </c:pt>
                <c:pt idx="6">
                  <c:v>165</c:v>
                </c:pt>
                <c:pt idx="7">
                  <c:v>175</c:v>
                </c:pt>
                <c:pt idx="8">
                  <c:v>795</c:v>
                </c:pt>
                <c:pt idx="9">
                  <c:v>336</c:v>
                </c:pt>
                <c:pt idx="10">
                  <c:v>5542</c:v>
                </c:pt>
                <c:pt idx="11">
                  <c:v>92</c:v>
                </c:pt>
              </c:numCache>
            </c:numRef>
          </c:val>
          <c:extLst>
            <c:ext xmlns:c16="http://schemas.microsoft.com/office/drawing/2014/chart" uri="{C3380CC4-5D6E-409C-BE32-E72D297353CC}">
              <c16:uniqueId val="{00000011-0114-4D49-BD6C-6E3C80B0D331}"/>
            </c:ext>
          </c:extLst>
        </c:ser>
        <c:ser>
          <c:idx val="10"/>
          <c:order val="4"/>
          <c:tx>
            <c:strRef>
              <c:f>Skip!$A$61</c:f>
              <c:strCache>
                <c:ptCount val="1"/>
                <c:pt idx="0">
                  <c:v>2020</c:v>
                </c:pt>
              </c:strCache>
            </c:strRef>
          </c:tx>
          <c:invertIfNegative val="0"/>
          <c:val>
            <c:numRef>
              <c:f>Skip!$AL$61:$AL$72</c:f>
              <c:numCache>
                <c:formatCode>#,##0</c:formatCode>
                <c:ptCount val="12"/>
                <c:pt idx="0">
                  <c:v>0</c:v>
                </c:pt>
                <c:pt idx="1">
                  <c:v>270</c:v>
                </c:pt>
                <c:pt idx="2">
                  <c:v>100</c:v>
                </c:pt>
                <c:pt idx="3">
                  <c:v>152</c:v>
                </c:pt>
                <c:pt idx="4">
                  <c:v>522</c:v>
                </c:pt>
                <c:pt idx="5">
                  <c:v>1</c:v>
                </c:pt>
                <c:pt idx="6">
                  <c:v>7</c:v>
                </c:pt>
                <c:pt idx="7">
                  <c:v>8</c:v>
                </c:pt>
                <c:pt idx="8">
                  <c:v>530</c:v>
                </c:pt>
                <c:pt idx="9">
                  <c:v>293</c:v>
                </c:pt>
                <c:pt idx="10">
                  <c:v>1773</c:v>
                </c:pt>
                <c:pt idx="11">
                  <c:v>57</c:v>
                </c:pt>
              </c:numCache>
            </c:numRef>
          </c:val>
          <c:extLst>
            <c:ext xmlns:c16="http://schemas.microsoft.com/office/drawing/2014/chart" uri="{C3380CC4-5D6E-409C-BE32-E72D297353CC}">
              <c16:uniqueId val="{00000012-0114-4D49-BD6C-6E3C80B0D331}"/>
            </c:ext>
          </c:extLst>
        </c:ser>
        <c:ser>
          <c:idx val="11"/>
          <c:order val="5"/>
          <c:tx>
            <c:strRef>
              <c:f>Skip!$A$74</c:f>
              <c:strCache>
                <c:ptCount val="1"/>
                <c:pt idx="0">
                  <c:v>2021</c:v>
                </c:pt>
              </c:strCache>
            </c:strRef>
          </c:tx>
          <c:invertIfNegative val="0"/>
          <c:val>
            <c:numRef>
              <c:f>Skip!$AL$74:$AL$85</c:f>
              <c:numCache>
                <c:formatCode>#,##0</c:formatCode>
                <c:ptCount val="12"/>
                <c:pt idx="0">
                  <c:v>6</c:v>
                </c:pt>
                <c:pt idx="1">
                  <c:v>298</c:v>
                </c:pt>
                <c:pt idx="2">
                  <c:v>109</c:v>
                </c:pt>
                <c:pt idx="3">
                  <c:v>150</c:v>
                </c:pt>
                <c:pt idx="4">
                  <c:v>563</c:v>
                </c:pt>
                <c:pt idx="5">
                  <c:v>1</c:v>
                </c:pt>
                <c:pt idx="6">
                  <c:v>58</c:v>
                </c:pt>
                <c:pt idx="7">
                  <c:v>59</c:v>
                </c:pt>
                <c:pt idx="8">
                  <c:v>622</c:v>
                </c:pt>
                <c:pt idx="9">
                  <c:v>393</c:v>
                </c:pt>
                <c:pt idx="10">
                  <c:v>2383</c:v>
                </c:pt>
                <c:pt idx="11">
                  <c:v>78</c:v>
                </c:pt>
              </c:numCache>
            </c:numRef>
          </c:val>
          <c:extLst>
            <c:ext xmlns:c16="http://schemas.microsoft.com/office/drawing/2014/chart" uri="{C3380CC4-5D6E-409C-BE32-E72D297353CC}">
              <c16:uniqueId val="{00000013-0114-4D49-BD6C-6E3C80B0D331}"/>
            </c:ext>
          </c:extLst>
        </c:ser>
        <c:dLbls>
          <c:showLegendKey val="0"/>
          <c:showVal val="0"/>
          <c:showCatName val="0"/>
          <c:showSerName val="0"/>
          <c:showPercent val="0"/>
          <c:showBubbleSize val="0"/>
        </c:dLbls>
        <c:gapWidth val="150"/>
        <c:axId val="2085961695"/>
        <c:axId val="2085971999"/>
        <c:extLst>
          <c:ext xmlns:c15="http://schemas.microsoft.com/office/drawing/2012/chart" uri="{02D57815-91ED-43cb-92C2-25804820EDAC}">
            <c15:filteredBarSeries>
              <c15:ser>
                <c:idx val="0"/>
                <c:order val="6"/>
                <c:tx>
                  <c:strRef>
                    <c:extLst>
                      <c:ext uri="{02D57815-91ED-43cb-92C2-25804820EDAC}">
                        <c15:formulaRef>
                          <c15:sqref>Skip!$A$9</c15:sqref>
                        </c15:formulaRef>
                      </c:ext>
                    </c:extLst>
                    <c:strCache>
                      <c:ptCount val="1"/>
                      <c:pt idx="0">
                        <c:v>2016</c:v>
                      </c:pt>
                    </c:strCache>
                  </c:strRef>
                </c:tx>
                <c:spPr>
                  <a:solidFill>
                    <a:schemeClr val="accent1"/>
                  </a:solidFill>
                  <a:ln>
                    <a:noFill/>
                  </a:ln>
                  <a:effectLst/>
                </c:spPr>
                <c:invertIfNegative val="0"/>
                <c:cat>
                  <c:strRef>
                    <c:extLst>
                      <c:ex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c:ext uri="{02D57815-91ED-43cb-92C2-25804820EDAC}">
                        <c15:formulaRef>
                          <c15:sqref>(Skip!$AL$13,Skip!$AL$16,Skip!$AL$18,Skip!$AL$20)</c15:sqref>
                        </c15:formulaRef>
                      </c:ext>
                    </c:extLst>
                    <c:numCache>
                      <c:formatCode>#,##0</c:formatCode>
                      <c:ptCount val="4"/>
                      <c:pt idx="0">
                        <c:v>499</c:v>
                      </c:pt>
                      <c:pt idx="1">
                        <c:v>110</c:v>
                      </c:pt>
                      <c:pt idx="2">
                        <c:v>583</c:v>
                      </c:pt>
                      <c:pt idx="3">
                        <c:v>144</c:v>
                      </c:pt>
                    </c:numCache>
                  </c:numRef>
                </c:val>
                <c:extLst>
                  <c:ext xmlns:c16="http://schemas.microsoft.com/office/drawing/2014/chart" uri="{C3380CC4-5D6E-409C-BE32-E72D297353CC}">
                    <c16:uniqueId val="{00000003-0114-4D49-BD6C-6E3C80B0D331}"/>
                  </c:ext>
                </c:extLst>
              </c15:ser>
            </c15:filteredBarSeries>
            <c15:filteredBarSeries>
              <c15:ser>
                <c:idx val="1"/>
                <c:order val="7"/>
                <c:tx>
                  <c:strRef>
                    <c:extLst xmlns:c15="http://schemas.microsoft.com/office/drawing/2012/chart">
                      <c:ext xmlns:c15="http://schemas.microsoft.com/office/drawing/2012/chart" uri="{02D57815-91ED-43cb-92C2-25804820EDAC}">
                        <c15:formulaRef>
                          <c15:sqref>Skip!$A$22</c15:sqref>
                        </c15:formulaRef>
                      </c:ext>
                    </c:extLst>
                    <c:strCache>
                      <c:ptCount val="1"/>
                      <c:pt idx="0">
                        <c:v>2017</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xmlns:c15="http://schemas.microsoft.com/office/drawing/2012/chart">
                      <c:ext xmlns:c15="http://schemas.microsoft.com/office/drawing/2012/chart" uri="{02D57815-91ED-43cb-92C2-25804820EDAC}">
                        <c15:formulaRef>
                          <c15:sqref>(Skip!$AL$26,Skip!$AL$29,Skip!$AL$31,Skip!$AL$33)</c15:sqref>
                        </c15:formulaRef>
                      </c:ext>
                    </c:extLst>
                    <c:numCache>
                      <c:formatCode>#,##0</c:formatCode>
                      <c:ptCount val="4"/>
                      <c:pt idx="0">
                        <c:v>582</c:v>
                      </c:pt>
                      <c:pt idx="1">
                        <c:v>135</c:v>
                      </c:pt>
                      <c:pt idx="2">
                        <c:v>468</c:v>
                      </c:pt>
                      <c:pt idx="3">
                        <c:v>61</c:v>
                      </c:pt>
                    </c:numCache>
                  </c:numRef>
                </c:val>
                <c:extLst xmlns:c15="http://schemas.microsoft.com/office/drawing/2012/chart">
                  <c:ext xmlns:c16="http://schemas.microsoft.com/office/drawing/2014/chart" uri="{C3380CC4-5D6E-409C-BE32-E72D297353CC}">
                    <c16:uniqueId val="{00000005-0114-4D49-BD6C-6E3C80B0D331}"/>
                  </c:ext>
                </c:extLst>
              </c15:ser>
            </c15:filteredBarSeries>
            <c15:filteredBarSeries>
              <c15:ser>
                <c:idx val="2"/>
                <c:order val="8"/>
                <c:tx>
                  <c:strRef>
                    <c:extLst xmlns:c15="http://schemas.microsoft.com/office/drawing/2012/chart">
                      <c:ext xmlns:c15="http://schemas.microsoft.com/office/drawing/2012/chart" uri="{02D57815-91ED-43cb-92C2-25804820EDAC}">
                        <c15:formulaRef>
                          <c15:sqref>Skip!$A$35</c15:sqref>
                        </c15:formulaRef>
                      </c:ext>
                    </c:extLst>
                    <c:strCache>
                      <c:ptCount val="1"/>
                      <c:pt idx="0">
                        <c:v>2018</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xmlns:c15="http://schemas.microsoft.com/office/drawing/2012/chart">
                      <c:ext xmlns:c15="http://schemas.microsoft.com/office/drawing/2012/chart" uri="{02D57815-91ED-43cb-92C2-25804820EDAC}">
                        <c15:formulaRef>
                          <c15:sqref>(Skip!$AL$39,Skip!$AL$42,Skip!$AL$44,Skip!$AL$46)</c15:sqref>
                        </c15:formulaRef>
                      </c:ext>
                    </c:extLst>
                    <c:numCache>
                      <c:formatCode>#,##0</c:formatCode>
                      <c:ptCount val="4"/>
                      <c:pt idx="0">
                        <c:v>558</c:v>
                      </c:pt>
                      <c:pt idx="1">
                        <c:v>150</c:v>
                      </c:pt>
                      <c:pt idx="2">
                        <c:v>446</c:v>
                      </c:pt>
                      <c:pt idx="3">
                        <c:v>141</c:v>
                      </c:pt>
                    </c:numCache>
                  </c:numRef>
                </c:val>
                <c:extLst xmlns:c15="http://schemas.microsoft.com/office/drawing/2012/chart">
                  <c:ext xmlns:c16="http://schemas.microsoft.com/office/drawing/2014/chart" uri="{C3380CC4-5D6E-409C-BE32-E72D297353CC}">
                    <c16:uniqueId val="{00000007-0114-4D49-BD6C-6E3C80B0D331}"/>
                  </c:ext>
                </c:extLst>
              </c15:ser>
            </c15:filteredBarSeries>
            <c15:filteredBarSeries>
              <c15:ser>
                <c:idx val="3"/>
                <c:order val="9"/>
                <c:tx>
                  <c:strRef>
                    <c:extLst xmlns:c15="http://schemas.microsoft.com/office/drawing/2012/chart">
                      <c:ext xmlns:c15="http://schemas.microsoft.com/office/drawing/2012/chart" uri="{02D57815-91ED-43cb-92C2-25804820EDAC}">
                        <c15:formulaRef>
                          <c15:sqref>Skip!$A$48</c15:sqref>
                        </c15:formulaRef>
                      </c:ext>
                    </c:extLst>
                    <c:strCache>
                      <c:ptCount val="1"/>
                      <c:pt idx="0">
                        <c:v>2019</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xmlns:c15="http://schemas.microsoft.com/office/drawing/2012/chart">
                      <c:ext xmlns:c15="http://schemas.microsoft.com/office/drawing/2012/chart" uri="{02D57815-91ED-43cb-92C2-25804820EDAC}">
                        <c15:formulaRef>
                          <c15:sqref>(Skip!$AL$52,Skip!$AL$55,Skip!$AL$57,Skip!$AL$59)</c15:sqref>
                        </c15:formulaRef>
                      </c:ext>
                    </c:extLst>
                    <c:numCache>
                      <c:formatCode>#,##0</c:formatCode>
                      <c:ptCount val="4"/>
                      <c:pt idx="0">
                        <c:v>620</c:v>
                      </c:pt>
                      <c:pt idx="1">
                        <c:v>175</c:v>
                      </c:pt>
                      <c:pt idx="2">
                        <c:v>336</c:v>
                      </c:pt>
                      <c:pt idx="3">
                        <c:v>92</c:v>
                      </c:pt>
                    </c:numCache>
                  </c:numRef>
                </c:val>
                <c:extLst xmlns:c15="http://schemas.microsoft.com/office/drawing/2012/chart">
                  <c:ext xmlns:c16="http://schemas.microsoft.com/office/drawing/2014/chart" uri="{C3380CC4-5D6E-409C-BE32-E72D297353CC}">
                    <c16:uniqueId val="{00000009-0114-4D49-BD6C-6E3C80B0D331}"/>
                  </c:ext>
                </c:extLst>
              </c15:ser>
            </c15:filteredBarSeries>
            <c15:filteredBarSeries>
              <c15:ser>
                <c:idx val="4"/>
                <c:order val="10"/>
                <c:tx>
                  <c:strRef>
                    <c:extLst xmlns:c15="http://schemas.microsoft.com/office/drawing/2012/chart">
                      <c:ext xmlns:c15="http://schemas.microsoft.com/office/drawing/2012/chart" uri="{02D57815-91ED-43cb-92C2-25804820EDAC}">
                        <c15:formulaRef>
                          <c15:sqref>Skip!$A$61</c15:sqref>
                        </c15:formulaRef>
                      </c:ext>
                    </c:extLst>
                    <c:strCache>
                      <c:ptCount val="1"/>
                      <c:pt idx="0">
                        <c:v>2020</c:v>
                      </c:pt>
                    </c:strCache>
                  </c:strRef>
                </c:tx>
                <c:spPr>
                  <a:solidFill>
                    <a:schemeClr val="accent5"/>
                  </a:solidFill>
                  <a:ln>
                    <a:noFill/>
                  </a:ln>
                  <a:effectLst/>
                </c:spPr>
                <c:invertIfNegative val="0"/>
                <c:val>
                  <c:numRef>
                    <c:extLst xmlns:c15="http://schemas.microsoft.com/office/drawing/2012/chart">
                      <c:ext xmlns:c15="http://schemas.microsoft.com/office/drawing/2012/chart" uri="{02D57815-91ED-43cb-92C2-25804820EDAC}">
                        <c15:formulaRef>
                          <c15:sqref>(Skip!$AL$65,Skip!$AL$68,Skip!$AL$70,Skip!$AL$72)</c15:sqref>
                        </c15:formulaRef>
                      </c:ext>
                    </c:extLst>
                    <c:numCache>
                      <c:formatCode>#,##0</c:formatCode>
                      <c:ptCount val="4"/>
                      <c:pt idx="0">
                        <c:v>522</c:v>
                      </c:pt>
                      <c:pt idx="1">
                        <c:v>8</c:v>
                      </c:pt>
                      <c:pt idx="2">
                        <c:v>293</c:v>
                      </c:pt>
                      <c:pt idx="3">
                        <c:v>57</c:v>
                      </c:pt>
                    </c:numCache>
                  </c:numRef>
                </c:val>
                <c:extLst xmlns:c15="http://schemas.microsoft.com/office/drawing/2012/chart">
                  <c:ext xmlns:c16="http://schemas.microsoft.com/office/drawing/2014/chart" uri="{C3380CC4-5D6E-409C-BE32-E72D297353CC}">
                    <c16:uniqueId val="{0000000B-0114-4D49-BD6C-6E3C80B0D331}"/>
                  </c:ext>
                </c:extLst>
              </c15:ser>
            </c15:filteredBarSeries>
            <c15:filteredBarSeries>
              <c15:ser>
                <c:idx val="5"/>
                <c:order val="11"/>
                <c:tx>
                  <c:strRef>
                    <c:extLst xmlns:c15="http://schemas.microsoft.com/office/drawing/2012/chart">
                      <c:ext xmlns:c15="http://schemas.microsoft.com/office/drawing/2012/chart" uri="{02D57815-91ED-43cb-92C2-25804820EDAC}">
                        <c15:formulaRef>
                          <c15:sqref>Skip!$A$74</c15:sqref>
                        </c15:formulaRef>
                      </c:ext>
                    </c:extLst>
                    <c:strCache>
                      <c:ptCount val="1"/>
                      <c:pt idx="0">
                        <c:v>2021</c:v>
                      </c:pt>
                    </c:strCache>
                  </c:strRef>
                </c:tx>
                <c:spPr>
                  <a:solidFill>
                    <a:schemeClr val="accent6"/>
                  </a:solidFill>
                  <a:ln>
                    <a:noFill/>
                  </a:ln>
                  <a:effectLst/>
                </c:spPr>
                <c:invertIfNegative val="0"/>
                <c:val>
                  <c:numRef>
                    <c:extLst xmlns:c15="http://schemas.microsoft.com/office/drawing/2012/chart">
                      <c:ext xmlns:c15="http://schemas.microsoft.com/office/drawing/2012/chart" uri="{02D57815-91ED-43cb-92C2-25804820EDAC}">
                        <c15:formulaRef>
                          <c15:sqref>(Skip!$AL$78,Skip!$AL$81,Skip!$AL$83,Skip!$AL$85)</c15:sqref>
                        </c15:formulaRef>
                      </c:ext>
                    </c:extLst>
                    <c:numCache>
                      <c:formatCode>#,##0</c:formatCode>
                      <c:ptCount val="4"/>
                      <c:pt idx="0">
                        <c:v>563</c:v>
                      </c:pt>
                      <c:pt idx="1">
                        <c:v>59</c:v>
                      </c:pt>
                      <c:pt idx="2">
                        <c:v>393</c:v>
                      </c:pt>
                      <c:pt idx="3">
                        <c:v>78</c:v>
                      </c:pt>
                    </c:numCache>
                  </c:numRef>
                </c:val>
                <c:extLst xmlns:c15="http://schemas.microsoft.com/office/drawing/2012/chart">
                  <c:ext xmlns:c16="http://schemas.microsoft.com/office/drawing/2014/chart" uri="{C3380CC4-5D6E-409C-BE32-E72D297353CC}">
                    <c16:uniqueId val="{0000000D-0114-4D49-BD6C-6E3C80B0D331}"/>
                  </c:ext>
                </c:extLst>
              </c15:ser>
            </c15:filteredBarSeries>
          </c:ext>
        </c:extLst>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Fjöldi skipakoma</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Skip!$AQ$30</c:f>
          <c:strCache>
            <c:ptCount val="1"/>
            <c:pt idx="0">
              <c:v>Breytingar á milli ára</c:v>
            </c:pt>
          </c:strCache>
        </c:strRef>
      </c:tx>
      <c:layout>
        <c:manualLayout>
          <c:xMode val="edge"/>
          <c:yMode val="edge"/>
          <c:x val="0.31473203608016825"/>
          <c:y val="2.221339905234491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manualLayout>
          <c:layoutTarget val="inner"/>
          <c:xMode val="edge"/>
          <c:yMode val="edge"/>
          <c:x val="7.6192393871832034E-2"/>
          <c:y val="0.11138432953390094"/>
          <c:w val="0.87131076116428263"/>
          <c:h val="0.78088218427926015"/>
        </c:manualLayout>
      </c:layout>
      <c:scatterChart>
        <c:scatterStyle val="lineMarker"/>
        <c:varyColors val="0"/>
        <c:ser>
          <c:idx val="2"/>
          <c:order val="0"/>
          <c:tx>
            <c:strRef>
              <c:f>Skip!$AS$32</c:f>
              <c:strCache>
                <c:ptCount val="1"/>
                <c:pt idx="0">
                  <c:v>Farþegaskip</c:v>
                </c:pt>
              </c:strCache>
            </c:strRef>
          </c:tx>
          <c:xVal>
            <c:numRef>
              <c:f>Skip!$AQ$33:$AQ$38</c:f>
              <c:numCache>
                <c:formatCode>General</c:formatCode>
                <c:ptCount val="6"/>
                <c:pt idx="0">
                  <c:v>2017</c:v>
                </c:pt>
                <c:pt idx="1">
                  <c:v>2018</c:v>
                </c:pt>
                <c:pt idx="2">
                  <c:v>2019</c:v>
                </c:pt>
                <c:pt idx="3">
                  <c:v>2020</c:v>
                </c:pt>
                <c:pt idx="4">
                  <c:v>2021</c:v>
                </c:pt>
                <c:pt idx="5">
                  <c:v>2022</c:v>
                </c:pt>
              </c:numCache>
            </c:numRef>
          </c:xVal>
          <c:yVal>
            <c:numRef>
              <c:f>Skip!$AS$33:$AS$38</c:f>
              <c:numCache>
                <c:formatCode>0.0%</c:formatCode>
                <c:ptCount val="6"/>
                <c:pt idx="0">
                  <c:v>-0.16642760503377749</c:v>
                </c:pt>
                <c:pt idx="1">
                  <c:v>0.23491809444419443</c:v>
                </c:pt>
                <c:pt idx="2">
                  <c:v>0.32678506380264771</c:v>
                </c:pt>
                <c:pt idx="3">
                  <c:v>-0.95455951071173983</c:v>
                </c:pt>
                <c:pt idx="4">
                  <c:v>6.8136475758618289</c:v>
                </c:pt>
                <c:pt idx="5">
                  <c:v>2.2562225475841875</c:v>
                </c:pt>
              </c:numCache>
            </c:numRef>
          </c:yVal>
          <c:smooth val="0"/>
          <c:extLst>
            <c:ext xmlns:c16="http://schemas.microsoft.com/office/drawing/2014/chart" uri="{C3380CC4-5D6E-409C-BE32-E72D297353CC}">
              <c16:uniqueId val="{00000000-318F-4DC4-85AB-B83893BBE215}"/>
            </c:ext>
          </c:extLst>
        </c:ser>
        <c:ser>
          <c:idx val="3"/>
          <c:order val="1"/>
          <c:tx>
            <c:strRef>
              <c:f>Skip!$AR$32</c:f>
              <c:strCache>
                <c:ptCount val="1"/>
                <c:pt idx="0">
                  <c:v>Flutningaskip</c:v>
                </c:pt>
              </c:strCache>
            </c:strRef>
          </c:tx>
          <c:spPr>
            <a:ln w="19050" cap="rnd">
              <a:solidFill>
                <a:srgbClr val="00B050"/>
              </a:solidFill>
              <a:round/>
            </a:ln>
            <a:effectLst/>
          </c:spPr>
          <c:marker>
            <c:spPr>
              <a:ln>
                <a:solidFill>
                  <a:srgbClr val="00B050"/>
                </a:solidFill>
              </a:ln>
            </c:spPr>
          </c:marker>
          <c:xVal>
            <c:numRef>
              <c:f>Skip!$AQ$33:$AQ$38</c:f>
              <c:numCache>
                <c:formatCode>General</c:formatCode>
                <c:ptCount val="6"/>
                <c:pt idx="0">
                  <c:v>2017</c:v>
                </c:pt>
                <c:pt idx="1">
                  <c:v>2018</c:v>
                </c:pt>
                <c:pt idx="2">
                  <c:v>2019</c:v>
                </c:pt>
                <c:pt idx="3">
                  <c:v>2020</c:v>
                </c:pt>
                <c:pt idx="4">
                  <c:v>2021</c:v>
                </c:pt>
                <c:pt idx="5">
                  <c:v>2022</c:v>
                </c:pt>
              </c:numCache>
            </c:numRef>
          </c:xVal>
          <c:yVal>
            <c:numRef>
              <c:f>Skip!$AR$33:$AR$38</c:f>
              <c:numCache>
                <c:formatCode>0.0%</c:formatCode>
                <c:ptCount val="6"/>
                <c:pt idx="0">
                  <c:v>0.19450568855047948</c:v>
                </c:pt>
                <c:pt idx="1">
                  <c:v>6.6143747914344159E-2</c:v>
                </c:pt>
                <c:pt idx="2">
                  <c:v>0.35562797137693192</c:v>
                </c:pt>
                <c:pt idx="3">
                  <c:v>0.1084006533125252</c:v>
                </c:pt>
                <c:pt idx="4">
                  <c:v>-0.20700614341005955</c:v>
                </c:pt>
                <c:pt idx="5">
                  <c:v>1.1260623638643264E-2</c:v>
                </c:pt>
              </c:numCache>
            </c:numRef>
          </c:yVal>
          <c:smooth val="0"/>
          <c:extLst>
            <c:ext xmlns:c16="http://schemas.microsoft.com/office/drawing/2014/chart" uri="{C3380CC4-5D6E-409C-BE32-E72D297353CC}">
              <c16:uniqueId val="{00000001-318F-4DC4-85AB-B83893BBE215}"/>
            </c:ext>
          </c:extLst>
        </c:ser>
        <c:ser>
          <c:idx val="0"/>
          <c:order val="2"/>
          <c:tx>
            <c:strRef>
              <c:f>Skip!$AT$32</c:f>
              <c:strCache>
                <c:ptCount val="1"/>
                <c:pt idx="0">
                  <c:v>Farþega- og flutningaskip</c:v>
                </c:pt>
              </c:strCache>
            </c:strRef>
          </c:tx>
          <c:xVal>
            <c:numRef>
              <c:f>Skip!$AQ$33:$AQ$38</c:f>
              <c:numCache>
                <c:formatCode>General</c:formatCode>
                <c:ptCount val="6"/>
                <c:pt idx="0">
                  <c:v>2017</c:v>
                </c:pt>
                <c:pt idx="1">
                  <c:v>2018</c:v>
                </c:pt>
                <c:pt idx="2">
                  <c:v>2019</c:v>
                </c:pt>
                <c:pt idx="3">
                  <c:v>2020</c:v>
                </c:pt>
                <c:pt idx="4">
                  <c:v>2021</c:v>
                </c:pt>
                <c:pt idx="5">
                  <c:v>2022</c:v>
                </c:pt>
              </c:numCache>
            </c:numRef>
          </c:xVal>
          <c:yVal>
            <c:numRef>
              <c:f>Skip!$AT$33:$AT$38</c:f>
              <c:numCache>
                <c:formatCode>0.0%</c:formatCode>
                <c:ptCount val="6"/>
                <c:pt idx="0">
                  <c:v>-4.9231682178763553E-3</c:v>
                </c:pt>
                <c:pt idx="1">
                  <c:v>0.14426230256221947</c:v>
                </c:pt>
                <c:pt idx="2">
                  <c:v>0.34122011514780265</c:v>
                </c:pt>
                <c:pt idx="3">
                  <c:v>-0.41686358364648496</c:v>
                </c:pt>
                <c:pt idx="4">
                  <c:v>6.3334430726805835E-2</c:v>
                </c:pt>
                <c:pt idx="5">
                  <c:v>0.64648418889639214</c:v>
                </c:pt>
              </c:numCache>
            </c:numRef>
          </c:yVal>
          <c:smooth val="0"/>
          <c:extLst>
            <c:ext xmlns:c16="http://schemas.microsoft.com/office/drawing/2014/chart" uri="{C3380CC4-5D6E-409C-BE32-E72D297353CC}">
              <c16:uniqueId val="{00000002-318F-4DC4-85AB-B83893BBE215}"/>
            </c:ext>
          </c:extLst>
        </c:ser>
        <c:ser>
          <c:idx val="1"/>
          <c:order val="3"/>
          <c:tx>
            <c:strRef>
              <c:f>Skip!$AU$32</c:f>
              <c:strCache>
                <c:ptCount val="1"/>
                <c:pt idx="0">
                  <c:v>Alls</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Skip!$AQ$33:$AQ$38</c:f>
              <c:numCache>
                <c:formatCode>General</c:formatCode>
                <c:ptCount val="6"/>
                <c:pt idx="0">
                  <c:v>2017</c:v>
                </c:pt>
                <c:pt idx="1">
                  <c:v>2018</c:v>
                </c:pt>
                <c:pt idx="2">
                  <c:v>2019</c:v>
                </c:pt>
                <c:pt idx="3">
                  <c:v>2020</c:v>
                </c:pt>
                <c:pt idx="4">
                  <c:v>2021</c:v>
                </c:pt>
                <c:pt idx="5">
                  <c:v>2022</c:v>
                </c:pt>
              </c:numCache>
            </c:numRef>
          </c:xVal>
          <c:yVal>
            <c:numRef>
              <c:f>Skip!$AU$33:$AU$38</c:f>
              <c:numCache>
                <c:formatCode>0.0%</c:formatCode>
                <c:ptCount val="6"/>
                <c:pt idx="0">
                  <c:v>-0.10158177291492375</c:v>
                </c:pt>
                <c:pt idx="1">
                  <c:v>0.15505645364164353</c:v>
                </c:pt>
                <c:pt idx="2">
                  <c:v>0.22989198096049024</c:v>
                </c:pt>
                <c:pt idx="3">
                  <c:v>-0.26435214805447493</c:v>
                </c:pt>
                <c:pt idx="4">
                  <c:v>-5.3555306185965657E-2</c:v>
                </c:pt>
                <c:pt idx="5">
                  <c:v>0.47870787764938799</c:v>
                </c:pt>
              </c:numCache>
            </c:numRef>
          </c:yVal>
          <c:smooth val="0"/>
          <c:extLst>
            <c:ext xmlns:c16="http://schemas.microsoft.com/office/drawing/2014/chart" uri="{C3380CC4-5D6E-409C-BE32-E72D297353CC}">
              <c16:uniqueId val="{00000003-318F-4DC4-85AB-B83893BBE215}"/>
            </c:ext>
          </c:extLst>
        </c:ser>
        <c:dLbls>
          <c:showLegendKey val="0"/>
          <c:showVal val="0"/>
          <c:showCatName val="0"/>
          <c:showSerName val="0"/>
          <c:showPercent val="0"/>
          <c:showBubbleSize val="0"/>
        </c:dLbls>
        <c:axId val="1040464111"/>
        <c:axId val="1036699407"/>
      </c:scatterChart>
      <c:valAx>
        <c:axId val="1040464111"/>
        <c:scaling>
          <c:orientation val="minMax"/>
          <c:max val="2022"/>
          <c:min val="2017"/>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36699407"/>
        <c:crosses val="autoZero"/>
        <c:crossBetween val="midCat"/>
        <c:majorUnit val="1"/>
      </c:valAx>
      <c:valAx>
        <c:axId val="1036699407"/>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040464111"/>
        <c:crosses val="autoZero"/>
        <c:crossBetween val="midCat"/>
      </c:valAx>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Skip!$AF$3</c:f>
          <c:strCache>
            <c:ptCount val="1"/>
            <c:pt idx="0">
              <c:v>Hafnarsvæði Reykjavíkur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s-IS"/>
        </a:p>
      </c:txPr>
    </c:title>
    <c:autoTitleDeleted val="0"/>
    <c:plotArea>
      <c:layout/>
      <c:barChart>
        <c:barDir val="col"/>
        <c:grouping val="clustered"/>
        <c:varyColors val="0"/>
        <c:ser>
          <c:idx val="6"/>
          <c:order val="0"/>
          <c:tx>
            <c:strRef>
              <c:f>Skip!$A$9</c:f>
              <c:strCache>
                <c:ptCount val="1"/>
                <c:pt idx="0">
                  <c:v>2016</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Skip!$AL$9:$AL$20</c:f>
              <c:numCache>
                <c:formatCode>#,##0</c:formatCode>
                <c:ptCount val="12"/>
                <c:pt idx="0">
                  <c:v>3</c:v>
                </c:pt>
                <c:pt idx="1">
                  <c:v>237</c:v>
                </c:pt>
                <c:pt idx="2">
                  <c:v>147</c:v>
                </c:pt>
                <c:pt idx="3">
                  <c:v>112</c:v>
                </c:pt>
                <c:pt idx="4">
                  <c:v>499</c:v>
                </c:pt>
                <c:pt idx="5">
                  <c:v>8</c:v>
                </c:pt>
                <c:pt idx="6">
                  <c:v>102</c:v>
                </c:pt>
                <c:pt idx="7">
                  <c:v>110</c:v>
                </c:pt>
                <c:pt idx="8">
                  <c:v>609</c:v>
                </c:pt>
                <c:pt idx="9">
                  <c:v>583</c:v>
                </c:pt>
                <c:pt idx="10">
                  <c:v>5607</c:v>
                </c:pt>
                <c:pt idx="11">
                  <c:v>144</c:v>
                </c:pt>
              </c:numCache>
            </c:numRef>
          </c:val>
          <c:extLst>
            <c:ext xmlns:c16="http://schemas.microsoft.com/office/drawing/2014/chart" uri="{C3380CC4-5D6E-409C-BE32-E72D297353CC}">
              <c16:uniqueId val="{00000000-6ED8-44A2-BEFA-A0166DC6DF2B}"/>
            </c:ext>
          </c:extLst>
        </c:ser>
        <c:ser>
          <c:idx val="7"/>
          <c:order val="1"/>
          <c:tx>
            <c:strRef>
              <c:f>Skip!$A$22</c:f>
              <c:strCache>
                <c:ptCount val="1"/>
                <c:pt idx="0">
                  <c:v>2017</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Skip!$AL$22:$AL$33</c:f>
              <c:numCache>
                <c:formatCode>#,##0</c:formatCode>
                <c:ptCount val="12"/>
                <c:pt idx="0">
                  <c:v>3</c:v>
                </c:pt>
                <c:pt idx="1">
                  <c:v>284</c:v>
                </c:pt>
                <c:pt idx="2">
                  <c:v>182</c:v>
                </c:pt>
                <c:pt idx="3">
                  <c:v>113</c:v>
                </c:pt>
                <c:pt idx="4">
                  <c:v>582</c:v>
                </c:pt>
                <c:pt idx="5">
                  <c:v>6</c:v>
                </c:pt>
                <c:pt idx="6">
                  <c:v>129</c:v>
                </c:pt>
                <c:pt idx="7">
                  <c:v>135</c:v>
                </c:pt>
                <c:pt idx="8">
                  <c:v>717</c:v>
                </c:pt>
                <c:pt idx="9">
                  <c:v>468</c:v>
                </c:pt>
                <c:pt idx="10">
                  <c:v>5375</c:v>
                </c:pt>
                <c:pt idx="11">
                  <c:v>61</c:v>
                </c:pt>
              </c:numCache>
            </c:numRef>
          </c:val>
          <c:extLst>
            <c:ext xmlns:c16="http://schemas.microsoft.com/office/drawing/2014/chart" uri="{C3380CC4-5D6E-409C-BE32-E72D297353CC}">
              <c16:uniqueId val="{00000001-6ED8-44A2-BEFA-A0166DC6DF2B}"/>
            </c:ext>
          </c:extLst>
        </c:ser>
        <c:ser>
          <c:idx val="8"/>
          <c:order val="2"/>
          <c:tx>
            <c:strRef>
              <c:f>Skip!$A$35</c:f>
              <c:strCache>
                <c:ptCount val="1"/>
                <c:pt idx="0">
                  <c:v>2018</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Skip!$AL$35:$AL$46</c:f>
              <c:numCache>
                <c:formatCode>#,##0</c:formatCode>
                <c:ptCount val="12"/>
                <c:pt idx="0">
                  <c:v>2</c:v>
                </c:pt>
                <c:pt idx="1">
                  <c:v>269</c:v>
                </c:pt>
                <c:pt idx="2">
                  <c:v>166</c:v>
                </c:pt>
                <c:pt idx="3">
                  <c:v>121</c:v>
                </c:pt>
                <c:pt idx="4">
                  <c:v>558</c:v>
                </c:pt>
                <c:pt idx="5">
                  <c:v>5</c:v>
                </c:pt>
                <c:pt idx="6">
                  <c:v>145</c:v>
                </c:pt>
                <c:pt idx="7">
                  <c:v>150</c:v>
                </c:pt>
                <c:pt idx="8">
                  <c:v>708</c:v>
                </c:pt>
                <c:pt idx="9">
                  <c:v>446</c:v>
                </c:pt>
                <c:pt idx="10">
                  <c:v>4520</c:v>
                </c:pt>
                <c:pt idx="11">
                  <c:v>141</c:v>
                </c:pt>
              </c:numCache>
            </c:numRef>
          </c:val>
          <c:extLst>
            <c:ext xmlns:c16="http://schemas.microsoft.com/office/drawing/2014/chart" uri="{C3380CC4-5D6E-409C-BE32-E72D297353CC}">
              <c16:uniqueId val="{00000002-6ED8-44A2-BEFA-A0166DC6DF2B}"/>
            </c:ext>
          </c:extLst>
        </c:ser>
        <c:ser>
          <c:idx val="9"/>
          <c:order val="3"/>
          <c:tx>
            <c:strRef>
              <c:f>Skip!$A$48</c:f>
              <c:strCache>
                <c:ptCount val="1"/>
                <c:pt idx="0">
                  <c:v>2019</c:v>
                </c:pt>
              </c:strCache>
            </c:strRef>
          </c:tx>
          <c:invertIfNegative val="0"/>
          <c:cat>
            <c:strRef>
              <c:f>Skip!$B$48:$B$59</c:f>
              <c:strCache>
                <c:ptCount val="12"/>
                <c:pt idx="0">
                  <c:v>Þurrflutningaskip</c:v>
                </c:pt>
                <c:pt idx="1">
                  <c:v>Gámaskip</c:v>
                </c:pt>
                <c:pt idx="2">
                  <c:v>Almenn flutningaskip</c:v>
                </c:pt>
                <c:pt idx="3">
                  <c:v>Tankskip</c:v>
                </c:pt>
                <c:pt idx="4">
                  <c:v>Flutningaskip</c:v>
                </c:pt>
                <c:pt idx="5">
                  <c:v>RoRo og ferjur</c:v>
                </c:pt>
                <c:pt idx="6">
                  <c:v>Skemmtiferðaskip</c:v>
                </c:pt>
                <c:pt idx="7">
                  <c:v>Farþegaskip</c:v>
                </c:pt>
                <c:pt idx="8">
                  <c:v>Flutninga- og farþegaskip</c:v>
                </c:pt>
                <c:pt idx="9">
                  <c:v>Fiskiskip</c:v>
                </c:pt>
                <c:pt idx="10">
                  <c:v>Hvalaskoðunarskip</c:v>
                </c:pt>
                <c:pt idx="11">
                  <c:v>Önnur skip</c:v>
                </c:pt>
              </c:strCache>
            </c:strRef>
          </c:cat>
          <c:val>
            <c:numRef>
              <c:f>Skip!$AL$48:$AL$59</c:f>
              <c:numCache>
                <c:formatCode>#,##0</c:formatCode>
                <c:ptCount val="12"/>
                <c:pt idx="0">
                  <c:v>14</c:v>
                </c:pt>
                <c:pt idx="1">
                  <c:v>339</c:v>
                </c:pt>
                <c:pt idx="2">
                  <c:v>124</c:v>
                </c:pt>
                <c:pt idx="3">
                  <c:v>143</c:v>
                </c:pt>
                <c:pt idx="4">
                  <c:v>620</c:v>
                </c:pt>
                <c:pt idx="5">
                  <c:v>10</c:v>
                </c:pt>
                <c:pt idx="6">
                  <c:v>165</c:v>
                </c:pt>
                <c:pt idx="7">
                  <c:v>175</c:v>
                </c:pt>
                <c:pt idx="8">
                  <c:v>795</c:v>
                </c:pt>
                <c:pt idx="9">
                  <c:v>336</c:v>
                </c:pt>
                <c:pt idx="10">
                  <c:v>5542</c:v>
                </c:pt>
                <c:pt idx="11">
                  <c:v>92</c:v>
                </c:pt>
              </c:numCache>
            </c:numRef>
          </c:val>
          <c:extLst>
            <c:ext xmlns:c16="http://schemas.microsoft.com/office/drawing/2014/chart" uri="{C3380CC4-5D6E-409C-BE32-E72D297353CC}">
              <c16:uniqueId val="{00000003-6ED8-44A2-BEFA-A0166DC6DF2B}"/>
            </c:ext>
          </c:extLst>
        </c:ser>
        <c:ser>
          <c:idx val="10"/>
          <c:order val="4"/>
          <c:tx>
            <c:strRef>
              <c:f>Skip!$A$61</c:f>
              <c:strCache>
                <c:ptCount val="1"/>
                <c:pt idx="0">
                  <c:v>2020</c:v>
                </c:pt>
              </c:strCache>
            </c:strRef>
          </c:tx>
          <c:invertIfNegative val="0"/>
          <c:val>
            <c:numRef>
              <c:f>Skip!$AL$61:$AL$72</c:f>
              <c:numCache>
                <c:formatCode>#,##0</c:formatCode>
                <c:ptCount val="12"/>
                <c:pt idx="0">
                  <c:v>0</c:v>
                </c:pt>
                <c:pt idx="1">
                  <c:v>270</c:v>
                </c:pt>
                <c:pt idx="2">
                  <c:v>100</c:v>
                </c:pt>
                <c:pt idx="3">
                  <c:v>152</c:v>
                </c:pt>
                <c:pt idx="4">
                  <c:v>522</c:v>
                </c:pt>
                <c:pt idx="5">
                  <c:v>1</c:v>
                </c:pt>
                <c:pt idx="6">
                  <c:v>7</c:v>
                </c:pt>
                <c:pt idx="7">
                  <c:v>8</c:v>
                </c:pt>
                <c:pt idx="8">
                  <c:v>530</c:v>
                </c:pt>
                <c:pt idx="9">
                  <c:v>293</c:v>
                </c:pt>
                <c:pt idx="10">
                  <c:v>1773</c:v>
                </c:pt>
                <c:pt idx="11">
                  <c:v>57</c:v>
                </c:pt>
              </c:numCache>
            </c:numRef>
          </c:val>
          <c:extLst>
            <c:ext xmlns:c16="http://schemas.microsoft.com/office/drawing/2014/chart" uri="{C3380CC4-5D6E-409C-BE32-E72D297353CC}">
              <c16:uniqueId val="{00000004-6ED8-44A2-BEFA-A0166DC6DF2B}"/>
            </c:ext>
          </c:extLst>
        </c:ser>
        <c:ser>
          <c:idx val="11"/>
          <c:order val="5"/>
          <c:tx>
            <c:strRef>
              <c:f>Skip!$A$74</c:f>
              <c:strCache>
                <c:ptCount val="1"/>
                <c:pt idx="0">
                  <c:v>2021</c:v>
                </c:pt>
              </c:strCache>
            </c:strRef>
          </c:tx>
          <c:invertIfNegative val="0"/>
          <c:val>
            <c:numRef>
              <c:f>Skip!$AL$74:$AL$85</c:f>
              <c:numCache>
                <c:formatCode>#,##0</c:formatCode>
                <c:ptCount val="12"/>
                <c:pt idx="0">
                  <c:v>6</c:v>
                </c:pt>
                <c:pt idx="1">
                  <c:v>298</c:v>
                </c:pt>
                <c:pt idx="2">
                  <c:v>109</c:v>
                </c:pt>
                <c:pt idx="3">
                  <c:v>150</c:v>
                </c:pt>
                <c:pt idx="4">
                  <c:v>563</c:v>
                </c:pt>
                <c:pt idx="5">
                  <c:v>1</c:v>
                </c:pt>
                <c:pt idx="6">
                  <c:v>58</c:v>
                </c:pt>
                <c:pt idx="7">
                  <c:v>59</c:v>
                </c:pt>
                <c:pt idx="8">
                  <c:v>622</c:v>
                </c:pt>
                <c:pt idx="9">
                  <c:v>393</c:v>
                </c:pt>
                <c:pt idx="10">
                  <c:v>2383</c:v>
                </c:pt>
                <c:pt idx="11">
                  <c:v>78</c:v>
                </c:pt>
              </c:numCache>
            </c:numRef>
          </c:val>
          <c:extLst>
            <c:ext xmlns:c16="http://schemas.microsoft.com/office/drawing/2014/chart" uri="{C3380CC4-5D6E-409C-BE32-E72D297353CC}">
              <c16:uniqueId val="{00000005-6ED8-44A2-BEFA-A0166DC6DF2B}"/>
            </c:ext>
          </c:extLst>
        </c:ser>
        <c:dLbls>
          <c:showLegendKey val="0"/>
          <c:showVal val="0"/>
          <c:showCatName val="0"/>
          <c:showSerName val="0"/>
          <c:showPercent val="0"/>
          <c:showBubbleSize val="0"/>
        </c:dLbls>
        <c:gapWidth val="150"/>
        <c:axId val="2085961695"/>
        <c:axId val="2085971999"/>
        <c:extLst>
          <c:ext xmlns:c15="http://schemas.microsoft.com/office/drawing/2012/chart" uri="{02D57815-91ED-43cb-92C2-25804820EDAC}">
            <c15:filteredBarSeries>
              <c15:ser>
                <c:idx val="0"/>
                <c:order val="6"/>
                <c:tx>
                  <c:strRef>
                    <c:extLst>
                      <c:ext uri="{02D57815-91ED-43cb-92C2-25804820EDAC}">
                        <c15:formulaRef>
                          <c15:sqref>Skip!$A$9</c15:sqref>
                        </c15:formulaRef>
                      </c:ext>
                    </c:extLst>
                    <c:strCache>
                      <c:ptCount val="1"/>
                      <c:pt idx="0">
                        <c:v>2016</c:v>
                      </c:pt>
                    </c:strCache>
                  </c:strRef>
                </c:tx>
                <c:spPr>
                  <a:solidFill>
                    <a:schemeClr val="accent1"/>
                  </a:solidFill>
                  <a:ln>
                    <a:noFill/>
                  </a:ln>
                  <a:effectLst/>
                </c:spPr>
                <c:invertIfNegative val="0"/>
                <c:cat>
                  <c:strRef>
                    <c:extLst>
                      <c:ex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c:ext uri="{02D57815-91ED-43cb-92C2-25804820EDAC}">
                        <c15:formulaRef>
                          <c15:sqref>(Skip!$AL$13,Skip!$AL$16,Skip!$AL$18,Skip!$AL$20)</c15:sqref>
                        </c15:formulaRef>
                      </c:ext>
                    </c:extLst>
                    <c:numCache>
                      <c:formatCode>#,##0</c:formatCode>
                      <c:ptCount val="4"/>
                      <c:pt idx="0">
                        <c:v>499</c:v>
                      </c:pt>
                      <c:pt idx="1">
                        <c:v>110</c:v>
                      </c:pt>
                      <c:pt idx="2">
                        <c:v>583</c:v>
                      </c:pt>
                      <c:pt idx="3">
                        <c:v>144</c:v>
                      </c:pt>
                    </c:numCache>
                  </c:numRef>
                </c:val>
                <c:extLst>
                  <c:ext xmlns:c16="http://schemas.microsoft.com/office/drawing/2014/chart" uri="{C3380CC4-5D6E-409C-BE32-E72D297353CC}">
                    <c16:uniqueId val="{00000006-6ED8-44A2-BEFA-A0166DC6DF2B}"/>
                  </c:ext>
                </c:extLst>
              </c15:ser>
            </c15:filteredBarSeries>
            <c15:filteredBarSeries>
              <c15:ser>
                <c:idx val="1"/>
                <c:order val="7"/>
                <c:tx>
                  <c:strRef>
                    <c:extLst xmlns:c15="http://schemas.microsoft.com/office/drawing/2012/chart">
                      <c:ext xmlns:c15="http://schemas.microsoft.com/office/drawing/2012/chart" uri="{02D57815-91ED-43cb-92C2-25804820EDAC}">
                        <c15:formulaRef>
                          <c15:sqref>Skip!$A$22</c15:sqref>
                        </c15:formulaRef>
                      </c:ext>
                    </c:extLst>
                    <c:strCache>
                      <c:ptCount val="1"/>
                      <c:pt idx="0">
                        <c:v>2017</c:v>
                      </c:pt>
                    </c:strCache>
                  </c:strRef>
                </c:tx>
                <c:spPr>
                  <a:solidFill>
                    <a:schemeClr val="accent2"/>
                  </a:solidFill>
                  <a:ln>
                    <a:noFill/>
                  </a:ln>
                  <a:effectLst/>
                </c:spPr>
                <c:invertIfNegative val="0"/>
                <c:cat>
                  <c:strRef>
                    <c:extLst xmlns:c15="http://schemas.microsoft.com/office/drawing/2012/chart">
                      <c:ext xmlns:c15="http://schemas.microsoft.com/office/drawing/2012/char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xmlns:c15="http://schemas.microsoft.com/office/drawing/2012/chart">
                      <c:ext xmlns:c15="http://schemas.microsoft.com/office/drawing/2012/chart" uri="{02D57815-91ED-43cb-92C2-25804820EDAC}">
                        <c15:formulaRef>
                          <c15:sqref>(Skip!$AL$26,Skip!$AL$29,Skip!$AL$31,Skip!$AL$33)</c15:sqref>
                        </c15:formulaRef>
                      </c:ext>
                    </c:extLst>
                    <c:numCache>
                      <c:formatCode>#,##0</c:formatCode>
                      <c:ptCount val="4"/>
                      <c:pt idx="0">
                        <c:v>582</c:v>
                      </c:pt>
                      <c:pt idx="1">
                        <c:v>135</c:v>
                      </c:pt>
                      <c:pt idx="2">
                        <c:v>468</c:v>
                      </c:pt>
                      <c:pt idx="3">
                        <c:v>61</c:v>
                      </c:pt>
                    </c:numCache>
                  </c:numRef>
                </c:val>
                <c:extLst xmlns:c15="http://schemas.microsoft.com/office/drawing/2012/chart">
                  <c:ext xmlns:c16="http://schemas.microsoft.com/office/drawing/2014/chart" uri="{C3380CC4-5D6E-409C-BE32-E72D297353CC}">
                    <c16:uniqueId val="{00000007-6ED8-44A2-BEFA-A0166DC6DF2B}"/>
                  </c:ext>
                </c:extLst>
              </c15:ser>
            </c15:filteredBarSeries>
            <c15:filteredBarSeries>
              <c15:ser>
                <c:idx val="2"/>
                <c:order val="8"/>
                <c:tx>
                  <c:strRef>
                    <c:extLst xmlns:c15="http://schemas.microsoft.com/office/drawing/2012/chart">
                      <c:ext xmlns:c15="http://schemas.microsoft.com/office/drawing/2012/chart" uri="{02D57815-91ED-43cb-92C2-25804820EDAC}">
                        <c15:formulaRef>
                          <c15:sqref>Skip!$A$35</c15:sqref>
                        </c15:formulaRef>
                      </c:ext>
                    </c:extLst>
                    <c:strCache>
                      <c:ptCount val="1"/>
                      <c:pt idx="0">
                        <c:v>2018</c:v>
                      </c:pt>
                    </c:strCache>
                  </c:strRef>
                </c:tx>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xmlns:c15="http://schemas.microsoft.com/office/drawing/2012/chart">
                      <c:ext xmlns:c15="http://schemas.microsoft.com/office/drawing/2012/chart" uri="{02D57815-91ED-43cb-92C2-25804820EDAC}">
                        <c15:formulaRef>
                          <c15:sqref>(Skip!$AL$39,Skip!$AL$42,Skip!$AL$44,Skip!$AL$46)</c15:sqref>
                        </c15:formulaRef>
                      </c:ext>
                    </c:extLst>
                    <c:numCache>
                      <c:formatCode>#,##0</c:formatCode>
                      <c:ptCount val="4"/>
                      <c:pt idx="0">
                        <c:v>558</c:v>
                      </c:pt>
                      <c:pt idx="1">
                        <c:v>150</c:v>
                      </c:pt>
                      <c:pt idx="2">
                        <c:v>446</c:v>
                      </c:pt>
                      <c:pt idx="3">
                        <c:v>141</c:v>
                      </c:pt>
                    </c:numCache>
                  </c:numRef>
                </c:val>
                <c:extLst xmlns:c15="http://schemas.microsoft.com/office/drawing/2012/chart">
                  <c:ext xmlns:c16="http://schemas.microsoft.com/office/drawing/2014/chart" uri="{C3380CC4-5D6E-409C-BE32-E72D297353CC}">
                    <c16:uniqueId val="{00000008-6ED8-44A2-BEFA-A0166DC6DF2B}"/>
                  </c:ext>
                </c:extLst>
              </c15:ser>
            </c15:filteredBarSeries>
            <c15:filteredBarSeries>
              <c15:ser>
                <c:idx val="3"/>
                <c:order val="9"/>
                <c:tx>
                  <c:strRef>
                    <c:extLst xmlns:c15="http://schemas.microsoft.com/office/drawing/2012/chart">
                      <c:ext xmlns:c15="http://schemas.microsoft.com/office/drawing/2012/chart" uri="{02D57815-91ED-43cb-92C2-25804820EDAC}">
                        <c15:formulaRef>
                          <c15:sqref>Skip!$A$48</c15:sqref>
                        </c15:formulaRef>
                      </c:ext>
                    </c:extLst>
                    <c:strCache>
                      <c:ptCount val="1"/>
                      <c:pt idx="0">
                        <c:v>2019</c:v>
                      </c:pt>
                    </c:strCache>
                  </c:strRef>
                </c:tx>
                <c:spPr>
                  <a:solidFill>
                    <a:schemeClr val="accent4"/>
                  </a:solidFill>
                  <a:ln>
                    <a:noFill/>
                  </a:ln>
                  <a:effectLst/>
                </c:spPr>
                <c:invertIfNegative val="0"/>
                <c:cat>
                  <c:strRef>
                    <c:extLst xmlns:c15="http://schemas.microsoft.com/office/drawing/2012/chart">
                      <c:ext xmlns:c15="http://schemas.microsoft.com/office/drawing/2012/chart" uri="{02D57815-91ED-43cb-92C2-25804820EDAC}">
                        <c15:formulaRef>
                          <c15:sqref>(Skip!$B$52,Skip!$B$55,Skip!$B$57,Skip!$B$59)</c15:sqref>
                        </c15:formulaRef>
                      </c:ext>
                    </c:extLst>
                    <c:strCache>
                      <c:ptCount val="4"/>
                      <c:pt idx="0">
                        <c:v>Flutningaskip</c:v>
                      </c:pt>
                      <c:pt idx="1">
                        <c:v>Farþegaskip</c:v>
                      </c:pt>
                      <c:pt idx="2">
                        <c:v>Fiskiskip</c:v>
                      </c:pt>
                      <c:pt idx="3">
                        <c:v>Önnur skip</c:v>
                      </c:pt>
                    </c:strCache>
                  </c:strRef>
                </c:cat>
                <c:val>
                  <c:numRef>
                    <c:extLst xmlns:c15="http://schemas.microsoft.com/office/drawing/2012/chart">
                      <c:ext xmlns:c15="http://schemas.microsoft.com/office/drawing/2012/chart" uri="{02D57815-91ED-43cb-92C2-25804820EDAC}">
                        <c15:formulaRef>
                          <c15:sqref>(Skip!$AL$52,Skip!$AL$55,Skip!$AL$57,Skip!$AL$59)</c15:sqref>
                        </c15:formulaRef>
                      </c:ext>
                    </c:extLst>
                    <c:numCache>
                      <c:formatCode>#,##0</c:formatCode>
                      <c:ptCount val="4"/>
                      <c:pt idx="0">
                        <c:v>620</c:v>
                      </c:pt>
                      <c:pt idx="1">
                        <c:v>175</c:v>
                      </c:pt>
                      <c:pt idx="2">
                        <c:v>336</c:v>
                      </c:pt>
                      <c:pt idx="3">
                        <c:v>92</c:v>
                      </c:pt>
                    </c:numCache>
                  </c:numRef>
                </c:val>
                <c:extLst xmlns:c15="http://schemas.microsoft.com/office/drawing/2012/chart">
                  <c:ext xmlns:c16="http://schemas.microsoft.com/office/drawing/2014/chart" uri="{C3380CC4-5D6E-409C-BE32-E72D297353CC}">
                    <c16:uniqueId val="{00000009-6ED8-44A2-BEFA-A0166DC6DF2B}"/>
                  </c:ext>
                </c:extLst>
              </c15:ser>
            </c15:filteredBarSeries>
            <c15:filteredBarSeries>
              <c15:ser>
                <c:idx val="4"/>
                <c:order val="10"/>
                <c:tx>
                  <c:strRef>
                    <c:extLst xmlns:c15="http://schemas.microsoft.com/office/drawing/2012/chart">
                      <c:ext xmlns:c15="http://schemas.microsoft.com/office/drawing/2012/chart" uri="{02D57815-91ED-43cb-92C2-25804820EDAC}">
                        <c15:formulaRef>
                          <c15:sqref>Skip!$A$61</c15:sqref>
                        </c15:formulaRef>
                      </c:ext>
                    </c:extLst>
                    <c:strCache>
                      <c:ptCount val="1"/>
                      <c:pt idx="0">
                        <c:v>2020</c:v>
                      </c:pt>
                    </c:strCache>
                  </c:strRef>
                </c:tx>
                <c:spPr>
                  <a:solidFill>
                    <a:schemeClr val="accent5"/>
                  </a:solidFill>
                  <a:ln>
                    <a:noFill/>
                  </a:ln>
                  <a:effectLst/>
                </c:spPr>
                <c:invertIfNegative val="0"/>
                <c:val>
                  <c:numRef>
                    <c:extLst xmlns:c15="http://schemas.microsoft.com/office/drawing/2012/chart">
                      <c:ext xmlns:c15="http://schemas.microsoft.com/office/drawing/2012/chart" uri="{02D57815-91ED-43cb-92C2-25804820EDAC}">
                        <c15:formulaRef>
                          <c15:sqref>(Skip!$AL$65,Skip!$AL$68,Skip!$AL$70,Skip!$AL$72)</c15:sqref>
                        </c15:formulaRef>
                      </c:ext>
                    </c:extLst>
                    <c:numCache>
                      <c:formatCode>#,##0</c:formatCode>
                      <c:ptCount val="4"/>
                      <c:pt idx="0">
                        <c:v>522</c:v>
                      </c:pt>
                      <c:pt idx="1">
                        <c:v>8</c:v>
                      </c:pt>
                      <c:pt idx="2">
                        <c:v>293</c:v>
                      </c:pt>
                      <c:pt idx="3">
                        <c:v>57</c:v>
                      </c:pt>
                    </c:numCache>
                  </c:numRef>
                </c:val>
                <c:extLst xmlns:c15="http://schemas.microsoft.com/office/drawing/2012/chart">
                  <c:ext xmlns:c16="http://schemas.microsoft.com/office/drawing/2014/chart" uri="{C3380CC4-5D6E-409C-BE32-E72D297353CC}">
                    <c16:uniqueId val="{0000000A-6ED8-44A2-BEFA-A0166DC6DF2B}"/>
                  </c:ext>
                </c:extLst>
              </c15:ser>
            </c15:filteredBarSeries>
            <c15:filteredBarSeries>
              <c15:ser>
                <c:idx val="5"/>
                <c:order val="11"/>
                <c:tx>
                  <c:strRef>
                    <c:extLst xmlns:c15="http://schemas.microsoft.com/office/drawing/2012/chart">
                      <c:ext xmlns:c15="http://schemas.microsoft.com/office/drawing/2012/chart" uri="{02D57815-91ED-43cb-92C2-25804820EDAC}">
                        <c15:formulaRef>
                          <c15:sqref>Skip!$A$74</c15:sqref>
                        </c15:formulaRef>
                      </c:ext>
                    </c:extLst>
                    <c:strCache>
                      <c:ptCount val="1"/>
                      <c:pt idx="0">
                        <c:v>2021</c:v>
                      </c:pt>
                    </c:strCache>
                  </c:strRef>
                </c:tx>
                <c:spPr>
                  <a:solidFill>
                    <a:schemeClr val="accent6"/>
                  </a:solidFill>
                  <a:ln>
                    <a:noFill/>
                  </a:ln>
                  <a:effectLst/>
                </c:spPr>
                <c:invertIfNegative val="0"/>
                <c:val>
                  <c:numRef>
                    <c:extLst xmlns:c15="http://schemas.microsoft.com/office/drawing/2012/chart">
                      <c:ext xmlns:c15="http://schemas.microsoft.com/office/drawing/2012/chart" uri="{02D57815-91ED-43cb-92C2-25804820EDAC}">
                        <c15:formulaRef>
                          <c15:sqref>(Skip!$AL$78,Skip!$AL$81,Skip!$AL$83,Skip!$AL$85)</c15:sqref>
                        </c15:formulaRef>
                      </c:ext>
                    </c:extLst>
                    <c:numCache>
                      <c:formatCode>#,##0</c:formatCode>
                      <c:ptCount val="4"/>
                      <c:pt idx="0">
                        <c:v>563</c:v>
                      </c:pt>
                      <c:pt idx="1">
                        <c:v>59</c:v>
                      </c:pt>
                      <c:pt idx="2">
                        <c:v>393</c:v>
                      </c:pt>
                      <c:pt idx="3">
                        <c:v>78</c:v>
                      </c:pt>
                    </c:numCache>
                  </c:numRef>
                </c:val>
                <c:extLst xmlns:c15="http://schemas.microsoft.com/office/drawing/2012/chart">
                  <c:ext xmlns:c16="http://schemas.microsoft.com/office/drawing/2014/chart" uri="{C3380CC4-5D6E-409C-BE32-E72D297353CC}">
                    <c16:uniqueId val="{0000000B-6ED8-44A2-BEFA-A0166DC6DF2B}"/>
                  </c:ext>
                </c:extLst>
              </c15:ser>
            </c15:filteredBarSeries>
          </c:ext>
        </c:extLst>
      </c:barChart>
      <c:catAx>
        <c:axId val="20859616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71999"/>
        <c:crosses val="autoZero"/>
        <c:auto val="1"/>
        <c:lblAlgn val="ctr"/>
        <c:lblOffset val="100"/>
        <c:noMultiLvlLbl val="0"/>
      </c:catAx>
      <c:valAx>
        <c:axId val="20859719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Fjöldi skipakoma</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2085961695"/>
        <c:crosses val="autoZero"/>
        <c:crossBetween val="between"/>
      </c:valAx>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Úrgangur!$L$11:$P$11</c:f>
              <c:numCache>
                <c:formatCode>General</c:formatCode>
                <c:ptCount val="5"/>
                <c:pt idx="1">
                  <c:v>2020</c:v>
                </c:pt>
                <c:pt idx="2">
                  <c:v>2019</c:v>
                </c:pt>
                <c:pt idx="3">
                  <c:v>2018</c:v>
                </c:pt>
                <c:pt idx="4">
                  <c:v>2017</c:v>
                </c:pt>
              </c:numCache>
            </c:numRef>
          </c:xVal>
          <c:yVal>
            <c:numRef>
              <c:f>Úrgangur!$L$25:$P$25</c:f>
              <c:numCache>
                <c:formatCode>#,##0.000</c:formatCode>
                <c:ptCount val="5"/>
                <c:pt idx="1">
                  <c:v>73573.146873003629</c:v>
                </c:pt>
                <c:pt idx="2">
                  <c:v>107068.79000000001</c:v>
                </c:pt>
                <c:pt idx="3">
                  <c:v>119865.34999999999</c:v>
                </c:pt>
                <c:pt idx="4">
                  <c:v>119197.95</c:v>
                </c:pt>
              </c:numCache>
            </c:numRef>
          </c:yVal>
          <c:smooth val="0"/>
          <c:extLst>
            <c:ext xmlns:c16="http://schemas.microsoft.com/office/drawing/2014/chart" uri="{C3380CC4-5D6E-409C-BE32-E72D297353CC}">
              <c16:uniqueId val="{00000000-3D74-49C2-A6F4-8B4ACF5F50CC}"/>
            </c:ext>
          </c:extLst>
        </c:ser>
        <c:dLbls>
          <c:showLegendKey val="0"/>
          <c:showVal val="0"/>
          <c:showCatName val="0"/>
          <c:showSerName val="0"/>
          <c:showPercent val="0"/>
          <c:showBubbleSize val="0"/>
        </c:dLbls>
        <c:axId val="1859444944"/>
        <c:axId val="1846947280"/>
      </c:scatterChart>
      <c:valAx>
        <c:axId val="1859444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46947280"/>
        <c:crosses val="autoZero"/>
        <c:crossBetween val="midCat"/>
      </c:valAx>
      <c:valAx>
        <c:axId val="1846947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5944494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Úrgangur!$R$11:$R$55</c:f>
              <c:numCache>
                <c:formatCode>General</c:formatCode>
                <c:ptCount val="45"/>
                <c:pt idx="0">
                  <c:v>2017</c:v>
                </c:pt>
                <c:pt idx="1">
                  <c:v>2017.0833333333333</c:v>
                </c:pt>
                <c:pt idx="2">
                  <c:v>2017.1666666666665</c:v>
                </c:pt>
                <c:pt idx="3">
                  <c:v>2017.2499999999998</c:v>
                </c:pt>
                <c:pt idx="4">
                  <c:v>2017.333333333333</c:v>
                </c:pt>
                <c:pt idx="5">
                  <c:v>2017.4166666666663</c:v>
                </c:pt>
                <c:pt idx="6">
                  <c:v>2017.4999999999995</c:v>
                </c:pt>
                <c:pt idx="7">
                  <c:v>2017.5833333333328</c:v>
                </c:pt>
                <c:pt idx="8">
                  <c:v>2017.6666666666661</c:v>
                </c:pt>
                <c:pt idx="9">
                  <c:v>2017.7499999999993</c:v>
                </c:pt>
                <c:pt idx="10">
                  <c:v>2017.8333333333326</c:v>
                </c:pt>
                <c:pt idx="11">
                  <c:v>2017.9166666666658</c:v>
                </c:pt>
                <c:pt idx="12">
                  <c:v>2017.9999999999991</c:v>
                </c:pt>
                <c:pt idx="13">
                  <c:v>2018.0833333333323</c:v>
                </c:pt>
                <c:pt idx="14">
                  <c:v>2018.1666666666656</c:v>
                </c:pt>
                <c:pt idx="15">
                  <c:v>2018.2499999999989</c:v>
                </c:pt>
                <c:pt idx="16">
                  <c:v>2018.3333333333321</c:v>
                </c:pt>
                <c:pt idx="17">
                  <c:v>2018.4166666666654</c:v>
                </c:pt>
                <c:pt idx="18">
                  <c:v>2018.4999999999986</c:v>
                </c:pt>
                <c:pt idx="19">
                  <c:v>2018.5833333333319</c:v>
                </c:pt>
                <c:pt idx="20">
                  <c:v>2018.6666666666652</c:v>
                </c:pt>
                <c:pt idx="21">
                  <c:v>2018.7499999999984</c:v>
                </c:pt>
                <c:pt idx="22">
                  <c:v>2018.8333333333317</c:v>
                </c:pt>
                <c:pt idx="23">
                  <c:v>2018.9166666666649</c:v>
                </c:pt>
                <c:pt idx="24">
                  <c:v>2018.9999999999982</c:v>
                </c:pt>
                <c:pt idx="25">
                  <c:v>2019.0833333333314</c:v>
                </c:pt>
                <c:pt idx="26">
                  <c:v>2019.1666666666647</c:v>
                </c:pt>
                <c:pt idx="27">
                  <c:v>2019.249999999998</c:v>
                </c:pt>
                <c:pt idx="28">
                  <c:v>2019.3333333333312</c:v>
                </c:pt>
                <c:pt idx="29">
                  <c:v>2019.4166666666645</c:v>
                </c:pt>
                <c:pt idx="30">
                  <c:v>2019.4999999999977</c:v>
                </c:pt>
                <c:pt idx="31">
                  <c:v>2019.583333333331</c:v>
                </c:pt>
                <c:pt idx="32">
                  <c:v>2019.6666666666642</c:v>
                </c:pt>
                <c:pt idx="33">
                  <c:v>2019.7499999999975</c:v>
                </c:pt>
                <c:pt idx="34">
                  <c:v>2019.8333333333308</c:v>
                </c:pt>
                <c:pt idx="35">
                  <c:v>2019.916666666664</c:v>
                </c:pt>
                <c:pt idx="36">
                  <c:v>2019.9999999999973</c:v>
                </c:pt>
                <c:pt idx="37">
                  <c:v>2020.0833333333305</c:v>
                </c:pt>
                <c:pt idx="38">
                  <c:v>2020.1666666666638</c:v>
                </c:pt>
                <c:pt idx="39">
                  <c:v>2020.249999999997</c:v>
                </c:pt>
                <c:pt idx="40">
                  <c:v>2020.3333333333303</c:v>
                </c:pt>
                <c:pt idx="41">
                  <c:v>2020.4166666666636</c:v>
                </c:pt>
                <c:pt idx="42">
                  <c:v>2020.4999999999968</c:v>
                </c:pt>
                <c:pt idx="43">
                  <c:v>2020.5833333333301</c:v>
                </c:pt>
                <c:pt idx="44">
                  <c:v>2020.6666666666633</c:v>
                </c:pt>
              </c:numCache>
            </c:numRef>
          </c:xVal>
          <c:yVal>
            <c:numRef>
              <c:f>Úrgangur!$S$11:$S$55</c:f>
              <c:numCache>
                <c:formatCode>#,##0</c:formatCode>
                <c:ptCount val="45"/>
                <c:pt idx="0">
                  <c:v>9458.02</c:v>
                </c:pt>
                <c:pt idx="1">
                  <c:v>8619.6</c:v>
                </c:pt>
                <c:pt idx="2">
                  <c:v>9934</c:v>
                </c:pt>
                <c:pt idx="3">
                  <c:v>8256.6</c:v>
                </c:pt>
                <c:pt idx="4">
                  <c:v>10593.52</c:v>
                </c:pt>
                <c:pt idx="5">
                  <c:v>10734.64</c:v>
                </c:pt>
                <c:pt idx="6">
                  <c:v>10589.06</c:v>
                </c:pt>
                <c:pt idx="7">
                  <c:v>11116.02</c:v>
                </c:pt>
                <c:pt idx="8">
                  <c:v>10037.959999999999</c:v>
                </c:pt>
                <c:pt idx="9">
                  <c:v>10419.18</c:v>
                </c:pt>
                <c:pt idx="10">
                  <c:v>10267.51</c:v>
                </c:pt>
                <c:pt idx="11">
                  <c:v>9171.84</c:v>
                </c:pt>
                <c:pt idx="12">
                  <c:v>10796.84</c:v>
                </c:pt>
                <c:pt idx="13">
                  <c:v>9341.42</c:v>
                </c:pt>
                <c:pt idx="14">
                  <c:v>9466.7000000000007</c:v>
                </c:pt>
                <c:pt idx="15">
                  <c:v>9656.73</c:v>
                </c:pt>
                <c:pt idx="16">
                  <c:v>10785.22</c:v>
                </c:pt>
                <c:pt idx="17">
                  <c:v>10218.74</c:v>
                </c:pt>
                <c:pt idx="18">
                  <c:v>10590.94</c:v>
                </c:pt>
                <c:pt idx="19">
                  <c:v>10329.120000000001</c:v>
                </c:pt>
                <c:pt idx="20">
                  <c:v>9486.02</c:v>
                </c:pt>
                <c:pt idx="21">
                  <c:v>10851.76</c:v>
                </c:pt>
                <c:pt idx="22">
                  <c:v>9454.1200000000008</c:v>
                </c:pt>
                <c:pt idx="23">
                  <c:v>8887.74</c:v>
                </c:pt>
                <c:pt idx="24">
                  <c:v>10359.98</c:v>
                </c:pt>
                <c:pt idx="25">
                  <c:v>8657.68</c:v>
                </c:pt>
                <c:pt idx="26">
                  <c:v>8700.56</c:v>
                </c:pt>
                <c:pt idx="27">
                  <c:v>8838.84</c:v>
                </c:pt>
                <c:pt idx="28">
                  <c:v>10672.39</c:v>
                </c:pt>
                <c:pt idx="29">
                  <c:v>8821.0400000000009</c:v>
                </c:pt>
                <c:pt idx="30">
                  <c:v>9611.26</c:v>
                </c:pt>
                <c:pt idx="31">
                  <c:v>8938.94</c:v>
                </c:pt>
                <c:pt idx="32">
                  <c:v>9020.64</c:v>
                </c:pt>
                <c:pt idx="33">
                  <c:v>8615.68</c:v>
                </c:pt>
                <c:pt idx="34">
                  <c:v>7421.58</c:v>
                </c:pt>
                <c:pt idx="35">
                  <c:v>7410.2</c:v>
                </c:pt>
                <c:pt idx="36">
                  <c:v>8379.56</c:v>
                </c:pt>
                <c:pt idx="37">
                  <c:v>6154.64</c:v>
                </c:pt>
                <c:pt idx="38">
                  <c:v>7204.3</c:v>
                </c:pt>
                <c:pt idx="39">
                  <c:v>7158.26</c:v>
                </c:pt>
                <c:pt idx="40">
                  <c:v>6950.12</c:v>
                </c:pt>
                <c:pt idx="41">
                  <c:v>7245.1</c:v>
                </c:pt>
                <c:pt idx="42">
                  <c:v>7600.9</c:v>
                </c:pt>
                <c:pt idx="43">
                  <c:v>6408.64</c:v>
                </c:pt>
                <c:pt idx="44">
                  <c:v>7314.64</c:v>
                </c:pt>
              </c:numCache>
            </c:numRef>
          </c:yVal>
          <c:smooth val="0"/>
          <c:extLst>
            <c:ext xmlns:c16="http://schemas.microsoft.com/office/drawing/2014/chart" uri="{C3380CC4-5D6E-409C-BE32-E72D297353CC}">
              <c16:uniqueId val="{00000000-F869-493B-AB4F-5A9A1E6629C2}"/>
            </c:ext>
          </c:extLst>
        </c:ser>
        <c:dLbls>
          <c:showLegendKey val="0"/>
          <c:showVal val="0"/>
          <c:showCatName val="0"/>
          <c:showSerName val="0"/>
          <c:showPercent val="0"/>
          <c:showBubbleSize val="0"/>
        </c:dLbls>
        <c:axId val="1850717600"/>
        <c:axId val="1846400352"/>
      </c:scatterChart>
      <c:valAx>
        <c:axId val="1850717600"/>
        <c:scaling>
          <c:orientation val="minMax"/>
          <c:min val="2017"/>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46400352"/>
        <c:crosses val="autoZero"/>
        <c:crossBetween val="midCat"/>
      </c:valAx>
      <c:valAx>
        <c:axId val="18464003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is-IS"/>
                  <a:t>Magn</a:t>
                </a:r>
                <a:r>
                  <a:rPr lang="is-IS" baseline="0"/>
                  <a:t> (tonn)</a:t>
                </a:r>
                <a:endParaRPr lang="is-I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is-I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5071760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is-I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3"/>
          <c:order val="0"/>
          <c:tx>
            <c:strRef>
              <c:f>Úrgangur!$K$64</c:f>
              <c:strCache>
                <c:ptCount val="1"/>
                <c:pt idx="0">
                  <c:v>2017-18</c:v>
                </c:pt>
              </c:strCache>
            </c:strRef>
          </c:tx>
          <c:spPr>
            <a:ln w="19050" cap="rnd">
              <a:noFill/>
              <a:round/>
            </a:ln>
            <a:effectLst/>
          </c:spPr>
          <c:marker>
            <c:symbol val="square"/>
            <c:size val="5"/>
            <c:spPr>
              <a:solidFill>
                <a:schemeClr val="accent5"/>
              </a:solidFill>
              <a:ln>
                <a:noFill/>
              </a:ln>
            </c:spPr>
          </c:marker>
          <c:yVal>
            <c:numRef>
              <c:f>Úrgangur!$H$23:$H$34</c:f>
              <c:numCache>
                <c:formatCode>0.0%</c:formatCode>
                <c:ptCount val="12"/>
                <c:pt idx="0">
                  <c:v>0</c:v>
                </c:pt>
                <c:pt idx="1">
                  <c:v>0</c:v>
                </c:pt>
                <c:pt idx="2">
                  <c:v>0</c:v>
                </c:pt>
                <c:pt idx="3">
                  <c:v>0</c:v>
                </c:pt>
                <c:pt idx="4">
                  <c:v>0</c:v>
                </c:pt>
                <c:pt idx="5">
                  <c:v>0</c:v>
                </c:pt>
                <c:pt idx="6">
                  <c:v>0</c:v>
                </c:pt>
                <c:pt idx="7">
                  <c:v>0</c:v>
                </c:pt>
                <c:pt idx="8">
                  <c:v>0</c:v>
                </c:pt>
                <c:pt idx="9">
                  <c:v>0</c:v>
                </c:pt>
                <c:pt idx="10">
                  <c:v>0</c:v>
                </c:pt>
                <c:pt idx="11">
                  <c:v>0</c:v>
                </c:pt>
              </c:numCache>
            </c:numRef>
          </c:yVal>
          <c:smooth val="0"/>
          <c:extLst>
            <c:ext xmlns:c16="http://schemas.microsoft.com/office/drawing/2014/chart" uri="{C3380CC4-5D6E-409C-BE32-E72D297353CC}">
              <c16:uniqueId val="{00000001-8629-4EA3-BBD5-007A7648BD7E}"/>
            </c:ext>
          </c:extLst>
        </c:ser>
        <c:ser>
          <c:idx val="0"/>
          <c:order val="1"/>
          <c:tx>
            <c:strRef>
              <c:f>Úrgangur!$K$65</c:f>
              <c:strCache>
                <c:ptCount val="1"/>
                <c:pt idx="0">
                  <c:v>2018-19</c:v>
                </c:pt>
              </c:strCache>
            </c:strRef>
          </c:tx>
          <c:spPr>
            <a:ln w="19050" cap="rnd">
              <a:noFill/>
              <a:round/>
            </a:ln>
            <a:effectLst/>
          </c:spPr>
          <c:marker>
            <c:symbol val="triangle"/>
            <c:size val="5"/>
            <c:spPr>
              <a:solidFill>
                <a:schemeClr val="accent1"/>
              </a:solidFill>
              <a:ln w="9525">
                <a:solidFill>
                  <a:schemeClr val="accent1"/>
                </a:solidFill>
              </a:ln>
              <a:effectLst/>
            </c:spPr>
          </c:marker>
          <c:yVal>
            <c:numRef>
              <c:f>Úrgangur!$H$36:$H$47</c:f>
              <c:numCache>
                <c:formatCode>0.0%</c:formatCode>
                <c:ptCount val="12"/>
                <c:pt idx="0">
                  <c:v>0.14155394046534048</c:v>
                </c:pt>
                <c:pt idx="1">
                  <c:v>8.3741704951505833E-2</c:v>
                </c:pt>
                <c:pt idx="2">
                  <c:v>-4.7040467082746049E-2</c:v>
                </c:pt>
                <c:pt idx="3">
                  <c:v>0.16957706562023098</c:v>
                </c:pt>
                <c:pt idx="4">
                  <c:v>1.8095968101254249E-2</c:v>
                </c:pt>
                <c:pt idx="5">
                  <c:v>-4.805936668579474E-2</c:v>
                </c:pt>
                <c:pt idx="6">
                  <c:v>1.7754172702780216E-4</c:v>
                </c:pt>
                <c:pt idx="7">
                  <c:v>-7.0789725099451029E-2</c:v>
                </c:pt>
                <c:pt idx="8">
                  <c:v>-5.4985275892711141E-2</c:v>
                </c:pt>
                <c:pt idx="9">
                  <c:v>4.1517662618363434E-2</c:v>
                </c:pt>
                <c:pt idx="10">
                  <c:v>-7.9219791361293965E-2</c:v>
                </c:pt>
                <c:pt idx="11">
                  <c:v>-3.0975245970274269E-2</c:v>
                </c:pt>
              </c:numCache>
            </c:numRef>
          </c:yVal>
          <c:smooth val="0"/>
          <c:extLst>
            <c:ext xmlns:c16="http://schemas.microsoft.com/office/drawing/2014/chart" uri="{C3380CC4-5D6E-409C-BE32-E72D297353CC}">
              <c16:uniqueId val="{00000000-8629-4EA3-BBD5-007A7648BD7E}"/>
            </c:ext>
          </c:extLst>
        </c:ser>
        <c:ser>
          <c:idx val="2"/>
          <c:order val="2"/>
          <c:tx>
            <c:strRef>
              <c:f>Úrgangur!$K$66</c:f>
              <c:strCache>
                <c:ptCount val="1"/>
                <c:pt idx="0">
                  <c:v>2019-20</c:v>
                </c:pt>
              </c:strCache>
            </c:strRef>
          </c:tx>
          <c:spPr>
            <a:ln w="19050">
              <a:noFill/>
            </a:ln>
          </c:spPr>
          <c:marker>
            <c:symbol val="circle"/>
            <c:size val="5"/>
            <c:spPr>
              <a:solidFill>
                <a:schemeClr val="accent2"/>
              </a:solidFill>
              <a:ln>
                <a:noFill/>
              </a:ln>
            </c:spPr>
          </c:marker>
          <c:yVal>
            <c:numRef>
              <c:f>Úrgangur!$H$49:$H$60</c:f>
              <c:numCache>
                <c:formatCode>0.0%</c:formatCode>
                <c:ptCount val="12"/>
                <c:pt idx="0">
                  <c:v>-4.046183883432565E-2</c:v>
                </c:pt>
                <c:pt idx="1">
                  <c:v>-7.3194439389300536E-2</c:v>
                </c:pt>
                <c:pt idx="2">
                  <c:v>-8.0929996725363773E-2</c:v>
                </c:pt>
                <c:pt idx="3">
                  <c:v>-8.4696372374499382E-2</c:v>
                </c:pt>
                <c:pt idx="4">
                  <c:v>-1.0461539032119877E-2</c:v>
                </c:pt>
                <c:pt idx="5">
                  <c:v>-0.13677811550151966</c:v>
                </c:pt>
                <c:pt idx="6">
                  <c:v>-9.2501704286871628E-2</c:v>
                </c:pt>
                <c:pt idx="7">
                  <c:v>-0.13458842573229859</c:v>
                </c:pt>
                <c:pt idx="8">
                  <c:v>-4.9059563441780744E-2</c:v>
                </c:pt>
                <c:pt idx="9">
                  <c:v>-0.20605689768295649</c:v>
                </c:pt>
                <c:pt idx="10">
                  <c:v>-0.21498986685170071</c:v>
                </c:pt>
                <c:pt idx="11">
                  <c:v>-0.16624473713227433</c:v>
                </c:pt>
              </c:numCache>
            </c:numRef>
          </c:yVal>
          <c:smooth val="0"/>
          <c:extLst>
            <c:ext xmlns:c16="http://schemas.microsoft.com/office/drawing/2014/chart" uri="{C3380CC4-5D6E-409C-BE32-E72D297353CC}">
              <c16:uniqueId val="{00000002-8629-4EA3-BBD5-007A7648BD7E}"/>
            </c:ext>
          </c:extLst>
        </c:ser>
        <c:dLbls>
          <c:showLegendKey val="0"/>
          <c:showVal val="0"/>
          <c:showCatName val="0"/>
          <c:showSerName val="0"/>
          <c:showPercent val="0"/>
          <c:showBubbleSize val="0"/>
        </c:dLbls>
        <c:axId val="1855632112"/>
        <c:axId val="1844889088"/>
      </c:scatterChart>
      <c:valAx>
        <c:axId val="1855632112"/>
        <c:scaling>
          <c:orientation val="minMax"/>
          <c:max val="8"/>
          <c:min val="1"/>
        </c:scaling>
        <c:delete val="0"/>
        <c:axPos val="b"/>
        <c:title>
          <c:tx>
            <c:rich>
              <a:bodyPr/>
              <a:lstStyle/>
              <a:p>
                <a:pPr>
                  <a:defRPr/>
                </a:pPr>
                <a:r>
                  <a:rPr lang="is-IS"/>
                  <a:t>Mánuður</a:t>
                </a:r>
              </a:p>
            </c:rich>
          </c:tx>
          <c:overlay val="0"/>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44889088"/>
        <c:crosses val="autoZero"/>
        <c:crossBetween val="midCat"/>
      </c:valAx>
      <c:valAx>
        <c:axId val="1844889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is-IS"/>
                  <a:t>Breyting</a:t>
                </a:r>
              </a:p>
            </c:rich>
          </c:tx>
          <c:overlay val="0"/>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55632112"/>
        <c:crosses val="autoZero"/>
        <c:crossBetween val="midCat"/>
      </c:valAx>
    </c:plotArea>
    <c:legend>
      <c:legendPos val="r"/>
      <c:overlay val="0"/>
    </c:legend>
    <c:plotVisOnly val="1"/>
    <c:dispBlanksAs val="gap"/>
    <c:showDLblsOverMax val="0"/>
    <c:extLst/>
  </c:chart>
  <c:txPr>
    <a:bodyPr/>
    <a:lstStyle/>
    <a:p>
      <a:pPr>
        <a:defRPr/>
      </a:pPr>
      <a:endParaRPr lang="is-I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1"/>
          <c:order val="0"/>
          <c:tx>
            <c:v>Losun [1.000 t CO2-íg]</c:v>
          </c:tx>
          <c:spPr>
            <a:ln w="25400">
              <a:noFill/>
            </a:ln>
          </c:spPr>
          <c:xVal>
            <c:numRef>
              <c:f>Úrgangur!$W$32:$W$45</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xVal>
          <c:yVal>
            <c:numRef>
              <c:f>Úrgangur!$AA$32:$AA$45</c:f>
              <c:numCache>
                <c:formatCode>General</c:formatCode>
                <c:ptCount val="14"/>
                <c:pt idx="0">
                  <c:v>100.9489744512391</c:v>
                </c:pt>
                <c:pt idx="1">
                  <c:v>87.254390970458473</c:v>
                </c:pt>
                <c:pt idx="2">
                  <c:v>94.668997235977358</c:v>
                </c:pt>
                <c:pt idx="3">
                  <c:v>98.17525496927459</c:v>
                </c:pt>
                <c:pt idx="4">
                  <c:v>101.6182042412498</c:v>
                </c:pt>
                <c:pt idx="5">
                  <c:v>103.97279453288078</c:v>
                </c:pt>
                <c:pt idx="6">
                  <c:v>104.85003517874557</c:v>
                </c:pt>
                <c:pt idx="7">
                  <c:v>104.97739802284515</c:v>
                </c:pt>
                <c:pt idx="8">
                  <c:v>81.313907947350032</c:v>
                </c:pt>
                <c:pt idx="9">
                  <c:v>108.87339204784901</c:v>
                </c:pt>
                <c:pt idx="10">
                  <c:v>111.54662695537311</c:v>
                </c:pt>
                <c:pt idx="11">
                  <c:v>117.75782759941592</c:v>
                </c:pt>
                <c:pt idx="12">
                  <c:v>103.0748774832534</c:v>
                </c:pt>
                <c:pt idx="13">
                  <c:v>95.186310823807659</c:v>
                </c:pt>
              </c:numCache>
            </c:numRef>
          </c:yVal>
          <c:smooth val="0"/>
          <c:extLst>
            <c:ext xmlns:c16="http://schemas.microsoft.com/office/drawing/2014/chart" uri="{C3380CC4-5D6E-409C-BE32-E72D297353CC}">
              <c16:uniqueId val="{00000003-C81D-4F08-BBB4-9D9AFF3FEAAA}"/>
            </c:ext>
          </c:extLst>
        </c:ser>
        <c:ser>
          <c:idx val="0"/>
          <c:order val="1"/>
          <c:tx>
            <c:v>Urðun [1.000 t]</c:v>
          </c:tx>
          <c:spPr>
            <a:ln w="25400" cap="rnd">
              <a:noFill/>
              <a:round/>
            </a:ln>
            <a:effectLst/>
          </c:spPr>
          <c:marker>
            <c:symbol val="circle"/>
            <c:size val="5"/>
            <c:spPr>
              <a:solidFill>
                <a:schemeClr val="accent1"/>
              </a:solidFill>
              <a:ln w="9525">
                <a:solidFill>
                  <a:schemeClr val="accent1"/>
                </a:solidFill>
              </a:ln>
              <a:effectLst/>
            </c:spPr>
          </c:marker>
          <c:xVal>
            <c:numRef>
              <c:f>Úrgangur!$W$32:$W$45</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xVal>
          <c:yVal>
            <c:numRef>
              <c:f>Úrgangur!$X$32:$X$45</c:f>
              <c:numCache>
                <c:formatCode>General</c:formatCode>
                <c:ptCount val="14"/>
                <c:pt idx="0">
                  <c:v>106.38890099999999</c:v>
                </c:pt>
                <c:pt idx="1">
                  <c:v>109.286101</c:v>
                </c:pt>
                <c:pt idx="2">
                  <c:v>106.53392799999999</c:v>
                </c:pt>
                <c:pt idx="3">
                  <c:v>108.45529199999999</c:v>
                </c:pt>
                <c:pt idx="4">
                  <c:v>111.738162</c:v>
                </c:pt>
                <c:pt idx="5">
                  <c:v>122.55149899999998</c:v>
                </c:pt>
                <c:pt idx="6">
                  <c:v>141.92535500000002</c:v>
                </c:pt>
                <c:pt idx="7">
                  <c:v>147.361953</c:v>
                </c:pt>
                <c:pt idx="8">
                  <c:v>130.97152300000002</c:v>
                </c:pt>
                <c:pt idx="9">
                  <c:v>105.25498999999999</c:v>
                </c:pt>
                <c:pt idx="10">
                  <c:v>96.272450000000006</c:v>
                </c:pt>
                <c:pt idx="11">
                  <c:v>67.470669999999998</c:v>
                </c:pt>
                <c:pt idx="12">
                  <c:v>71.217950000000002</c:v>
                </c:pt>
                <c:pt idx="13">
                  <c:v>15.879490000000001</c:v>
                </c:pt>
              </c:numCache>
            </c:numRef>
          </c:yVal>
          <c:smooth val="0"/>
          <c:extLst>
            <c:ext xmlns:c16="http://schemas.microsoft.com/office/drawing/2014/chart" uri="{C3380CC4-5D6E-409C-BE32-E72D297353CC}">
              <c16:uniqueId val="{00000002-C81D-4F08-BBB4-9D9AFF3FEAAA}"/>
            </c:ext>
          </c:extLst>
        </c:ser>
        <c:dLbls>
          <c:showLegendKey val="0"/>
          <c:showVal val="0"/>
          <c:showCatName val="0"/>
          <c:showSerName val="0"/>
          <c:showPercent val="0"/>
          <c:showBubbleSize val="0"/>
        </c:dLbls>
        <c:axId val="1859444944"/>
        <c:axId val="1846947280"/>
      </c:scatterChart>
      <c:scatterChart>
        <c:scatterStyle val="lineMarker"/>
        <c:varyColors val="0"/>
        <c:ser>
          <c:idx val="2"/>
          <c:order val="2"/>
          <c:tx>
            <c:v>Losunarstuðull [t CO2-íg/t]</c:v>
          </c:tx>
          <c:spPr>
            <a:ln w="19050">
              <a:noFill/>
            </a:ln>
          </c:spPr>
          <c:xVal>
            <c:numRef>
              <c:f>Úrgangur!$W$32:$W$45</c:f>
              <c:numCache>
                <c:formatCode>General</c:formatCode>
                <c:ptCount val="14"/>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numCache>
            </c:numRef>
          </c:xVal>
          <c:yVal>
            <c:numRef>
              <c:f>Úrgangur!$AB$32:$AB$45</c:f>
              <c:numCache>
                <c:formatCode>General</c:formatCode>
                <c:ptCount val="14"/>
                <c:pt idx="0">
                  <c:v>0.94886753695518578</c:v>
                </c:pt>
                <c:pt idx="1">
                  <c:v>0.79840336668666101</c:v>
                </c:pt>
                <c:pt idx="2">
                  <c:v>0.88862767958745847</c:v>
                </c:pt>
                <c:pt idx="3">
                  <c:v>0.90521405787441522</c:v>
                </c:pt>
                <c:pt idx="4">
                  <c:v>0.90943149969882087</c:v>
                </c:pt>
                <c:pt idx="5">
                  <c:v>0.84840083867828331</c:v>
                </c:pt>
                <c:pt idx="6">
                  <c:v>0.73876887733517071</c:v>
                </c:pt>
                <c:pt idx="7">
                  <c:v>0.71237789596100931</c:v>
                </c:pt>
                <c:pt idx="8">
                  <c:v>0.62085181637041831</c:v>
                </c:pt>
                <c:pt idx="9">
                  <c:v>1.0343774869756674</c:v>
                </c:pt>
                <c:pt idx="10">
                  <c:v>1.1586557416516678</c:v>
                </c:pt>
                <c:pt idx="11">
                  <c:v>1.745318782211825</c:v>
                </c:pt>
                <c:pt idx="12">
                  <c:v>1.4473159854117312</c:v>
                </c:pt>
                <c:pt idx="13">
                  <c:v>5.9942926897405178</c:v>
                </c:pt>
              </c:numCache>
            </c:numRef>
          </c:yVal>
          <c:smooth val="0"/>
          <c:extLst>
            <c:ext xmlns:c16="http://schemas.microsoft.com/office/drawing/2014/chart" uri="{C3380CC4-5D6E-409C-BE32-E72D297353CC}">
              <c16:uniqueId val="{00000000-D2F3-404D-AD68-DBCD181B2A17}"/>
            </c:ext>
          </c:extLst>
        </c:ser>
        <c:dLbls>
          <c:showLegendKey val="0"/>
          <c:showVal val="0"/>
          <c:showCatName val="0"/>
          <c:showSerName val="0"/>
          <c:showPercent val="0"/>
          <c:showBubbleSize val="0"/>
        </c:dLbls>
        <c:axId val="343210399"/>
        <c:axId val="343208959"/>
      </c:scatterChart>
      <c:valAx>
        <c:axId val="1859444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46947280"/>
        <c:crosses val="autoZero"/>
        <c:crossBetween val="midCat"/>
      </c:valAx>
      <c:valAx>
        <c:axId val="1846947280"/>
        <c:scaling>
          <c:orientation val="minMax"/>
        </c:scaling>
        <c:delete val="0"/>
        <c:axPos val="l"/>
        <c:majorGridlines>
          <c:spPr>
            <a:ln w="9525" cap="flat" cmpd="sng" algn="ctr">
              <a:solidFill>
                <a:schemeClr val="tx1">
                  <a:lumMod val="15000"/>
                  <a:lumOff val="85000"/>
                </a:schemeClr>
              </a:solidFill>
              <a:round/>
            </a:ln>
            <a:effectLst/>
          </c:spPr>
        </c:majorGridlines>
        <c:title>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59444944"/>
        <c:crosses val="autoZero"/>
        <c:crossBetween val="midCat"/>
      </c:valAx>
      <c:valAx>
        <c:axId val="343208959"/>
        <c:scaling>
          <c:orientation val="minMax"/>
        </c:scaling>
        <c:delete val="0"/>
        <c:axPos val="r"/>
        <c:numFmt formatCode="General" sourceLinked="1"/>
        <c:majorTickMark val="out"/>
        <c:minorTickMark val="none"/>
        <c:tickLblPos val="nextTo"/>
        <c:crossAx val="343210399"/>
        <c:crosses val="max"/>
        <c:crossBetween val="midCat"/>
      </c:valAx>
      <c:valAx>
        <c:axId val="343210399"/>
        <c:scaling>
          <c:orientation val="minMax"/>
        </c:scaling>
        <c:delete val="1"/>
        <c:axPos val="b"/>
        <c:numFmt formatCode="General" sourceLinked="1"/>
        <c:majorTickMark val="out"/>
        <c:minorTickMark val="none"/>
        <c:tickLblPos val="nextTo"/>
        <c:crossAx val="343208959"/>
        <c:crosses val="autoZero"/>
        <c:crossBetween val="midCat"/>
      </c:valAx>
    </c:plotArea>
    <c:legend>
      <c:legendPos val="b"/>
      <c:overlay val="0"/>
    </c:legend>
    <c:plotVisOnly val="1"/>
    <c:dispBlanksAs val="gap"/>
    <c:showDLblsOverMax val="0"/>
    <c:extLst/>
  </c:chart>
  <c:spPr>
    <a:ln>
      <a:noFill/>
    </a:ln>
  </c:spPr>
  <c:txPr>
    <a:bodyPr/>
    <a:lstStyle/>
    <a:p>
      <a:pPr>
        <a:defRPr/>
      </a:pPr>
      <a:endParaRPr lang="is-IS"/>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1"/>
          <c:tx>
            <c:strRef>
              <c:f>Úrgangur!$AF$9</c:f>
              <c:strCache>
                <c:ptCount val="1"/>
                <c:pt idx="0">
                  <c:v>Magn</c:v>
                </c:pt>
              </c:strCache>
            </c:strRef>
          </c:tx>
          <c:spPr>
            <a:ln w="19050">
              <a:solidFill>
                <a:schemeClr val="tx1">
                  <a:lumMod val="15000"/>
                  <a:lumOff val="85000"/>
                </a:schemeClr>
              </a:solidFill>
            </a:ln>
          </c:spPr>
          <c:marker>
            <c:symbol val="circle"/>
            <c:size val="5"/>
            <c:spPr>
              <a:solidFill>
                <a:schemeClr val="accent1"/>
              </a:solidFill>
              <a:ln w="9525">
                <a:solidFill>
                  <a:schemeClr val="accent1"/>
                </a:solidFill>
              </a:ln>
              <a:effectLst/>
            </c:spPr>
          </c:marker>
          <c:xVal>
            <c:numRef>
              <c:f>Úrgangur!$W$32:$W$46</c:f>
              <c:numCache>
                <c:formatCode>General</c:formatCode>
                <c:ptCount val="1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numCache>
            </c:numRef>
          </c:xVal>
          <c:yVal>
            <c:numRef>
              <c:f>Úrgangur!$AF$32:$AF$46</c:f>
              <c:numCache>
                <c:formatCode>General</c:formatCode>
                <c:ptCount val="15"/>
                <c:pt idx="0">
                  <c:v>61209.826770232896</c:v>
                </c:pt>
                <c:pt idx="1">
                  <c:v>62876.70281135977</c:v>
                </c:pt>
                <c:pt idx="2">
                  <c:v>61293.266654126484</c:v>
                </c:pt>
                <c:pt idx="3">
                  <c:v>62398.704876507982</c:v>
                </c:pt>
                <c:pt idx="4">
                  <c:v>64287.472427638109</c:v>
                </c:pt>
                <c:pt idx="5">
                  <c:v>70068.874484577973</c:v>
                </c:pt>
                <c:pt idx="6">
                  <c:v>80522.811106421563</c:v>
                </c:pt>
                <c:pt idx="7">
                  <c:v>83312.512071865378</c:v>
                </c:pt>
                <c:pt idx="8">
                  <c:v>73709.259446908618</c:v>
                </c:pt>
                <c:pt idx="9">
                  <c:v>58954.366411328869</c:v>
                </c:pt>
                <c:pt idx="10">
                  <c:v>53971.020672414699</c:v>
                </c:pt>
                <c:pt idx="11">
                  <c:v>37808.395298139658</c:v>
                </c:pt>
                <c:pt idx="12">
                  <c:v>40016.184194649686</c:v>
                </c:pt>
                <c:pt idx="13" formatCode="0">
                  <c:v>8912.4051038096331</c:v>
                </c:pt>
                <c:pt idx="14" formatCode="0">
                  <c:v>16148.124090965737</c:v>
                </c:pt>
              </c:numCache>
            </c:numRef>
          </c:yVal>
          <c:smooth val="0"/>
          <c:extLst>
            <c:ext xmlns:c16="http://schemas.microsoft.com/office/drawing/2014/chart" uri="{C3380CC4-5D6E-409C-BE32-E72D297353CC}">
              <c16:uniqueId val="{00000001-CB58-4450-B6AB-31A3ECA3576E}"/>
            </c:ext>
          </c:extLst>
        </c:ser>
        <c:dLbls>
          <c:showLegendKey val="0"/>
          <c:showVal val="0"/>
          <c:showCatName val="0"/>
          <c:showSerName val="0"/>
          <c:showPercent val="0"/>
          <c:showBubbleSize val="0"/>
        </c:dLbls>
        <c:axId val="1859444944"/>
        <c:axId val="1846947280"/>
      </c:scatterChart>
      <c:scatterChart>
        <c:scatterStyle val="lineMarker"/>
        <c:varyColors val="0"/>
        <c:ser>
          <c:idx val="1"/>
          <c:order val="0"/>
          <c:tx>
            <c:strRef>
              <c:f>Úrgangur!$AJ$9</c:f>
              <c:strCache>
                <c:ptCount val="1"/>
                <c:pt idx="0">
                  <c:v>Losun - MC</c:v>
                </c:pt>
              </c:strCache>
            </c:strRef>
          </c:tx>
          <c:spPr>
            <a:ln w="19050">
              <a:noFill/>
            </a:ln>
          </c:spPr>
          <c:xVal>
            <c:numRef>
              <c:f>Úrgangur!$W$32:$W$46</c:f>
              <c:numCache>
                <c:formatCode>General</c:formatCode>
                <c:ptCount val="1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numCache>
            </c:numRef>
          </c:xVal>
          <c:yVal>
            <c:numRef>
              <c:f>Úrgangur!$AJ$32:$AJ$46</c:f>
              <c:numCache>
                <c:formatCode>General</c:formatCode>
                <c:ptCount val="15"/>
                <c:pt idx="0">
                  <c:v>63058.509862729545</c:v>
                </c:pt>
                <c:pt idx="1">
                  <c:v>55512.796240522563</c:v>
                </c:pt>
                <c:pt idx="2">
                  <c:v>57125.628093857646</c:v>
                </c:pt>
                <c:pt idx="3">
                  <c:v>58784.99572054149</c:v>
                </c:pt>
                <c:pt idx="4">
                  <c:v>64447.315284032564</c:v>
                </c:pt>
                <c:pt idx="5">
                  <c:v>72499.66648498096</c:v>
                </c:pt>
                <c:pt idx="6">
                  <c:v>103461.31668864048</c:v>
                </c:pt>
                <c:pt idx="7">
                  <c:v>104796.72407276077</c:v>
                </c:pt>
                <c:pt idx="8">
                  <c:v>77499.797875148986</c:v>
                </c:pt>
                <c:pt idx="9">
                  <c:v>81274.193853829813</c:v>
                </c:pt>
                <c:pt idx="10">
                  <c:v>69992.71632995746</c:v>
                </c:pt>
                <c:pt idx="11">
                  <c:v>53044.879562387949</c:v>
                </c:pt>
                <c:pt idx="12">
                  <c:v>49507.290401983111</c:v>
                </c:pt>
                <c:pt idx="13">
                  <c:v>2036.4415621456678</c:v>
                </c:pt>
                <c:pt idx="14">
                  <c:v>3256.6904867645258</c:v>
                </c:pt>
              </c:numCache>
            </c:numRef>
          </c:yVal>
          <c:smooth val="0"/>
          <c:extLst>
            <c:ext xmlns:c16="http://schemas.microsoft.com/office/drawing/2014/chart" uri="{C3380CC4-5D6E-409C-BE32-E72D297353CC}">
              <c16:uniqueId val="{00000000-CB58-4450-B6AB-31A3ECA3576E}"/>
            </c:ext>
          </c:extLst>
        </c:ser>
        <c:ser>
          <c:idx val="2"/>
          <c:order val="2"/>
          <c:tx>
            <c:strRef>
              <c:f>Úrgangur!$AG$9</c:f>
              <c:strCache>
                <c:ptCount val="1"/>
                <c:pt idx="0">
                  <c:v>Losun -  FOD</c:v>
                </c:pt>
              </c:strCache>
            </c:strRef>
          </c:tx>
          <c:spPr>
            <a:ln w="19050">
              <a:noFill/>
            </a:ln>
          </c:spPr>
          <c:xVal>
            <c:numRef>
              <c:f>Úrgangur!$W$32:$W$46</c:f>
              <c:numCache>
                <c:formatCode>General</c:formatCode>
                <c:ptCount val="1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numCache>
            </c:numRef>
          </c:xVal>
          <c:yVal>
            <c:numRef>
              <c:f>Úrgangur!$AG$31:$AG$46</c:f>
              <c:numCache>
                <c:formatCode>General</c:formatCode>
                <c:ptCount val="16"/>
                <c:pt idx="0">
                  <c:v>63051.126878044372</c:v>
                </c:pt>
                <c:pt idx="1">
                  <c:v>58080.017564924477</c:v>
                </c:pt>
                <c:pt idx="2">
                  <c:v>50200.971210746291</c:v>
                </c:pt>
                <c:pt idx="3">
                  <c:v>54466.893321191754</c:v>
                </c:pt>
                <c:pt idx="4">
                  <c:v>56484.184847371856</c:v>
                </c:pt>
                <c:pt idx="5">
                  <c:v>58465.052461713523</c:v>
                </c:pt>
                <c:pt idx="6">
                  <c:v>59446.491877959321</c:v>
                </c:pt>
                <c:pt idx="7">
                  <c:v>59487.746760963069</c:v>
                </c:pt>
                <c:pt idx="8">
                  <c:v>59349.992056981653</c:v>
                </c:pt>
                <c:pt idx="9">
                  <c:v>45762.527610931633</c:v>
                </c:pt>
                <c:pt idx="10">
                  <c:v>60981.069374793056</c:v>
                </c:pt>
                <c:pt idx="11">
                  <c:v>62533.83298489415</c:v>
                </c:pt>
                <c:pt idx="12">
                  <c:v>65987.702439132394</c:v>
                </c:pt>
                <c:pt idx="13">
                  <c:v>57916.063060096756</c:v>
                </c:pt>
                <c:pt idx="14">
                  <c:v>53423.564761772162</c:v>
                </c:pt>
                <c:pt idx="15">
                  <c:v>47435.151012526723</c:v>
                </c:pt>
              </c:numCache>
            </c:numRef>
          </c:yVal>
          <c:smooth val="0"/>
          <c:extLst>
            <c:ext xmlns:c16="http://schemas.microsoft.com/office/drawing/2014/chart" uri="{C3380CC4-5D6E-409C-BE32-E72D297353CC}">
              <c16:uniqueId val="{00000000-7B97-48B5-BD9B-AF87100301FD}"/>
            </c:ext>
          </c:extLst>
        </c:ser>
        <c:dLbls>
          <c:showLegendKey val="0"/>
          <c:showVal val="0"/>
          <c:showCatName val="0"/>
          <c:showSerName val="0"/>
          <c:showPercent val="0"/>
          <c:showBubbleSize val="0"/>
        </c:dLbls>
        <c:axId val="1633930672"/>
        <c:axId val="1633932592"/>
      </c:scatterChart>
      <c:valAx>
        <c:axId val="1859444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46947280"/>
        <c:crosses val="autoZero"/>
        <c:crossBetween val="midCat"/>
      </c:valAx>
      <c:valAx>
        <c:axId val="1846947280"/>
        <c:scaling>
          <c:orientation val="minMax"/>
          <c:max val="120000"/>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is-IS"/>
                  <a:t>Magn [t]</a:t>
                </a:r>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59444944"/>
        <c:crosses val="autoZero"/>
        <c:crossBetween val="midCat"/>
      </c:valAx>
      <c:valAx>
        <c:axId val="1633932592"/>
        <c:scaling>
          <c:orientation val="minMax"/>
        </c:scaling>
        <c:delete val="0"/>
        <c:axPos val="r"/>
        <c:title>
          <c:tx>
            <c:rich>
              <a:bodyPr/>
              <a:lstStyle/>
              <a:p>
                <a:pPr>
                  <a:defRPr/>
                </a:pPr>
                <a:r>
                  <a:rPr lang="is-IS" sz="1000" b="1" i="0" u="none" strike="noStrike" kern="1200" baseline="0">
                    <a:solidFill>
                      <a:sysClr val="windowText" lastClr="000000"/>
                    </a:solidFill>
                  </a:rPr>
                  <a:t>Losun [tCO2-íg]</a:t>
                </a:r>
              </a:p>
            </c:rich>
          </c:tx>
          <c:overlay val="0"/>
        </c:title>
        <c:numFmt formatCode="General" sourceLinked="1"/>
        <c:majorTickMark val="out"/>
        <c:minorTickMark val="none"/>
        <c:tickLblPos val="nextTo"/>
        <c:crossAx val="1633930672"/>
        <c:crosses val="max"/>
        <c:crossBetween val="midCat"/>
      </c:valAx>
      <c:valAx>
        <c:axId val="1633930672"/>
        <c:scaling>
          <c:orientation val="minMax"/>
        </c:scaling>
        <c:delete val="1"/>
        <c:axPos val="b"/>
        <c:numFmt formatCode="General" sourceLinked="1"/>
        <c:majorTickMark val="out"/>
        <c:minorTickMark val="none"/>
        <c:tickLblPos val="nextTo"/>
        <c:crossAx val="1633932592"/>
        <c:crosses val="autoZero"/>
        <c:crossBetween val="midCat"/>
      </c:valAx>
    </c:plotArea>
    <c:legend>
      <c:legendPos val="b"/>
      <c:overlay val="0"/>
    </c:legend>
    <c:plotVisOnly val="1"/>
    <c:dispBlanksAs val="gap"/>
    <c:showDLblsOverMax val="0"/>
    <c:extLst/>
  </c:chart>
  <c:spPr>
    <a:ln>
      <a:noFill/>
    </a:ln>
  </c:spPr>
  <c:txPr>
    <a:bodyPr/>
    <a:lstStyle/>
    <a:p>
      <a:pPr>
        <a:defRPr/>
      </a:pPr>
      <a:endParaRPr lang="is-I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1"/>
          <c:order val="0"/>
          <c:tx>
            <c:strRef>
              <c:f>Úrgangur!$AJ$9</c:f>
              <c:strCache>
                <c:ptCount val="1"/>
                <c:pt idx="0">
                  <c:v>Losun - MC</c:v>
                </c:pt>
              </c:strCache>
            </c:strRef>
          </c:tx>
          <c:spPr>
            <a:ln w="19050">
              <a:solidFill>
                <a:schemeClr val="tx1">
                  <a:lumMod val="15000"/>
                  <a:lumOff val="85000"/>
                </a:schemeClr>
              </a:solidFill>
            </a:ln>
          </c:spPr>
          <c:xVal>
            <c:numRef>
              <c:f>Úrgangur!$W$32:$W$46</c:f>
              <c:numCache>
                <c:formatCode>General</c:formatCode>
                <c:ptCount val="1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numCache>
            </c:numRef>
          </c:xVal>
          <c:yVal>
            <c:numRef>
              <c:f>Úrgangur!$AJ$32:$AJ$46</c:f>
              <c:numCache>
                <c:formatCode>General</c:formatCode>
                <c:ptCount val="15"/>
                <c:pt idx="0">
                  <c:v>63058.509862729545</c:v>
                </c:pt>
                <c:pt idx="1">
                  <c:v>55512.796240522563</c:v>
                </c:pt>
                <c:pt idx="2">
                  <c:v>57125.628093857646</c:v>
                </c:pt>
                <c:pt idx="3">
                  <c:v>58784.99572054149</c:v>
                </c:pt>
                <c:pt idx="4">
                  <c:v>64447.315284032564</c:v>
                </c:pt>
                <c:pt idx="5">
                  <c:v>72499.66648498096</c:v>
                </c:pt>
                <c:pt idx="6">
                  <c:v>103461.31668864048</c:v>
                </c:pt>
                <c:pt idx="7">
                  <c:v>104796.72407276077</c:v>
                </c:pt>
                <c:pt idx="8">
                  <c:v>77499.797875148986</c:v>
                </c:pt>
                <c:pt idx="9">
                  <c:v>81274.193853829813</c:v>
                </c:pt>
                <c:pt idx="10">
                  <c:v>69992.71632995746</c:v>
                </c:pt>
                <c:pt idx="11">
                  <c:v>53044.879562387949</c:v>
                </c:pt>
                <c:pt idx="12">
                  <c:v>49507.290401983111</c:v>
                </c:pt>
                <c:pt idx="13">
                  <c:v>2036.4415621456678</c:v>
                </c:pt>
                <c:pt idx="14">
                  <c:v>3256.6904867645258</c:v>
                </c:pt>
              </c:numCache>
            </c:numRef>
          </c:yVal>
          <c:smooth val="0"/>
          <c:extLst>
            <c:ext xmlns:c16="http://schemas.microsoft.com/office/drawing/2014/chart" uri="{C3380CC4-5D6E-409C-BE32-E72D297353CC}">
              <c16:uniqueId val="{00000001-5917-4A13-8573-22CBB37BDE83}"/>
            </c:ext>
          </c:extLst>
        </c:ser>
        <c:ser>
          <c:idx val="2"/>
          <c:order val="1"/>
          <c:tx>
            <c:strRef>
              <c:f>Úrgangur!$AG$9</c:f>
              <c:strCache>
                <c:ptCount val="1"/>
                <c:pt idx="0">
                  <c:v>Losun -  FOD</c:v>
                </c:pt>
              </c:strCache>
            </c:strRef>
          </c:tx>
          <c:spPr>
            <a:ln w="19050">
              <a:solidFill>
                <a:schemeClr val="tx1">
                  <a:lumMod val="15000"/>
                  <a:lumOff val="85000"/>
                </a:schemeClr>
              </a:solidFill>
            </a:ln>
          </c:spPr>
          <c:xVal>
            <c:numRef>
              <c:f>Úrgangur!$W$32:$W$46</c:f>
              <c:numCache>
                <c:formatCode>General</c:formatCode>
                <c:ptCount val="1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numCache>
            </c:numRef>
          </c:xVal>
          <c:yVal>
            <c:numRef>
              <c:f>Úrgangur!$AG$31:$AG$46</c:f>
              <c:numCache>
                <c:formatCode>General</c:formatCode>
                <c:ptCount val="16"/>
                <c:pt idx="0">
                  <c:v>63051.126878044372</c:v>
                </c:pt>
                <c:pt idx="1">
                  <c:v>58080.017564924477</c:v>
                </c:pt>
                <c:pt idx="2">
                  <c:v>50200.971210746291</c:v>
                </c:pt>
                <c:pt idx="3">
                  <c:v>54466.893321191754</c:v>
                </c:pt>
                <c:pt idx="4">
                  <c:v>56484.184847371856</c:v>
                </c:pt>
                <c:pt idx="5">
                  <c:v>58465.052461713523</c:v>
                </c:pt>
                <c:pt idx="6">
                  <c:v>59446.491877959321</c:v>
                </c:pt>
                <c:pt idx="7">
                  <c:v>59487.746760963069</c:v>
                </c:pt>
                <c:pt idx="8">
                  <c:v>59349.992056981653</c:v>
                </c:pt>
                <c:pt idx="9">
                  <c:v>45762.527610931633</c:v>
                </c:pt>
                <c:pt idx="10">
                  <c:v>60981.069374793056</c:v>
                </c:pt>
                <c:pt idx="11">
                  <c:v>62533.83298489415</c:v>
                </c:pt>
                <c:pt idx="12">
                  <c:v>65987.702439132394</c:v>
                </c:pt>
                <c:pt idx="13">
                  <c:v>57916.063060096756</c:v>
                </c:pt>
                <c:pt idx="14">
                  <c:v>53423.564761772162</c:v>
                </c:pt>
                <c:pt idx="15">
                  <c:v>47435.151012526723</c:v>
                </c:pt>
              </c:numCache>
            </c:numRef>
          </c:yVal>
          <c:smooth val="0"/>
          <c:extLst>
            <c:ext xmlns:c16="http://schemas.microsoft.com/office/drawing/2014/chart" uri="{C3380CC4-5D6E-409C-BE32-E72D297353CC}">
              <c16:uniqueId val="{00000002-5917-4A13-8573-22CBB37BDE83}"/>
            </c:ext>
          </c:extLst>
        </c:ser>
        <c:dLbls>
          <c:showLegendKey val="0"/>
          <c:showVal val="0"/>
          <c:showCatName val="0"/>
          <c:showSerName val="0"/>
          <c:showPercent val="0"/>
          <c:showBubbleSize val="0"/>
        </c:dLbls>
        <c:axId val="1859444944"/>
        <c:axId val="1846947280"/>
      </c:scatterChart>
      <c:valAx>
        <c:axId val="1859444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46947280"/>
        <c:crosses val="autoZero"/>
        <c:crossBetween val="midCat"/>
      </c:valAx>
      <c:valAx>
        <c:axId val="1846947280"/>
        <c:scaling>
          <c:orientation val="minMax"/>
          <c:max val="120000"/>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is-IS"/>
                  <a:t>Losun [tCO2-íg]</a:t>
                </a:r>
              </a:p>
            </c:rich>
          </c:tx>
          <c:overlay val="0"/>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s-IS"/>
          </a:p>
        </c:txPr>
        <c:crossAx val="1859444944"/>
        <c:crosses val="autoZero"/>
        <c:crossBetween val="midCat"/>
      </c:valAx>
    </c:plotArea>
    <c:legend>
      <c:legendPos val="b"/>
      <c:overlay val="0"/>
    </c:legend>
    <c:plotVisOnly val="1"/>
    <c:dispBlanksAs val="gap"/>
    <c:showDLblsOverMax val="0"/>
    <c:extLst/>
  </c:chart>
  <c:spPr>
    <a:ln>
      <a:noFill/>
    </a:ln>
  </c:spPr>
  <c:txPr>
    <a:bodyPr/>
    <a:lstStyle/>
    <a:p>
      <a:pPr>
        <a:defRPr/>
      </a:pPr>
      <a:endParaRPr lang="is-I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_xlchart.v1.0</cx:f>
      </cx:strDim>
      <cx:numDim type="val">
        <cx:f>_xlchart.v1.1</cx:f>
      </cx:numDim>
    </cx:data>
  </cx:chartData>
  <cx:chart>
    <cx:plotArea>
      <cx:plotAreaRegion>
        <cx:series layoutId="waterfall" uniqueId="{537A57F2-055B-4DFA-A023-676D9FD1AD4A}">
          <cx:dataLabels pos="outEnd">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visibility seriesName="0" categoryName="0" value="1"/>
          </cx:dataLabels>
          <cx:dataId val="0"/>
          <cx:layoutPr>
            <cx:visibility connectorLines="0"/>
            <cx:subtotals>
              <cx:idx val="14"/>
              <cx:idx val="15"/>
              <cx:idx val="16"/>
            </cx:subtotals>
          </cx:layoutPr>
        </cx:series>
      </cx:plotAreaRegion>
      <cx:axis id="0">
        <cx:catScaling gapWidth="0.5"/>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title>
          <cx:tx>
            <cx:rich>
              <a:bodyPr spcFirstLastPara="1" vertOverflow="ellipsis" horzOverflow="overflow" wrap="square" lIns="0" tIns="0" rIns="0" bIns="0" anchor="ctr" anchorCtr="1"/>
              <a:lstStyle/>
              <a:p>
                <a:pPr rtl="0"/>
                <a:r>
                  <a:rPr lang="en-US" sz="900" b="0" i="0" baseline="0">
                    <a:effectLst/>
                    <a:latin typeface="+mj-lt"/>
                  </a:rPr>
                  <a:t>Emissions (t CO</a:t>
                </a:r>
                <a:r>
                  <a:rPr lang="en-US" sz="900" b="0" i="0" baseline="-25000">
                    <a:effectLst/>
                    <a:latin typeface="+mj-lt"/>
                  </a:rPr>
                  <a:t>2</a:t>
                </a:r>
                <a:r>
                  <a:rPr lang="en-US" sz="900" b="0" i="0" baseline="0">
                    <a:effectLst/>
                    <a:latin typeface="+mj-lt"/>
                  </a:rPr>
                  <a:t> eq)</a:t>
                </a:r>
                <a:endParaRPr lang="is-IS" sz="900">
                  <a:effectLst/>
                  <a:latin typeface="+mj-lt"/>
                </a:endParaRPr>
              </a:p>
            </cx:rich>
          </cx:tx>
        </cx:title>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plotArea>
  </cx:chart>
  <cx:spPr>
    <a:ln>
      <a:noFill/>
    </a:ln>
  </cx:spPr>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_xlchart.v1.2</cx:f>
      </cx:strDim>
      <cx:numDim type="val">
        <cx:f>_xlchart.v1.3</cx:f>
      </cx:numDim>
    </cx:data>
  </cx:chartData>
  <cx:chart>
    <cx:plotArea>
      <cx:plotAreaRegion>
        <cx:series layoutId="waterfall" uniqueId="{FCE4B8D1-B7C9-451A-AC32-7F6795A66DEF}">
          <cx:dataLabels pos="outEnd">
            <cx:numFmt formatCode="#" sourceLinked="0"/>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visibility seriesName="0" categoryName="0" value="1"/>
            <cx:separator>, </cx:separator>
          </cx:dataLabels>
          <cx:dataId val="0"/>
          <cx:layoutPr>
            <cx:visibility connectorLines="0"/>
            <cx:subtotals>
              <cx:idx val="14"/>
              <cx:idx val="15"/>
              <cx:idx val="16"/>
            </cx:subtotals>
          </cx:layoutPr>
        </cx:series>
      </cx:plotAreaRegion>
      <cx:axis id="0">
        <cx:catScaling gapWidth="0.550000012"/>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title>
          <cx:tx>
            <cx:rich>
              <a:bodyPr spcFirstLastPara="1" vertOverflow="ellipsis" horzOverflow="overflow" wrap="square" lIns="0" tIns="0" rIns="0" bIns="0" anchor="ctr" anchorCtr="1"/>
              <a:lstStyle/>
              <a:p>
                <a:pPr algn="ctr" rtl="0">
                  <a:defRPr/>
                </a:pPr>
                <a:r>
                  <a:rPr lang="en-US" sz="900" b="0" i="0" u="none" strike="noStrike" baseline="0">
                    <a:solidFill>
                      <a:srgbClr val="000000">
                        <a:lumMod val="65000"/>
                        <a:lumOff val="35000"/>
                      </a:srgbClr>
                    </a:solidFill>
                    <a:latin typeface="Arial"/>
                    <a:cs typeface="Arial"/>
                  </a:rPr>
                  <a:t>Losun [t CO</a:t>
                </a:r>
                <a:r>
                  <a:rPr lang="en-US" sz="900" b="0" i="0" u="none" strike="noStrike" baseline="-25000">
                    <a:solidFill>
                      <a:srgbClr val="000000">
                        <a:lumMod val="65000"/>
                        <a:lumOff val="35000"/>
                      </a:srgbClr>
                    </a:solidFill>
                    <a:latin typeface="Arial"/>
                    <a:cs typeface="Arial"/>
                  </a:rPr>
                  <a:t>2</a:t>
                </a:r>
                <a:r>
                  <a:rPr lang="en-US" sz="900" b="0" i="0" u="none" strike="noStrike" baseline="0">
                    <a:solidFill>
                      <a:srgbClr val="000000">
                        <a:lumMod val="65000"/>
                        <a:lumOff val="35000"/>
                      </a:srgbClr>
                    </a:solidFill>
                    <a:latin typeface="Arial"/>
                    <a:cs typeface="Arial"/>
                  </a:rPr>
                  <a:t> ígildi]</a:t>
                </a:r>
              </a:p>
            </cx:rich>
          </cx:tx>
        </cx:title>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plotArea>
  </cx:chart>
  <cx:spPr>
    <a:ln>
      <a:noFill/>
    </a:ln>
  </cx:spPr>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95">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95">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microsoft.com/office/2014/relationships/chartEx" Target="../charts/chartEx1.xml"/><Relationship Id="rId3" Type="http://schemas.openxmlformats.org/officeDocument/2006/relationships/chart" Target="../charts/chart3.xml"/><Relationship Id="rId7" Type="http://schemas.openxmlformats.org/officeDocument/2006/relationships/image" Target="../media/image4.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3.png"/><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7.xml"/><Relationship Id="rId7" Type="http://schemas.openxmlformats.org/officeDocument/2006/relationships/image" Target="../media/image3.png"/><Relationship Id="rId2" Type="http://schemas.microsoft.com/office/2014/relationships/chartEx" Target="../charts/chartEx2.xml"/><Relationship Id="rId1" Type="http://schemas.openxmlformats.org/officeDocument/2006/relationships/chart" Target="../charts/chart6.xml"/><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_rels/drawing4.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3.xml"/><Relationship Id="rId7" Type="http://schemas.openxmlformats.org/officeDocument/2006/relationships/chart" Target="../charts/chart15.xml"/><Relationship Id="rId2" Type="http://schemas.openxmlformats.org/officeDocument/2006/relationships/chart" Target="../charts/chart12.xml"/><Relationship Id="rId1" Type="http://schemas.openxmlformats.org/officeDocument/2006/relationships/chart" Target="../charts/chart11.xml"/><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chart" Target="../charts/chart14.xml"/><Relationship Id="rId9" Type="http://schemas.openxmlformats.org/officeDocument/2006/relationships/chart" Target="../charts/chart17.xml"/></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12.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9.png"/></Relationships>
</file>

<file path=xl/drawings/_rels/drawing7.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1.xml"/><Relationship Id="rId7" Type="http://schemas.openxmlformats.org/officeDocument/2006/relationships/chart" Target="../charts/chart24.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image" Target="../media/image13.png"/><Relationship Id="rId5" Type="http://schemas.openxmlformats.org/officeDocument/2006/relationships/chart" Target="../charts/chart23.xml"/><Relationship Id="rId4" Type="http://schemas.openxmlformats.org/officeDocument/2006/relationships/chart" Target="../charts/chart22.xml"/></Relationships>
</file>

<file path=xl/drawings/_rels/drawing9.xml.rels><?xml version="1.0" encoding="UTF-8" standalone="yes"?>
<Relationships xmlns="http://schemas.openxmlformats.org/package/2006/relationships"><Relationship Id="rId8" Type="http://schemas.openxmlformats.org/officeDocument/2006/relationships/chart" Target="../charts/chart32.xml"/><Relationship Id="rId3" Type="http://schemas.openxmlformats.org/officeDocument/2006/relationships/chart" Target="../charts/chart27.xml"/><Relationship Id="rId7" Type="http://schemas.openxmlformats.org/officeDocument/2006/relationships/chart" Target="../charts/chart31.xml"/><Relationship Id="rId2" Type="http://schemas.openxmlformats.org/officeDocument/2006/relationships/chart" Target="../charts/chart26.xml"/><Relationship Id="rId1" Type="http://schemas.openxmlformats.org/officeDocument/2006/relationships/chart" Target="../charts/chart25.xml"/><Relationship Id="rId6" Type="http://schemas.openxmlformats.org/officeDocument/2006/relationships/chart" Target="../charts/chart30.xml"/><Relationship Id="rId5" Type="http://schemas.openxmlformats.org/officeDocument/2006/relationships/chart" Target="../charts/chart29.xml"/><Relationship Id="rId4" Type="http://schemas.openxmlformats.org/officeDocument/2006/relationships/chart" Target="../charts/chart28.xml"/></Relationships>
</file>

<file path=xl/drawings/_rels/drawing10.xml.rels><?xml version="1.0" encoding="UTF-8" standalone="yes"?>
<Relationships xmlns="http://schemas.openxmlformats.org/package/2006/relationships"><Relationship Id="rId8" Type="http://schemas.openxmlformats.org/officeDocument/2006/relationships/chart" Target="../charts/chart40.xml"/><Relationship Id="rId3" Type="http://schemas.openxmlformats.org/officeDocument/2006/relationships/chart" Target="../charts/chart35.xml"/><Relationship Id="rId7" Type="http://schemas.openxmlformats.org/officeDocument/2006/relationships/chart" Target="../charts/chart39.xml"/><Relationship Id="rId12" Type="http://schemas.openxmlformats.org/officeDocument/2006/relationships/chart" Target="../charts/chart44.xml"/><Relationship Id="rId2" Type="http://schemas.openxmlformats.org/officeDocument/2006/relationships/chart" Target="../charts/chart34.xml"/><Relationship Id="rId1" Type="http://schemas.openxmlformats.org/officeDocument/2006/relationships/chart" Target="../charts/chart33.xml"/><Relationship Id="rId6" Type="http://schemas.openxmlformats.org/officeDocument/2006/relationships/chart" Target="../charts/chart38.xml"/><Relationship Id="rId11" Type="http://schemas.openxmlformats.org/officeDocument/2006/relationships/chart" Target="../charts/chart43.xml"/><Relationship Id="rId5" Type="http://schemas.openxmlformats.org/officeDocument/2006/relationships/chart" Target="../charts/chart37.xml"/><Relationship Id="rId10" Type="http://schemas.openxmlformats.org/officeDocument/2006/relationships/chart" Target="../charts/chart42.xml"/><Relationship Id="rId4" Type="http://schemas.openxmlformats.org/officeDocument/2006/relationships/chart" Target="../charts/chart36.xml"/><Relationship Id="rId9" Type="http://schemas.openxmlformats.org/officeDocument/2006/relationships/chart" Target="../charts/chart41.xml"/></Relationships>
</file>

<file path=xl/drawings/_rels/drawing11.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s>
</file>

<file path=xl/drawings/_rels/drawing12.xml.rels><?xml version="1.0" encoding="UTF-8" standalone="yes"?>
<Relationships xmlns="http://schemas.openxmlformats.org/package/2006/relationships"><Relationship Id="rId8" Type="http://schemas.openxmlformats.org/officeDocument/2006/relationships/chart" Target="../charts/chart50.xml"/><Relationship Id="rId3" Type="http://schemas.openxmlformats.org/officeDocument/2006/relationships/chart" Target="../charts/chart47.xml"/><Relationship Id="rId7" Type="http://schemas.openxmlformats.org/officeDocument/2006/relationships/chart" Target="../charts/chart49.xml"/><Relationship Id="rId2" Type="http://schemas.openxmlformats.org/officeDocument/2006/relationships/chart" Target="../charts/chart46.xml"/><Relationship Id="rId1" Type="http://schemas.openxmlformats.org/officeDocument/2006/relationships/chart" Target="../charts/chart45.xml"/><Relationship Id="rId6" Type="http://schemas.openxmlformats.org/officeDocument/2006/relationships/image" Target="../media/image18.png"/><Relationship Id="rId5" Type="http://schemas.openxmlformats.org/officeDocument/2006/relationships/chart" Target="../charts/chart48.xml"/><Relationship Id="rId4" Type="http://schemas.openxmlformats.org/officeDocument/2006/relationships/image" Target="../media/image17.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19.png"/><Relationship Id="rId4" Type="http://schemas.openxmlformats.org/officeDocument/2006/relationships/image" Target="../media/image2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23.png"/><Relationship Id="rId5" Type="http://schemas.openxmlformats.org/officeDocument/2006/relationships/image" Target="../media/image27.png"/><Relationship Id="rId4"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editAs="oneCell">
    <xdr:from>
      <xdr:col>17</xdr:col>
      <xdr:colOff>0</xdr:colOff>
      <xdr:row>7</xdr:row>
      <xdr:rowOff>122465</xdr:rowOff>
    </xdr:from>
    <xdr:to>
      <xdr:col>33</xdr:col>
      <xdr:colOff>163447</xdr:colOff>
      <xdr:row>61</xdr:row>
      <xdr:rowOff>46464</xdr:rowOff>
    </xdr:to>
    <xdr:pic>
      <xdr:nvPicPr>
        <xdr:cNvPr id="3" name="Picture 2">
          <a:extLst>
            <a:ext uri="{FF2B5EF4-FFF2-40B4-BE49-F238E27FC236}">
              <a16:creationId xmlns:a16="http://schemas.microsoft.com/office/drawing/2014/main" id="{2B06217C-5C00-45FB-B6F7-AAB3ED4B1786}"/>
            </a:ext>
          </a:extLst>
        </xdr:cNvPr>
        <xdr:cNvPicPr>
          <a:picLocks noChangeAspect="1"/>
        </xdr:cNvPicPr>
      </xdr:nvPicPr>
      <xdr:blipFill>
        <a:blip xmlns:r="http://schemas.openxmlformats.org/officeDocument/2006/relationships" r:embed="rId1"/>
        <a:stretch>
          <a:fillRect/>
        </a:stretch>
      </xdr:blipFill>
      <xdr:spPr>
        <a:xfrm>
          <a:off x="11522927" y="1655758"/>
          <a:ext cx="9827838" cy="9797474"/>
        </a:xfrm>
        <a:prstGeom prst="rect">
          <a:avLst/>
        </a:prstGeom>
      </xdr:spPr>
    </xdr:pic>
    <xdr:clientData/>
  </xdr:twoCellAnchor>
  <xdr:twoCellAnchor editAs="oneCell">
    <xdr:from>
      <xdr:col>33</xdr:col>
      <xdr:colOff>446745</xdr:colOff>
      <xdr:row>8</xdr:row>
      <xdr:rowOff>23232</xdr:rowOff>
    </xdr:from>
    <xdr:to>
      <xdr:col>49</xdr:col>
      <xdr:colOff>209683</xdr:colOff>
      <xdr:row>60</xdr:row>
      <xdr:rowOff>46463</xdr:rowOff>
    </xdr:to>
    <xdr:pic>
      <xdr:nvPicPr>
        <xdr:cNvPr id="4" name="Picture 3">
          <a:extLst>
            <a:ext uri="{FF2B5EF4-FFF2-40B4-BE49-F238E27FC236}">
              <a16:creationId xmlns:a16="http://schemas.microsoft.com/office/drawing/2014/main" id="{37297903-1735-4787-8C5E-11D35EDFEA0B}"/>
            </a:ext>
          </a:extLst>
        </xdr:cNvPr>
        <xdr:cNvPicPr>
          <a:picLocks noChangeAspect="1"/>
        </xdr:cNvPicPr>
      </xdr:nvPicPr>
      <xdr:blipFill>
        <a:blip xmlns:r="http://schemas.openxmlformats.org/officeDocument/2006/relationships" r:embed="rId2"/>
        <a:stretch>
          <a:fillRect/>
        </a:stretch>
      </xdr:blipFill>
      <xdr:spPr>
        <a:xfrm>
          <a:off x="22525695" y="1756782"/>
          <a:ext cx="9516538" cy="97101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535459</xdr:colOff>
      <xdr:row>82</xdr:row>
      <xdr:rowOff>122238</xdr:rowOff>
    </xdr:from>
    <xdr:to>
      <xdr:col>10</xdr:col>
      <xdr:colOff>393517</xdr:colOff>
      <xdr:row>99</xdr:row>
      <xdr:rowOff>8218</xdr:rowOff>
    </xdr:to>
    <xdr:graphicFrame macro="">
      <xdr:nvGraphicFramePr>
        <xdr:cNvPr id="2" name="Chart 1">
          <a:extLst>
            <a:ext uri="{FF2B5EF4-FFF2-40B4-BE49-F238E27FC236}">
              <a16:creationId xmlns:a16="http://schemas.microsoft.com/office/drawing/2014/main" id="{461AF498-9053-4B0F-8CAC-2537C365AC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560</xdr:colOff>
      <xdr:row>65</xdr:row>
      <xdr:rowOff>55469</xdr:rowOff>
    </xdr:from>
    <xdr:to>
      <xdr:col>5</xdr:col>
      <xdr:colOff>4482</xdr:colOff>
      <xdr:row>86</xdr:row>
      <xdr:rowOff>17369</xdr:rowOff>
    </xdr:to>
    <xdr:graphicFrame macro="">
      <xdr:nvGraphicFramePr>
        <xdr:cNvPr id="4" name="Chart 3">
          <a:extLst>
            <a:ext uri="{FF2B5EF4-FFF2-40B4-BE49-F238E27FC236}">
              <a16:creationId xmlns:a16="http://schemas.microsoft.com/office/drawing/2014/main" id="{1A2D89A0-F26C-4668-800A-1EF33C7F4F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553478</xdr:colOff>
      <xdr:row>63</xdr:row>
      <xdr:rowOff>124806</xdr:rowOff>
    </xdr:from>
    <xdr:to>
      <xdr:col>20</xdr:col>
      <xdr:colOff>327</xdr:colOff>
      <xdr:row>76</xdr:row>
      <xdr:rowOff>58550</xdr:rowOff>
    </xdr:to>
    <xdr:graphicFrame macro="">
      <xdr:nvGraphicFramePr>
        <xdr:cNvPr id="5" name="Chart 4">
          <a:extLst>
            <a:ext uri="{FF2B5EF4-FFF2-40B4-BE49-F238E27FC236}">
              <a16:creationId xmlns:a16="http://schemas.microsoft.com/office/drawing/2014/main" id="{4E9024E1-21C6-463E-9E56-F91EF3563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38100</xdr:colOff>
      <xdr:row>90</xdr:row>
      <xdr:rowOff>25400</xdr:rowOff>
    </xdr:from>
    <xdr:to>
      <xdr:col>4</xdr:col>
      <xdr:colOff>1003300</xdr:colOff>
      <xdr:row>110</xdr:row>
      <xdr:rowOff>50800</xdr:rowOff>
    </xdr:to>
    <xdr:graphicFrame macro="">
      <xdr:nvGraphicFramePr>
        <xdr:cNvPr id="6" name="Chart 5">
          <a:extLst>
            <a:ext uri="{FF2B5EF4-FFF2-40B4-BE49-F238E27FC236}">
              <a16:creationId xmlns:a16="http://schemas.microsoft.com/office/drawing/2014/main" id="{9FE62BB2-60B8-4B6A-A01C-82A9216CAD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436657</xdr:colOff>
      <xdr:row>62</xdr:row>
      <xdr:rowOff>9525</xdr:rowOff>
    </xdr:from>
    <xdr:to>
      <xdr:col>10</xdr:col>
      <xdr:colOff>266141</xdr:colOff>
      <xdr:row>78</xdr:row>
      <xdr:rowOff>47625</xdr:rowOff>
    </xdr:to>
    <xdr:graphicFrame macro="">
      <xdr:nvGraphicFramePr>
        <xdr:cNvPr id="7" name="Chart 6">
          <a:extLst>
            <a:ext uri="{FF2B5EF4-FFF2-40B4-BE49-F238E27FC236}">
              <a16:creationId xmlns:a16="http://schemas.microsoft.com/office/drawing/2014/main" id="{0761D7E4-85B6-446E-9003-3C0D49D005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590743</xdr:colOff>
      <xdr:row>2</xdr:row>
      <xdr:rowOff>122431</xdr:rowOff>
    </xdr:from>
    <xdr:to>
      <xdr:col>1</xdr:col>
      <xdr:colOff>1457155</xdr:colOff>
      <xdr:row>5</xdr:row>
      <xdr:rowOff>8120</xdr:rowOff>
    </xdr:to>
    <xdr:pic>
      <xdr:nvPicPr>
        <xdr:cNvPr id="8" name="Picture 7">
          <a:extLst>
            <a:ext uri="{FF2B5EF4-FFF2-40B4-BE49-F238E27FC236}">
              <a16:creationId xmlns:a16="http://schemas.microsoft.com/office/drawing/2014/main" id="{42F22CDD-E5E0-4A91-BE39-9E7AFF72881C}"/>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0843" y="452631"/>
          <a:ext cx="1456962" cy="455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1825626</xdr:colOff>
      <xdr:row>0</xdr:row>
      <xdr:rowOff>88515</xdr:rowOff>
    </xdr:from>
    <xdr:to>
      <xdr:col>2</xdr:col>
      <xdr:colOff>410414</xdr:colOff>
      <xdr:row>7</xdr:row>
      <xdr:rowOff>9526</xdr:rowOff>
    </xdr:to>
    <xdr:pic>
      <xdr:nvPicPr>
        <xdr:cNvPr id="9" name="Picture 8">
          <a:extLst>
            <a:ext uri="{FF2B5EF4-FFF2-40B4-BE49-F238E27FC236}">
              <a16:creationId xmlns:a16="http://schemas.microsoft.com/office/drawing/2014/main" id="{F795465A-475A-4C50-8C94-5D14C93AC3D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946276" y="88515"/>
          <a:ext cx="839038" cy="11497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352424</xdr:colOff>
      <xdr:row>2</xdr:row>
      <xdr:rowOff>95248</xdr:rowOff>
    </xdr:from>
    <xdr:to>
      <xdr:col>19</xdr:col>
      <xdr:colOff>628650</xdr:colOff>
      <xdr:row>44</xdr:row>
      <xdr:rowOff>48417</xdr:rowOff>
    </xdr:to>
    <mc:AlternateContent xmlns:mc="http://schemas.openxmlformats.org/markup-compatibility/2006">
      <mc:Choice xmlns:cx1="http://schemas.microsoft.com/office/drawing/2015/9/8/chartex" Requires="cx1">
        <xdr:graphicFrame macro="">
          <xdr:nvGraphicFramePr>
            <xdr:cNvPr id="10" name="Chart 9">
              <a:extLst>
                <a:ext uri="{FF2B5EF4-FFF2-40B4-BE49-F238E27FC236}">
                  <a16:creationId xmlns:a16="http://schemas.microsoft.com/office/drawing/2014/main" id="{C260CDAF-851E-4C95-A8D6-8603489BC35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8"/>
            </a:graphicData>
          </a:graphic>
        </xdr:graphicFrame>
      </mc:Choice>
      <mc:Fallback>
        <xdr:sp macro="" textlink="">
          <xdr:nvSpPr>
            <xdr:cNvPr id="0" name=""/>
            <xdr:cNvSpPr>
              <a:spLocks noTextEdit="1"/>
            </xdr:cNvSpPr>
          </xdr:nvSpPr>
          <xdr:spPr>
            <a:xfrm>
              <a:off x="6341744" y="430528"/>
              <a:ext cx="10235566" cy="7298849"/>
            </a:xfrm>
            <a:prstGeom prst="rect">
              <a:avLst/>
            </a:prstGeom>
            <a:solidFill>
              <a:prstClr val="white"/>
            </a:solidFill>
            <a:ln w="1">
              <a:solidFill>
                <a:prstClr val="green"/>
              </a:solidFill>
            </a:ln>
          </xdr:spPr>
          <xdr:txBody>
            <a:bodyPr vertOverflow="clip" horzOverflow="clip"/>
            <a:lstStyle/>
            <a:p>
              <a:r>
                <a:rPr lang="is-IS" sz="1100"/>
                <a:t>This chart isn't available in your version of Excel.
Editing this shape or saving this workbook into a different file format will permanently break the chart.</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6</xdr:col>
      <xdr:colOff>535459</xdr:colOff>
      <xdr:row>82</xdr:row>
      <xdr:rowOff>122238</xdr:rowOff>
    </xdr:from>
    <xdr:to>
      <xdr:col>10</xdr:col>
      <xdr:colOff>393517</xdr:colOff>
      <xdr:row>99</xdr:row>
      <xdr:rowOff>8218</xdr:rowOff>
    </xdr:to>
    <xdr:graphicFrame macro="">
      <xdr:nvGraphicFramePr>
        <xdr:cNvPr id="8" name="Chart 7">
          <a:extLst>
            <a:ext uri="{FF2B5EF4-FFF2-40B4-BE49-F238E27FC236}">
              <a16:creationId xmlns:a16="http://schemas.microsoft.com/office/drawing/2014/main" id="{82501AC6-619F-41A6-A3A6-3BB9EBFDE8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438896</xdr:colOff>
      <xdr:row>4</xdr:row>
      <xdr:rowOff>123007</xdr:rowOff>
    </xdr:from>
    <xdr:to>
      <xdr:col>20</xdr:col>
      <xdr:colOff>170328</xdr:colOff>
      <xdr:row>49</xdr:row>
      <xdr:rowOff>20482</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083EF5AC-BCDA-4981-9461-3FD01F17D47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6428216" y="892627"/>
              <a:ext cx="10323232" cy="7631775"/>
            </a:xfrm>
            <a:prstGeom prst="rect">
              <a:avLst/>
            </a:prstGeom>
            <a:solidFill>
              <a:prstClr val="white"/>
            </a:solidFill>
            <a:ln w="1">
              <a:solidFill>
                <a:prstClr val="green"/>
              </a:solidFill>
            </a:ln>
          </xdr:spPr>
          <xdr:txBody>
            <a:bodyPr vertOverflow="clip" horzOverflow="clip"/>
            <a:lstStyle/>
            <a:p>
              <a:r>
                <a:rPr lang="is-IS"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0</xdr:col>
      <xdr:colOff>615950</xdr:colOff>
      <xdr:row>65</xdr:row>
      <xdr:rowOff>63500</xdr:rowOff>
    </xdr:from>
    <xdr:to>
      <xdr:col>4</xdr:col>
      <xdr:colOff>1035050</xdr:colOff>
      <xdr:row>86</xdr:row>
      <xdr:rowOff>31750</xdr:rowOff>
    </xdr:to>
    <xdr:graphicFrame macro="">
      <xdr:nvGraphicFramePr>
        <xdr:cNvPr id="4" name="Chart 3">
          <a:extLst>
            <a:ext uri="{FF2B5EF4-FFF2-40B4-BE49-F238E27FC236}">
              <a16:creationId xmlns:a16="http://schemas.microsoft.com/office/drawing/2014/main" id="{F12D4A4F-32FF-46C2-BFA9-ED3C995DE5F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186766</xdr:colOff>
      <xdr:row>63</xdr:row>
      <xdr:rowOff>31937</xdr:rowOff>
    </xdr:from>
    <xdr:to>
      <xdr:col>20</xdr:col>
      <xdr:colOff>236071</xdr:colOff>
      <xdr:row>75</xdr:row>
      <xdr:rowOff>139513</xdr:rowOff>
    </xdr:to>
    <xdr:graphicFrame macro="">
      <xdr:nvGraphicFramePr>
        <xdr:cNvPr id="5" name="Chart 4">
          <a:extLst>
            <a:ext uri="{FF2B5EF4-FFF2-40B4-BE49-F238E27FC236}">
              <a16:creationId xmlns:a16="http://schemas.microsoft.com/office/drawing/2014/main" id="{B8AAACB5-D1A9-46C6-8F74-5596E38451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38100</xdr:colOff>
      <xdr:row>90</xdr:row>
      <xdr:rowOff>25400</xdr:rowOff>
    </xdr:from>
    <xdr:to>
      <xdr:col>4</xdr:col>
      <xdr:colOff>1003300</xdr:colOff>
      <xdr:row>110</xdr:row>
      <xdr:rowOff>50800</xdr:rowOff>
    </xdr:to>
    <xdr:graphicFrame macro="">
      <xdr:nvGraphicFramePr>
        <xdr:cNvPr id="6" name="Chart 5">
          <a:extLst>
            <a:ext uri="{FF2B5EF4-FFF2-40B4-BE49-F238E27FC236}">
              <a16:creationId xmlns:a16="http://schemas.microsoft.com/office/drawing/2014/main" id="{A44C3791-3DF2-49EE-BC8E-B70DDEC5E0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436657</xdr:colOff>
      <xdr:row>62</xdr:row>
      <xdr:rowOff>9525</xdr:rowOff>
    </xdr:from>
    <xdr:to>
      <xdr:col>10</xdr:col>
      <xdr:colOff>266141</xdr:colOff>
      <xdr:row>78</xdr:row>
      <xdr:rowOff>47625</xdr:rowOff>
    </xdr:to>
    <xdr:graphicFrame macro="">
      <xdr:nvGraphicFramePr>
        <xdr:cNvPr id="7" name="Chart 6">
          <a:extLst>
            <a:ext uri="{FF2B5EF4-FFF2-40B4-BE49-F238E27FC236}">
              <a16:creationId xmlns:a16="http://schemas.microsoft.com/office/drawing/2014/main" id="{98D1CEBC-1624-4505-BBFB-895A13BA7F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590743</xdr:colOff>
      <xdr:row>2</xdr:row>
      <xdr:rowOff>122431</xdr:rowOff>
    </xdr:from>
    <xdr:to>
      <xdr:col>1</xdr:col>
      <xdr:colOff>1457155</xdr:colOff>
      <xdr:row>4</xdr:row>
      <xdr:rowOff>152303</xdr:rowOff>
    </xdr:to>
    <xdr:pic>
      <xdr:nvPicPr>
        <xdr:cNvPr id="9" name="Picture 8">
          <a:extLst>
            <a:ext uri="{FF2B5EF4-FFF2-40B4-BE49-F238E27FC236}">
              <a16:creationId xmlns:a16="http://schemas.microsoft.com/office/drawing/2014/main" id="{FAE9AD22-E384-46EA-A7E3-FA46DCCC0D18}"/>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90743" y="449552"/>
          <a:ext cx="1454303" cy="450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1825626</xdr:colOff>
      <xdr:row>0</xdr:row>
      <xdr:rowOff>88515</xdr:rowOff>
    </xdr:from>
    <xdr:to>
      <xdr:col>2</xdr:col>
      <xdr:colOff>410414</xdr:colOff>
      <xdr:row>7</xdr:row>
      <xdr:rowOff>1</xdr:rowOff>
    </xdr:to>
    <xdr:pic>
      <xdr:nvPicPr>
        <xdr:cNvPr id="10" name="Picture 9">
          <a:extLst>
            <a:ext uri="{FF2B5EF4-FFF2-40B4-BE49-F238E27FC236}">
              <a16:creationId xmlns:a16="http://schemas.microsoft.com/office/drawing/2014/main" id="{F9C7DC62-0061-4FC7-B1CE-8A06A892D5E5}"/>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465437" y="88515"/>
          <a:ext cx="841414" cy="114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535459</xdr:colOff>
      <xdr:row>82</xdr:row>
      <xdr:rowOff>122238</xdr:rowOff>
    </xdr:from>
    <xdr:to>
      <xdr:col>10</xdr:col>
      <xdr:colOff>393517</xdr:colOff>
      <xdr:row>99</xdr:row>
      <xdr:rowOff>8218</xdr:rowOff>
    </xdr:to>
    <xdr:graphicFrame macro="">
      <xdr:nvGraphicFramePr>
        <xdr:cNvPr id="2" name="Chart 1">
          <a:extLst>
            <a:ext uri="{FF2B5EF4-FFF2-40B4-BE49-F238E27FC236}">
              <a16:creationId xmlns:a16="http://schemas.microsoft.com/office/drawing/2014/main" id="{8BAB3CE6-8E02-46B6-A641-2CF668A71F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615950</xdr:colOff>
      <xdr:row>65</xdr:row>
      <xdr:rowOff>63500</xdr:rowOff>
    </xdr:from>
    <xdr:to>
      <xdr:col>4</xdr:col>
      <xdr:colOff>1035050</xdr:colOff>
      <xdr:row>86</xdr:row>
      <xdr:rowOff>31750</xdr:rowOff>
    </xdr:to>
    <xdr:graphicFrame macro="">
      <xdr:nvGraphicFramePr>
        <xdr:cNvPr id="4" name="Chart 3">
          <a:extLst>
            <a:ext uri="{FF2B5EF4-FFF2-40B4-BE49-F238E27FC236}">
              <a16:creationId xmlns:a16="http://schemas.microsoft.com/office/drawing/2014/main" id="{A3A635E7-BDBD-4016-98AB-4A287C0660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38100</xdr:colOff>
      <xdr:row>90</xdr:row>
      <xdr:rowOff>25400</xdr:rowOff>
    </xdr:from>
    <xdr:to>
      <xdr:col>4</xdr:col>
      <xdr:colOff>1003300</xdr:colOff>
      <xdr:row>110</xdr:row>
      <xdr:rowOff>50800</xdr:rowOff>
    </xdr:to>
    <xdr:graphicFrame macro="">
      <xdr:nvGraphicFramePr>
        <xdr:cNvPr id="6" name="Chart 5">
          <a:extLst>
            <a:ext uri="{FF2B5EF4-FFF2-40B4-BE49-F238E27FC236}">
              <a16:creationId xmlns:a16="http://schemas.microsoft.com/office/drawing/2014/main" id="{99348CB7-A229-4ACA-B9EE-27FD51ED8C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436657</xdr:colOff>
      <xdr:row>62</xdr:row>
      <xdr:rowOff>9525</xdr:rowOff>
    </xdr:from>
    <xdr:to>
      <xdr:col>10</xdr:col>
      <xdr:colOff>266141</xdr:colOff>
      <xdr:row>78</xdr:row>
      <xdr:rowOff>47625</xdr:rowOff>
    </xdr:to>
    <xdr:graphicFrame macro="">
      <xdr:nvGraphicFramePr>
        <xdr:cNvPr id="7" name="Chart 6">
          <a:extLst>
            <a:ext uri="{FF2B5EF4-FFF2-40B4-BE49-F238E27FC236}">
              <a16:creationId xmlns:a16="http://schemas.microsoft.com/office/drawing/2014/main" id="{6D19BF45-5AE5-4D65-A8A5-9341E8673C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590743</xdr:colOff>
      <xdr:row>2</xdr:row>
      <xdr:rowOff>122431</xdr:rowOff>
    </xdr:from>
    <xdr:to>
      <xdr:col>1</xdr:col>
      <xdr:colOff>1457155</xdr:colOff>
      <xdr:row>4</xdr:row>
      <xdr:rowOff>152303</xdr:rowOff>
    </xdr:to>
    <xdr:pic>
      <xdr:nvPicPr>
        <xdr:cNvPr id="8" name="Picture 7">
          <a:extLst>
            <a:ext uri="{FF2B5EF4-FFF2-40B4-BE49-F238E27FC236}">
              <a16:creationId xmlns:a16="http://schemas.microsoft.com/office/drawing/2014/main" id="{7E5D4136-1F41-44FA-8AA5-62710632364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4493" y="446281"/>
          <a:ext cx="1456962" cy="448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1825626</xdr:colOff>
      <xdr:row>0</xdr:row>
      <xdr:rowOff>88515</xdr:rowOff>
    </xdr:from>
    <xdr:to>
      <xdr:col>2</xdr:col>
      <xdr:colOff>410414</xdr:colOff>
      <xdr:row>7</xdr:row>
      <xdr:rowOff>1</xdr:rowOff>
    </xdr:to>
    <xdr:pic>
      <xdr:nvPicPr>
        <xdr:cNvPr id="9" name="Picture 8">
          <a:extLst>
            <a:ext uri="{FF2B5EF4-FFF2-40B4-BE49-F238E27FC236}">
              <a16:creationId xmlns:a16="http://schemas.microsoft.com/office/drawing/2014/main" id="{A82A9535-46D3-4353-AC5B-134CB312EB9A}"/>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939926" y="88515"/>
          <a:ext cx="737438" cy="1130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476250</xdr:colOff>
      <xdr:row>12</xdr:row>
      <xdr:rowOff>38100</xdr:rowOff>
    </xdr:from>
    <xdr:to>
      <xdr:col>11</xdr:col>
      <xdr:colOff>108210</xdr:colOff>
      <xdr:row>27</xdr:row>
      <xdr:rowOff>124394</xdr:rowOff>
    </xdr:to>
    <xdr:graphicFrame macro="">
      <xdr:nvGraphicFramePr>
        <xdr:cNvPr id="13" name="Chart 12">
          <a:extLst>
            <a:ext uri="{FF2B5EF4-FFF2-40B4-BE49-F238E27FC236}">
              <a16:creationId xmlns:a16="http://schemas.microsoft.com/office/drawing/2014/main" id="{6390A73A-DDE7-4263-93F9-07A7CD7092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723899</xdr:colOff>
      <xdr:row>4</xdr:row>
      <xdr:rowOff>66675</xdr:rowOff>
    </xdr:from>
    <xdr:to>
      <xdr:col>12</xdr:col>
      <xdr:colOff>266699</xdr:colOff>
      <xdr:row>13</xdr:row>
      <xdr:rowOff>87937</xdr:rowOff>
    </xdr:to>
    <xdr:graphicFrame macro="">
      <xdr:nvGraphicFramePr>
        <xdr:cNvPr id="14" name="Chart 13">
          <a:extLst>
            <a:ext uri="{FF2B5EF4-FFF2-40B4-BE49-F238E27FC236}">
              <a16:creationId xmlns:a16="http://schemas.microsoft.com/office/drawing/2014/main" id="{5032E119-5AE6-4619-A34F-B368BD8FC1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13</xdr:col>
      <xdr:colOff>238125</xdr:colOff>
      <xdr:row>55</xdr:row>
      <xdr:rowOff>114300</xdr:rowOff>
    </xdr:from>
    <xdr:to>
      <xdr:col>28</xdr:col>
      <xdr:colOff>542925</xdr:colOff>
      <xdr:row>89</xdr:row>
      <xdr:rowOff>152827</xdr:rowOff>
    </xdr:to>
    <xdr:graphicFrame macro="">
      <xdr:nvGraphicFramePr>
        <xdr:cNvPr id="15" name="Chart 14">
          <a:extLst>
            <a:ext uri="{FF2B5EF4-FFF2-40B4-BE49-F238E27FC236}">
              <a16:creationId xmlns:a16="http://schemas.microsoft.com/office/drawing/2014/main" id="{4A0F2DA5-98C3-49DD-9734-41870A5E8B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1847850</xdr:colOff>
      <xdr:row>211</xdr:row>
      <xdr:rowOff>152400</xdr:rowOff>
    </xdr:from>
    <xdr:to>
      <xdr:col>7</xdr:col>
      <xdr:colOff>437490</xdr:colOff>
      <xdr:row>224</xdr:row>
      <xdr:rowOff>9574</xdr:rowOff>
    </xdr:to>
    <xdr:pic>
      <xdr:nvPicPr>
        <xdr:cNvPr id="3" name="Picture 2">
          <a:extLst>
            <a:ext uri="{FF2B5EF4-FFF2-40B4-BE49-F238E27FC236}">
              <a16:creationId xmlns:a16="http://schemas.microsoft.com/office/drawing/2014/main" id="{224E1FA9-5F4E-43B3-A3A5-06C39FC03BD3}"/>
            </a:ext>
          </a:extLst>
        </xdr:cNvPr>
        <xdr:cNvPicPr>
          <a:picLocks noChangeAspect="1"/>
        </xdr:cNvPicPr>
      </xdr:nvPicPr>
      <xdr:blipFill>
        <a:blip xmlns:r="http://schemas.openxmlformats.org/officeDocument/2006/relationships" r:embed="rId1"/>
        <a:stretch>
          <a:fillRect/>
        </a:stretch>
      </xdr:blipFill>
      <xdr:spPr>
        <a:xfrm>
          <a:off x="1847850" y="41167050"/>
          <a:ext cx="6086788" cy="341965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272142</xdr:colOff>
      <xdr:row>5</xdr:row>
      <xdr:rowOff>145597</xdr:rowOff>
    </xdr:from>
    <xdr:to>
      <xdr:col>17</xdr:col>
      <xdr:colOff>442176</xdr:colOff>
      <xdr:row>66</xdr:row>
      <xdr:rowOff>106267</xdr:rowOff>
    </xdr:to>
    <xdr:pic>
      <xdr:nvPicPr>
        <xdr:cNvPr id="2" name="Picture 1">
          <a:extLst>
            <a:ext uri="{FF2B5EF4-FFF2-40B4-BE49-F238E27FC236}">
              <a16:creationId xmlns:a16="http://schemas.microsoft.com/office/drawing/2014/main" id="{CB1BD3B2-EC04-4C41-C253-D110D017BD6B}"/>
            </a:ext>
          </a:extLst>
        </xdr:cNvPr>
        <xdr:cNvPicPr>
          <a:picLocks noChangeAspect="1"/>
        </xdr:cNvPicPr>
      </xdr:nvPicPr>
      <xdr:blipFill>
        <a:blip xmlns:r="http://schemas.openxmlformats.org/officeDocument/2006/relationships" r:embed="rId1"/>
        <a:stretch>
          <a:fillRect/>
        </a:stretch>
      </xdr:blipFill>
      <xdr:spPr>
        <a:xfrm>
          <a:off x="881742" y="955222"/>
          <a:ext cx="11323809" cy="9838095"/>
        </a:xfrm>
        <a:prstGeom prst="rect">
          <a:avLst/>
        </a:prstGeom>
      </xdr:spPr>
    </xdr:pic>
    <xdr:clientData/>
  </xdr:twoCellAnchor>
  <xdr:twoCellAnchor editAs="oneCell">
    <xdr:from>
      <xdr:col>19</xdr:col>
      <xdr:colOff>54429</xdr:colOff>
      <xdr:row>0</xdr:row>
      <xdr:rowOff>114301</xdr:rowOff>
    </xdr:from>
    <xdr:to>
      <xdr:col>30</xdr:col>
      <xdr:colOff>329781</xdr:colOff>
      <xdr:row>62</xdr:row>
      <xdr:rowOff>93999</xdr:rowOff>
    </xdr:to>
    <xdr:pic>
      <xdr:nvPicPr>
        <xdr:cNvPr id="3" name="Picture 2">
          <a:extLst>
            <a:ext uri="{FF2B5EF4-FFF2-40B4-BE49-F238E27FC236}">
              <a16:creationId xmlns:a16="http://schemas.microsoft.com/office/drawing/2014/main" id="{9990FD8B-8E7A-AAE4-38FC-40F13249B166}"/>
            </a:ext>
          </a:extLst>
        </xdr:cNvPr>
        <xdr:cNvPicPr>
          <a:picLocks noChangeAspect="1"/>
        </xdr:cNvPicPr>
      </xdr:nvPicPr>
      <xdr:blipFill>
        <a:blip xmlns:r="http://schemas.openxmlformats.org/officeDocument/2006/relationships" r:embed="rId2"/>
        <a:stretch>
          <a:fillRect/>
        </a:stretch>
      </xdr:blipFill>
      <xdr:spPr>
        <a:xfrm>
          <a:off x="11688536" y="114301"/>
          <a:ext cx="7010888" cy="10103412"/>
        </a:xfrm>
        <a:prstGeom prst="rect">
          <a:avLst/>
        </a:prstGeom>
      </xdr:spPr>
    </xdr:pic>
    <xdr:clientData/>
  </xdr:twoCellAnchor>
  <xdr:twoCellAnchor editAs="oneCell">
    <xdr:from>
      <xdr:col>31</xdr:col>
      <xdr:colOff>0</xdr:colOff>
      <xdr:row>3</xdr:row>
      <xdr:rowOff>0</xdr:rowOff>
    </xdr:from>
    <xdr:to>
      <xdr:col>49</xdr:col>
      <xdr:colOff>315650</xdr:colOff>
      <xdr:row>42</xdr:row>
      <xdr:rowOff>19212</xdr:rowOff>
    </xdr:to>
    <xdr:pic>
      <xdr:nvPicPr>
        <xdr:cNvPr id="4" name="Picture 3">
          <a:extLst>
            <a:ext uri="{FF2B5EF4-FFF2-40B4-BE49-F238E27FC236}">
              <a16:creationId xmlns:a16="http://schemas.microsoft.com/office/drawing/2014/main" id="{7DDA1BA7-99FF-4051-ADA8-DAC89722182B}"/>
            </a:ext>
          </a:extLst>
        </xdr:cNvPr>
        <xdr:cNvPicPr>
          <a:picLocks noChangeAspect="1"/>
        </xdr:cNvPicPr>
      </xdr:nvPicPr>
      <xdr:blipFill>
        <a:blip xmlns:r="http://schemas.openxmlformats.org/officeDocument/2006/relationships" r:embed="rId3"/>
        <a:stretch>
          <a:fillRect/>
        </a:stretch>
      </xdr:blipFill>
      <xdr:spPr>
        <a:xfrm>
          <a:off x="18897600" y="485775"/>
          <a:ext cx="11288450" cy="6334287"/>
        </a:xfrm>
        <a:prstGeom prst="rect">
          <a:avLst/>
        </a:prstGeom>
      </xdr:spPr>
    </xdr:pic>
    <xdr:clientData/>
  </xdr:twoCellAnchor>
  <xdr:twoCellAnchor editAs="oneCell">
    <xdr:from>
      <xdr:col>34</xdr:col>
      <xdr:colOff>0</xdr:colOff>
      <xdr:row>65</xdr:row>
      <xdr:rowOff>0</xdr:rowOff>
    </xdr:from>
    <xdr:to>
      <xdr:col>43</xdr:col>
      <xdr:colOff>599314</xdr:colOff>
      <xdr:row>85</xdr:row>
      <xdr:rowOff>104357</xdr:rowOff>
    </xdr:to>
    <xdr:pic>
      <xdr:nvPicPr>
        <xdr:cNvPr id="5" name="Picture 4">
          <a:extLst>
            <a:ext uri="{FF2B5EF4-FFF2-40B4-BE49-F238E27FC236}">
              <a16:creationId xmlns:a16="http://schemas.microsoft.com/office/drawing/2014/main" id="{3B756E41-E383-1444-7332-F10105B7EC30}"/>
            </a:ext>
          </a:extLst>
        </xdr:cNvPr>
        <xdr:cNvPicPr>
          <a:picLocks noChangeAspect="1"/>
        </xdr:cNvPicPr>
      </xdr:nvPicPr>
      <xdr:blipFill>
        <a:blip xmlns:r="http://schemas.openxmlformats.org/officeDocument/2006/relationships" r:embed="rId4"/>
        <a:stretch>
          <a:fillRect/>
        </a:stretch>
      </xdr:blipFill>
      <xdr:spPr>
        <a:xfrm>
          <a:off x="20726400" y="10525125"/>
          <a:ext cx="6085714" cy="3342857"/>
        </a:xfrm>
        <a:prstGeom prst="rect">
          <a:avLst/>
        </a:prstGeom>
      </xdr:spPr>
    </xdr:pic>
    <xdr:clientData/>
  </xdr:twoCellAnchor>
  <xdr:twoCellAnchor editAs="oneCell">
    <xdr:from>
      <xdr:col>1</xdr:col>
      <xdr:colOff>542925</xdr:colOff>
      <xdr:row>71</xdr:row>
      <xdr:rowOff>3475</xdr:rowOff>
    </xdr:from>
    <xdr:to>
      <xdr:col>18</xdr:col>
      <xdr:colOff>17010</xdr:colOff>
      <xdr:row>113</xdr:row>
      <xdr:rowOff>84809</xdr:rowOff>
    </xdr:to>
    <xdr:pic>
      <xdr:nvPicPr>
        <xdr:cNvPr id="6" name="Picture 5">
          <a:extLst>
            <a:ext uri="{FF2B5EF4-FFF2-40B4-BE49-F238E27FC236}">
              <a16:creationId xmlns:a16="http://schemas.microsoft.com/office/drawing/2014/main" id="{EB177147-51AC-F43A-7A1C-B890AC61C070}"/>
            </a:ext>
          </a:extLst>
        </xdr:cNvPr>
        <xdr:cNvPicPr>
          <a:picLocks noChangeAspect="1"/>
        </xdr:cNvPicPr>
      </xdr:nvPicPr>
      <xdr:blipFill>
        <a:blip xmlns:r="http://schemas.openxmlformats.org/officeDocument/2006/relationships" r:embed="rId5"/>
        <a:stretch>
          <a:fillRect/>
        </a:stretch>
      </xdr:blipFill>
      <xdr:spPr>
        <a:xfrm>
          <a:off x="1152525" y="11500150"/>
          <a:ext cx="11237460" cy="6882184"/>
        </a:xfrm>
        <a:prstGeom prst="rect">
          <a:avLst/>
        </a:prstGeom>
      </xdr:spPr>
    </xdr:pic>
    <xdr:clientData/>
  </xdr:twoCellAnchor>
  <xdr:twoCellAnchor editAs="oneCell">
    <xdr:from>
      <xdr:col>2</xdr:col>
      <xdr:colOff>99333</xdr:colOff>
      <xdr:row>115</xdr:row>
      <xdr:rowOff>70758</xdr:rowOff>
    </xdr:from>
    <xdr:to>
      <xdr:col>17</xdr:col>
      <xdr:colOff>196492</xdr:colOff>
      <xdr:row>140</xdr:row>
      <xdr:rowOff>47835</xdr:rowOff>
    </xdr:to>
    <xdr:pic>
      <xdr:nvPicPr>
        <xdr:cNvPr id="7" name="Picture 6">
          <a:extLst>
            <a:ext uri="{FF2B5EF4-FFF2-40B4-BE49-F238E27FC236}">
              <a16:creationId xmlns:a16="http://schemas.microsoft.com/office/drawing/2014/main" id="{D9009637-F377-6128-1F89-D5B135374028}"/>
            </a:ext>
          </a:extLst>
        </xdr:cNvPr>
        <xdr:cNvPicPr>
          <a:picLocks noChangeAspect="1"/>
        </xdr:cNvPicPr>
      </xdr:nvPicPr>
      <xdr:blipFill>
        <a:blip xmlns:r="http://schemas.openxmlformats.org/officeDocument/2006/relationships" r:embed="rId6"/>
        <a:stretch>
          <a:fillRect/>
        </a:stretch>
      </xdr:blipFill>
      <xdr:spPr>
        <a:xfrm>
          <a:off x="1318533" y="18692133"/>
          <a:ext cx="10641334" cy="4025202"/>
        </a:xfrm>
        <a:prstGeom prst="rect">
          <a:avLst/>
        </a:prstGeom>
      </xdr:spPr>
    </xdr:pic>
    <xdr:clientData/>
  </xdr:twoCellAnchor>
  <xdr:twoCellAnchor editAs="oneCell">
    <xdr:from>
      <xdr:col>2</xdr:col>
      <xdr:colOff>0</xdr:colOff>
      <xdr:row>145</xdr:row>
      <xdr:rowOff>0</xdr:rowOff>
    </xdr:from>
    <xdr:to>
      <xdr:col>17</xdr:col>
      <xdr:colOff>171450</xdr:colOff>
      <xdr:row>183</xdr:row>
      <xdr:rowOff>102165</xdr:rowOff>
    </xdr:to>
    <xdr:pic>
      <xdr:nvPicPr>
        <xdr:cNvPr id="8" name="Picture 7">
          <a:extLst>
            <a:ext uri="{FF2B5EF4-FFF2-40B4-BE49-F238E27FC236}">
              <a16:creationId xmlns:a16="http://schemas.microsoft.com/office/drawing/2014/main" id="{8695C787-3AE9-8CDC-6A06-3C06BAF2E054}"/>
            </a:ext>
          </a:extLst>
        </xdr:cNvPr>
        <xdr:cNvPicPr>
          <a:picLocks noChangeAspect="1"/>
        </xdr:cNvPicPr>
      </xdr:nvPicPr>
      <xdr:blipFill>
        <a:blip xmlns:r="http://schemas.openxmlformats.org/officeDocument/2006/relationships" r:embed="rId7"/>
        <a:stretch>
          <a:fillRect/>
        </a:stretch>
      </xdr:blipFill>
      <xdr:spPr>
        <a:xfrm>
          <a:off x="1219200" y="23479125"/>
          <a:ext cx="10715625" cy="625531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12</xdr:col>
      <xdr:colOff>476250</xdr:colOff>
      <xdr:row>27</xdr:row>
      <xdr:rowOff>47625</xdr:rowOff>
    </xdr:from>
    <xdr:to>
      <xdr:col>17</xdr:col>
      <xdr:colOff>714375</xdr:colOff>
      <xdr:row>42</xdr:row>
      <xdr:rowOff>76200</xdr:rowOff>
    </xdr:to>
    <xdr:graphicFrame macro="">
      <xdr:nvGraphicFramePr>
        <xdr:cNvPr id="2" name="Chart 1">
          <a:extLst>
            <a:ext uri="{FF2B5EF4-FFF2-40B4-BE49-F238E27FC236}">
              <a16:creationId xmlns:a16="http://schemas.microsoft.com/office/drawing/2014/main" id="{C35B34D2-91B0-B57A-7DEB-2675454606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20</xdr:col>
      <xdr:colOff>38099</xdr:colOff>
      <xdr:row>194</xdr:row>
      <xdr:rowOff>30162</xdr:rowOff>
    </xdr:from>
    <xdr:to>
      <xdr:col>92</xdr:col>
      <xdr:colOff>158750</xdr:colOff>
      <xdr:row>206</xdr:row>
      <xdr:rowOff>144462</xdr:rowOff>
    </xdr:to>
    <xdr:graphicFrame macro="">
      <xdr:nvGraphicFramePr>
        <xdr:cNvPr id="2" name="Chart 1">
          <a:extLst>
            <a:ext uri="{FF2B5EF4-FFF2-40B4-BE49-F238E27FC236}">
              <a16:creationId xmlns:a16="http://schemas.microsoft.com/office/drawing/2014/main" id="{15CC6E25-1E04-47BD-A455-8D9CABFC91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114301</xdr:colOff>
      <xdr:row>207</xdr:row>
      <xdr:rowOff>38100</xdr:rowOff>
    </xdr:from>
    <xdr:to>
      <xdr:col>92</xdr:col>
      <xdr:colOff>95251</xdr:colOff>
      <xdr:row>220</xdr:row>
      <xdr:rowOff>19050</xdr:rowOff>
    </xdr:to>
    <xdr:graphicFrame macro="">
      <xdr:nvGraphicFramePr>
        <xdr:cNvPr id="3" name="Chart 2">
          <a:extLst>
            <a:ext uri="{FF2B5EF4-FFF2-40B4-BE49-F238E27FC236}">
              <a16:creationId xmlns:a16="http://schemas.microsoft.com/office/drawing/2014/main" id="{609B97E5-D7BE-40FB-A25E-C27A86E269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76202</xdr:colOff>
      <xdr:row>179</xdr:row>
      <xdr:rowOff>85725</xdr:rowOff>
    </xdr:from>
    <xdr:to>
      <xdr:col>92</xdr:col>
      <xdr:colOff>123826</xdr:colOff>
      <xdr:row>193</xdr:row>
      <xdr:rowOff>133350</xdr:rowOff>
    </xdr:to>
    <xdr:graphicFrame macro="">
      <xdr:nvGraphicFramePr>
        <xdr:cNvPr id="4" name="Chart 3">
          <a:extLst>
            <a:ext uri="{FF2B5EF4-FFF2-40B4-BE49-F238E27FC236}">
              <a16:creationId xmlns:a16="http://schemas.microsoft.com/office/drawing/2014/main" id="{41C65FE9-694A-4385-B2BB-D10D0EF4A8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95253</xdr:colOff>
      <xdr:row>165</xdr:row>
      <xdr:rowOff>142875</xdr:rowOff>
    </xdr:from>
    <xdr:to>
      <xdr:col>92</xdr:col>
      <xdr:colOff>502228</xdr:colOff>
      <xdr:row>179</xdr:row>
      <xdr:rowOff>38100</xdr:rowOff>
    </xdr:to>
    <xdr:graphicFrame macro="">
      <xdr:nvGraphicFramePr>
        <xdr:cNvPr id="5" name="Chart 4">
          <a:extLst>
            <a:ext uri="{FF2B5EF4-FFF2-40B4-BE49-F238E27FC236}">
              <a16:creationId xmlns:a16="http://schemas.microsoft.com/office/drawing/2014/main" id="{D63E6323-709E-4CDC-9D24-BCD7DD46B3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20</xdr:col>
      <xdr:colOff>104775</xdr:colOff>
      <xdr:row>220</xdr:row>
      <xdr:rowOff>123825</xdr:rowOff>
    </xdr:from>
    <xdr:to>
      <xdr:col>92</xdr:col>
      <xdr:colOff>190500</xdr:colOff>
      <xdr:row>234</xdr:row>
      <xdr:rowOff>66675</xdr:rowOff>
    </xdr:to>
    <xdr:graphicFrame macro="">
      <xdr:nvGraphicFramePr>
        <xdr:cNvPr id="6" name="Chart 5">
          <a:extLst>
            <a:ext uri="{FF2B5EF4-FFF2-40B4-BE49-F238E27FC236}">
              <a16:creationId xmlns:a16="http://schemas.microsoft.com/office/drawing/2014/main" id="{179ECCE4-BAE3-4F29-A649-B272E164B0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116</xdr:col>
      <xdr:colOff>45357</xdr:colOff>
      <xdr:row>0</xdr:row>
      <xdr:rowOff>0</xdr:rowOff>
    </xdr:from>
    <xdr:to>
      <xdr:col>127</xdr:col>
      <xdr:colOff>598942</xdr:colOff>
      <xdr:row>6</xdr:row>
      <xdr:rowOff>344049</xdr:rowOff>
    </xdr:to>
    <xdr:pic>
      <xdr:nvPicPr>
        <xdr:cNvPr id="8" name="Picture 7">
          <a:extLst>
            <a:ext uri="{FF2B5EF4-FFF2-40B4-BE49-F238E27FC236}">
              <a16:creationId xmlns:a16="http://schemas.microsoft.com/office/drawing/2014/main" id="{475A93AD-1899-8DD2-EF6A-82190479D801}"/>
            </a:ext>
          </a:extLst>
        </xdr:cNvPr>
        <xdr:cNvPicPr>
          <a:picLocks noChangeAspect="1"/>
        </xdr:cNvPicPr>
      </xdr:nvPicPr>
      <xdr:blipFill>
        <a:blip xmlns:r="http://schemas.openxmlformats.org/officeDocument/2006/relationships" r:embed="rId6"/>
        <a:stretch>
          <a:fillRect/>
        </a:stretch>
      </xdr:blipFill>
      <xdr:spPr>
        <a:xfrm>
          <a:off x="37782500" y="0"/>
          <a:ext cx="7933190" cy="3007874"/>
        </a:xfrm>
        <a:prstGeom prst="rect">
          <a:avLst/>
        </a:prstGeom>
      </xdr:spPr>
    </xdr:pic>
    <xdr:clientData/>
  </xdr:twoCellAnchor>
  <xdr:twoCellAnchor>
    <xdr:from>
      <xdr:col>25</xdr:col>
      <xdr:colOff>174625</xdr:colOff>
      <xdr:row>115</xdr:row>
      <xdr:rowOff>287337</xdr:rowOff>
    </xdr:from>
    <xdr:to>
      <xdr:col>31</xdr:col>
      <xdr:colOff>396875</xdr:colOff>
      <xdr:row>128</xdr:row>
      <xdr:rowOff>14287</xdr:rowOff>
    </xdr:to>
    <xdr:graphicFrame macro="">
      <xdr:nvGraphicFramePr>
        <xdr:cNvPr id="7" name="Chart 6">
          <a:extLst>
            <a:ext uri="{FF2B5EF4-FFF2-40B4-BE49-F238E27FC236}">
              <a16:creationId xmlns:a16="http://schemas.microsoft.com/office/drawing/2014/main" id="{2951C89C-1774-0C9A-D510-D5F6FD8FC1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oneCellAnchor>
    <xdr:from>
      <xdr:col>66</xdr:col>
      <xdr:colOff>45357</xdr:colOff>
      <xdr:row>0</xdr:row>
      <xdr:rowOff>0</xdr:rowOff>
    </xdr:from>
    <xdr:ext cx="7359629" cy="2993731"/>
    <xdr:pic>
      <xdr:nvPicPr>
        <xdr:cNvPr id="9" name="Picture 8">
          <a:extLst>
            <a:ext uri="{FF2B5EF4-FFF2-40B4-BE49-F238E27FC236}">
              <a16:creationId xmlns:a16="http://schemas.microsoft.com/office/drawing/2014/main" id="{608A6164-3573-4E36-B5B7-721DC36B292B}"/>
            </a:ext>
          </a:extLst>
        </xdr:cNvPr>
        <xdr:cNvPicPr>
          <a:picLocks noChangeAspect="1"/>
        </xdr:cNvPicPr>
      </xdr:nvPicPr>
      <xdr:blipFill>
        <a:blip xmlns:r="http://schemas.openxmlformats.org/officeDocument/2006/relationships" r:embed="rId6"/>
        <a:stretch>
          <a:fillRect/>
        </a:stretch>
      </xdr:blipFill>
      <xdr:spPr>
        <a:xfrm>
          <a:off x="68659993" y="0"/>
          <a:ext cx="7359629" cy="2993731"/>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19</xdr:col>
      <xdr:colOff>212043</xdr:colOff>
      <xdr:row>26</xdr:row>
      <xdr:rowOff>35039</xdr:rowOff>
    </xdr:from>
    <xdr:to>
      <xdr:col>26</xdr:col>
      <xdr:colOff>300491</xdr:colOff>
      <xdr:row>40</xdr:row>
      <xdr:rowOff>82324</xdr:rowOff>
    </xdr:to>
    <xdr:graphicFrame macro="">
      <xdr:nvGraphicFramePr>
        <xdr:cNvPr id="2" name="Chart 1">
          <a:extLst>
            <a:ext uri="{FF2B5EF4-FFF2-40B4-BE49-F238E27FC236}">
              <a16:creationId xmlns:a16="http://schemas.microsoft.com/office/drawing/2014/main" id="{A45A495F-147B-4A3E-846F-2A401FB49C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191634</xdr:colOff>
      <xdr:row>40</xdr:row>
      <xdr:rowOff>148545</xdr:rowOff>
    </xdr:from>
    <xdr:to>
      <xdr:col>26</xdr:col>
      <xdr:colOff>327706</xdr:colOff>
      <xdr:row>54</xdr:row>
      <xdr:rowOff>99786</xdr:rowOff>
    </xdr:to>
    <xdr:graphicFrame macro="">
      <xdr:nvGraphicFramePr>
        <xdr:cNvPr id="3" name="Chart 2">
          <a:extLst>
            <a:ext uri="{FF2B5EF4-FFF2-40B4-BE49-F238E27FC236}">
              <a16:creationId xmlns:a16="http://schemas.microsoft.com/office/drawing/2014/main" id="{8C320277-1F0B-4801-AAEA-E7CABD7A8A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200703</xdr:colOff>
      <xdr:row>55</xdr:row>
      <xdr:rowOff>86633</xdr:rowOff>
    </xdr:from>
    <xdr:to>
      <xdr:col>27</xdr:col>
      <xdr:colOff>282348</xdr:colOff>
      <xdr:row>69</xdr:row>
      <xdr:rowOff>157163</xdr:rowOff>
    </xdr:to>
    <xdr:graphicFrame macro="">
      <xdr:nvGraphicFramePr>
        <xdr:cNvPr id="4" name="Chart 3">
          <a:extLst>
            <a:ext uri="{FF2B5EF4-FFF2-40B4-BE49-F238E27FC236}">
              <a16:creationId xmlns:a16="http://schemas.microsoft.com/office/drawing/2014/main" id="{581966EA-0C8D-4ECD-8147-6E920DF785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27</xdr:col>
      <xdr:colOff>402542</xdr:colOff>
      <xdr:row>55</xdr:row>
      <xdr:rowOff>104776</xdr:rowOff>
    </xdr:from>
    <xdr:to>
      <xdr:col>36</xdr:col>
      <xdr:colOff>3969</xdr:colOff>
      <xdr:row>69</xdr:row>
      <xdr:rowOff>145823</xdr:rowOff>
    </xdr:to>
    <xdr:graphicFrame macro="">
      <xdr:nvGraphicFramePr>
        <xdr:cNvPr id="5" name="Chart 4">
          <a:extLst>
            <a:ext uri="{FF2B5EF4-FFF2-40B4-BE49-F238E27FC236}">
              <a16:creationId xmlns:a16="http://schemas.microsoft.com/office/drawing/2014/main" id="{C9872BDE-C86D-47D4-B5E9-E3E0021BC1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27</xdr:col>
      <xdr:colOff>432482</xdr:colOff>
      <xdr:row>84</xdr:row>
      <xdr:rowOff>116795</xdr:rowOff>
    </xdr:from>
    <xdr:to>
      <xdr:col>36</xdr:col>
      <xdr:colOff>19845</xdr:colOff>
      <xdr:row>98</xdr:row>
      <xdr:rowOff>58284</xdr:rowOff>
    </xdr:to>
    <xdr:graphicFrame macro="">
      <xdr:nvGraphicFramePr>
        <xdr:cNvPr id="6" name="Chart 5">
          <a:extLst>
            <a:ext uri="{FF2B5EF4-FFF2-40B4-BE49-F238E27FC236}">
              <a16:creationId xmlns:a16="http://schemas.microsoft.com/office/drawing/2014/main" id="{EB9BD8A5-B4B9-4B42-AE67-6B3ACEF1D37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27</xdr:col>
      <xdr:colOff>433161</xdr:colOff>
      <xdr:row>70</xdr:row>
      <xdr:rowOff>31752</xdr:rowOff>
    </xdr:from>
    <xdr:to>
      <xdr:col>36</xdr:col>
      <xdr:colOff>27782</xdr:colOff>
      <xdr:row>83</xdr:row>
      <xdr:rowOff>79377</xdr:rowOff>
    </xdr:to>
    <xdr:graphicFrame macro="">
      <xdr:nvGraphicFramePr>
        <xdr:cNvPr id="7" name="Chart 6">
          <a:extLst>
            <a:ext uri="{FF2B5EF4-FFF2-40B4-BE49-F238E27FC236}">
              <a16:creationId xmlns:a16="http://schemas.microsoft.com/office/drawing/2014/main" id="{BCAE0394-7929-4EAC-B466-EFD1FF29B7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409348</xdr:colOff>
      <xdr:row>26</xdr:row>
      <xdr:rowOff>27781</xdr:rowOff>
    </xdr:from>
    <xdr:to>
      <xdr:col>33</xdr:col>
      <xdr:colOff>497796</xdr:colOff>
      <xdr:row>40</xdr:row>
      <xdr:rowOff>75066</xdr:rowOff>
    </xdr:to>
    <xdr:graphicFrame macro="">
      <xdr:nvGraphicFramePr>
        <xdr:cNvPr id="8" name="Chart 7">
          <a:extLst>
            <a:ext uri="{FF2B5EF4-FFF2-40B4-BE49-F238E27FC236}">
              <a16:creationId xmlns:a16="http://schemas.microsoft.com/office/drawing/2014/main" id="{F6132429-D74C-48B7-BA83-02F5D9FD0B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26</xdr:col>
      <xdr:colOff>363991</xdr:colOff>
      <xdr:row>40</xdr:row>
      <xdr:rowOff>130402</xdr:rowOff>
    </xdr:from>
    <xdr:to>
      <xdr:col>33</xdr:col>
      <xdr:colOff>500063</xdr:colOff>
      <xdr:row>54</xdr:row>
      <xdr:rowOff>79375</xdr:rowOff>
    </xdr:to>
    <xdr:graphicFrame macro="">
      <xdr:nvGraphicFramePr>
        <xdr:cNvPr id="9" name="Chart 8">
          <a:extLst>
            <a:ext uri="{FF2B5EF4-FFF2-40B4-BE49-F238E27FC236}">
              <a16:creationId xmlns:a16="http://schemas.microsoft.com/office/drawing/2014/main" id="{7828D7D5-21B8-4F26-BA56-47B0B5FE20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23</xdr:col>
      <xdr:colOff>61707</xdr:colOff>
      <xdr:row>11</xdr:row>
      <xdr:rowOff>3814</xdr:rowOff>
    </xdr:from>
    <xdr:to>
      <xdr:col>30</xdr:col>
      <xdr:colOff>350083</xdr:colOff>
      <xdr:row>23</xdr:row>
      <xdr:rowOff>82450</xdr:rowOff>
    </xdr:to>
    <xdr:graphicFrame macro="">
      <xdr:nvGraphicFramePr>
        <xdr:cNvPr id="2" name="Chart 1">
          <a:extLst>
            <a:ext uri="{FF2B5EF4-FFF2-40B4-BE49-F238E27FC236}">
              <a16:creationId xmlns:a16="http://schemas.microsoft.com/office/drawing/2014/main" id="{4B0769AB-B59D-4C41-A973-EBAFB290C9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83909</xdr:colOff>
      <xdr:row>1</xdr:row>
      <xdr:rowOff>117926</xdr:rowOff>
    </xdr:from>
    <xdr:to>
      <xdr:col>30</xdr:col>
      <xdr:colOff>285750</xdr:colOff>
      <xdr:row>10</xdr:row>
      <xdr:rowOff>155743</xdr:rowOff>
    </xdr:to>
    <xdr:graphicFrame macro="">
      <xdr:nvGraphicFramePr>
        <xdr:cNvPr id="6" name="Chart 5">
          <a:extLst>
            <a:ext uri="{FF2B5EF4-FFF2-40B4-BE49-F238E27FC236}">
              <a16:creationId xmlns:a16="http://schemas.microsoft.com/office/drawing/2014/main" id="{7594E729-9CDF-41C3-A2BC-820C815972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48</xdr:col>
      <xdr:colOff>603779</xdr:colOff>
      <xdr:row>26</xdr:row>
      <xdr:rowOff>169861</xdr:rowOff>
    </xdr:from>
    <xdr:to>
      <xdr:col>59</xdr:col>
      <xdr:colOff>190500</xdr:colOff>
      <xdr:row>47</xdr:row>
      <xdr:rowOff>68035</xdr:rowOff>
    </xdr:to>
    <xdr:graphicFrame macro="">
      <xdr:nvGraphicFramePr>
        <xdr:cNvPr id="8" name="Chart 7">
          <a:extLst>
            <a:ext uri="{FF2B5EF4-FFF2-40B4-BE49-F238E27FC236}">
              <a16:creationId xmlns:a16="http://schemas.microsoft.com/office/drawing/2014/main" id="{C1F821F0-9417-4420-9AC8-73FF58C2E8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51</xdr:col>
      <xdr:colOff>343958</xdr:colOff>
      <xdr:row>1</xdr:row>
      <xdr:rowOff>34622</xdr:rowOff>
    </xdr:from>
    <xdr:to>
      <xdr:col>59</xdr:col>
      <xdr:colOff>161396</xdr:colOff>
      <xdr:row>13</xdr:row>
      <xdr:rowOff>71890</xdr:rowOff>
    </xdr:to>
    <xdr:graphicFrame macro="">
      <xdr:nvGraphicFramePr>
        <xdr:cNvPr id="9" name="Chart 8">
          <a:extLst>
            <a:ext uri="{FF2B5EF4-FFF2-40B4-BE49-F238E27FC236}">
              <a16:creationId xmlns:a16="http://schemas.microsoft.com/office/drawing/2014/main" id="{DB0A9A86-26EA-4E59-8313-86040345F3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41</xdr:col>
      <xdr:colOff>417379</xdr:colOff>
      <xdr:row>1</xdr:row>
      <xdr:rowOff>117210</xdr:rowOff>
    </xdr:from>
    <xdr:to>
      <xdr:col>49</xdr:col>
      <xdr:colOff>234817</xdr:colOff>
      <xdr:row>11</xdr:row>
      <xdr:rowOff>31486</xdr:rowOff>
    </xdr:to>
    <xdr:graphicFrame macro="">
      <xdr:nvGraphicFramePr>
        <xdr:cNvPr id="10" name="Chart 9">
          <a:extLst>
            <a:ext uri="{FF2B5EF4-FFF2-40B4-BE49-F238E27FC236}">
              <a16:creationId xmlns:a16="http://schemas.microsoft.com/office/drawing/2014/main" id="{80415486-8F37-4FBD-9AAE-704EBEC4C4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48</xdr:col>
      <xdr:colOff>38100</xdr:colOff>
      <xdr:row>68</xdr:row>
      <xdr:rowOff>5159</xdr:rowOff>
    </xdr:from>
    <xdr:to>
      <xdr:col>59</xdr:col>
      <xdr:colOff>361950</xdr:colOff>
      <xdr:row>90</xdr:row>
      <xdr:rowOff>76200</xdr:rowOff>
    </xdr:to>
    <xdr:graphicFrame macro="">
      <xdr:nvGraphicFramePr>
        <xdr:cNvPr id="11" name="Chart 10">
          <a:extLst>
            <a:ext uri="{FF2B5EF4-FFF2-40B4-BE49-F238E27FC236}">
              <a16:creationId xmlns:a16="http://schemas.microsoft.com/office/drawing/2014/main" id="{941642D6-8DB7-4763-B641-32E1B95041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23</xdr:col>
      <xdr:colOff>149679</xdr:colOff>
      <xdr:row>24</xdr:row>
      <xdr:rowOff>27215</xdr:rowOff>
    </xdr:from>
    <xdr:to>
      <xdr:col>30</xdr:col>
      <xdr:colOff>351520</xdr:colOff>
      <xdr:row>36</xdr:row>
      <xdr:rowOff>105854</xdr:rowOff>
    </xdr:to>
    <xdr:graphicFrame macro="">
      <xdr:nvGraphicFramePr>
        <xdr:cNvPr id="12" name="Chart 11">
          <a:extLst>
            <a:ext uri="{FF2B5EF4-FFF2-40B4-BE49-F238E27FC236}">
              <a16:creationId xmlns:a16="http://schemas.microsoft.com/office/drawing/2014/main" id="{BFE99926-C9BE-414D-A7F9-8EDFAA7101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136072</xdr:colOff>
      <xdr:row>36</xdr:row>
      <xdr:rowOff>176893</xdr:rowOff>
    </xdr:from>
    <xdr:to>
      <xdr:col>30</xdr:col>
      <xdr:colOff>424448</xdr:colOff>
      <xdr:row>49</xdr:row>
      <xdr:rowOff>65029</xdr:rowOff>
    </xdr:to>
    <xdr:graphicFrame macro="">
      <xdr:nvGraphicFramePr>
        <xdr:cNvPr id="13" name="Chart 12">
          <a:extLst>
            <a:ext uri="{FF2B5EF4-FFF2-40B4-BE49-F238E27FC236}">
              <a16:creationId xmlns:a16="http://schemas.microsoft.com/office/drawing/2014/main" id="{EB72C129-6F71-45D4-8854-8D17389EE8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116418</xdr:colOff>
      <xdr:row>77</xdr:row>
      <xdr:rowOff>74083</xdr:rowOff>
    </xdr:from>
    <xdr:to>
      <xdr:col>30</xdr:col>
      <xdr:colOff>404794</xdr:colOff>
      <xdr:row>92</xdr:row>
      <xdr:rowOff>78636</xdr:rowOff>
    </xdr:to>
    <xdr:graphicFrame macro="">
      <xdr:nvGraphicFramePr>
        <xdr:cNvPr id="14" name="Chart 13">
          <a:extLst>
            <a:ext uri="{FF2B5EF4-FFF2-40B4-BE49-F238E27FC236}">
              <a16:creationId xmlns:a16="http://schemas.microsoft.com/office/drawing/2014/main" id="{A90578D2-3898-4A6C-B991-EEF65C21BC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242359</xdr:colOff>
      <xdr:row>49</xdr:row>
      <xdr:rowOff>146050</xdr:rowOff>
    </xdr:from>
    <xdr:to>
      <xdr:col>30</xdr:col>
      <xdr:colOff>450550</xdr:colOff>
      <xdr:row>62</xdr:row>
      <xdr:rowOff>31013</xdr:rowOff>
    </xdr:to>
    <xdr:graphicFrame macro="">
      <xdr:nvGraphicFramePr>
        <xdr:cNvPr id="15" name="Chart 14">
          <a:extLst>
            <a:ext uri="{FF2B5EF4-FFF2-40B4-BE49-F238E27FC236}">
              <a16:creationId xmlns:a16="http://schemas.microsoft.com/office/drawing/2014/main" id="{53C2A3E2-C16A-45A0-8542-96AAAFDD22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49</xdr:col>
      <xdr:colOff>1</xdr:colOff>
      <xdr:row>48</xdr:row>
      <xdr:rowOff>0</xdr:rowOff>
    </xdr:from>
    <xdr:to>
      <xdr:col>58</xdr:col>
      <xdr:colOff>585108</xdr:colOff>
      <xdr:row>67</xdr:row>
      <xdr:rowOff>54429</xdr:rowOff>
    </xdr:to>
    <xdr:graphicFrame macro="">
      <xdr:nvGraphicFramePr>
        <xdr:cNvPr id="16" name="Chart 15">
          <a:extLst>
            <a:ext uri="{FF2B5EF4-FFF2-40B4-BE49-F238E27FC236}">
              <a16:creationId xmlns:a16="http://schemas.microsoft.com/office/drawing/2014/main" id="{85D887FC-7BA2-4882-8194-809874771A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23</xdr:col>
      <xdr:colOff>171450</xdr:colOff>
      <xdr:row>62</xdr:row>
      <xdr:rowOff>142875</xdr:rowOff>
    </xdr:from>
    <xdr:to>
      <xdr:col>30</xdr:col>
      <xdr:colOff>365125</xdr:colOff>
      <xdr:row>76</xdr:row>
      <xdr:rowOff>127000</xdr:rowOff>
    </xdr:to>
    <xdr:graphicFrame macro="">
      <xdr:nvGraphicFramePr>
        <xdr:cNvPr id="17" name="Chart 16">
          <a:extLst>
            <a:ext uri="{FF2B5EF4-FFF2-40B4-BE49-F238E27FC236}">
              <a16:creationId xmlns:a16="http://schemas.microsoft.com/office/drawing/2014/main" id="{8918B136-B4D9-468C-B249-6C0C8C619F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15</xdr:col>
      <xdr:colOff>2400300</xdr:colOff>
      <xdr:row>60</xdr:row>
      <xdr:rowOff>0</xdr:rowOff>
    </xdr:from>
    <xdr:to>
      <xdr:col>27</xdr:col>
      <xdr:colOff>668096</xdr:colOff>
      <xdr:row>90</xdr:row>
      <xdr:rowOff>77094</xdr:rowOff>
    </xdr:to>
    <xdr:pic>
      <xdr:nvPicPr>
        <xdr:cNvPr id="3" name="Picture 2">
          <a:extLst>
            <a:ext uri="{FF2B5EF4-FFF2-40B4-BE49-F238E27FC236}">
              <a16:creationId xmlns:a16="http://schemas.microsoft.com/office/drawing/2014/main" id="{CA599BD3-5AE8-084D-9074-C40671E90BF2}"/>
            </a:ext>
          </a:extLst>
        </xdr:cNvPr>
        <xdr:cNvPicPr>
          <a:picLocks noChangeAspect="1"/>
        </xdr:cNvPicPr>
      </xdr:nvPicPr>
      <xdr:blipFill>
        <a:blip xmlns:r="http://schemas.openxmlformats.org/officeDocument/2006/relationships" r:embed="rId1"/>
        <a:stretch>
          <a:fillRect/>
        </a:stretch>
      </xdr:blipFill>
      <xdr:spPr>
        <a:xfrm>
          <a:off x="17125950" y="10048875"/>
          <a:ext cx="11716481" cy="4953706"/>
        </a:xfrm>
        <a:prstGeom prst="rect">
          <a:avLst/>
        </a:prstGeom>
      </xdr:spPr>
    </xdr:pic>
    <xdr:clientData/>
  </xdr:twoCellAnchor>
  <xdr:twoCellAnchor editAs="oneCell">
    <xdr:from>
      <xdr:col>15</xdr:col>
      <xdr:colOff>2400300</xdr:colOff>
      <xdr:row>23</xdr:row>
      <xdr:rowOff>142875</xdr:rowOff>
    </xdr:from>
    <xdr:to>
      <xdr:col>29</xdr:col>
      <xdr:colOff>363003</xdr:colOff>
      <xdr:row>58</xdr:row>
      <xdr:rowOff>27493</xdr:rowOff>
    </xdr:to>
    <xdr:pic>
      <xdr:nvPicPr>
        <xdr:cNvPr id="2" name="Picture 1">
          <a:extLst>
            <a:ext uri="{FF2B5EF4-FFF2-40B4-BE49-F238E27FC236}">
              <a16:creationId xmlns:a16="http://schemas.microsoft.com/office/drawing/2014/main" id="{1D1CDF2F-8D2E-49AF-4EC4-630FDF3BBE4B}"/>
            </a:ext>
          </a:extLst>
        </xdr:cNvPr>
        <xdr:cNvPicPr>
          <a:picLocks noChangeAspect="1"/>
        </xdr:cNvPicPr>
      </xdr:nvPicPr>
      <xdr:blipFill>
        <a:blip xmlns:r="http://schemas.openxmlformats.org/officeDocument/2006/relationships" r:embed="rId2"/>
        <a:stretch>
          <a:fillRect/>
        </a:stretch>
      </xdr:blipFill>
      <xdr:spPr>
        <a:xfrm>
          <a:off x="17125950" y="4191000"/>
          <a:ext cx="12828678" cy="5906476"/>
        </a:xfrm>
        <a:prstGeom prst="rect">
          <a:avLst/>
        </a:prstGeom>
      </xdr:spPr>
    </xdr:pic>
    <xdr:clientData/>
  </xdr:twoCellAnchor>
  <xdr:twoCellAnchor editAs="oneCell">
    <xdr:from>
      <xdr:col>5</xdr:col>
      <xdr:colOff>768144</xdr:colOff>
      <xdr:row>93</xdr:row>
      <xdr:rowOff>12684</xdr:rowOff>
    </xdr:from>
    <xdr:to>
      <xdr:col>28</xdr:col>
      <xdr:colOff>144198</xdr:colOff>
      <xdr:row>126</xdr:row>
      <xdr:rowOff>9560</xdr:rowOff>
    </xdr:to>
    <xdr:pic>
      <xdr:nvPicPr>
        <xdr:cNvPr id="4" name="Picture 3">
          <a:extLst>
            <a:ext uri="{FF2B5EF4-FFF2-40B4-BE49-F238E27FC236}">
              <a16:creationId xmlns:a16="http://schemas.microsoft.com/office/drawing/2014/main" id="{0E709013-7D2A-E800-8631-69F6389601A2}"/>
            </a:ext>
          </a:extLst>
        </xdr:cNvPr>
        <xdr:cNvPicPr>
          <a:picLocks noChangeAspect="1"/>
        </xdr:cNvPicPr>
      </xdr:nvPicPr>
      <xdr:blipFill>
        <a:blip xmlns:r="http://schemas.openxmlformats.org/officeDocument/2006/relationships" r:embed="rId3"/>
        <a:stretch>
          <a:fillRect/>
        </a:stretch>
      </xdr:blipFill>
      <xdr:spPr>
        <a:xfrm>
          <a:off x="4721531" y="15990103"/>
          <a:ext cx="22474794" cy="540144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444053</xdr:colOff>
      <xdr:row>26</xdr:row>
      <xdr:rowOff>63857</xdr:rowOff>
    </xdr:from>
    <xdr:to>
      <xdr:col>16</xdr:col>
      <xdr:colOff>280384</xdr:colOff>
      <xdr:row>40</xdr:row>
      <xdr:rowOff>150789</xdr:rowOff>
    </xdr:to>
    <xdr:graphicFrame macro="">
      <xdr:nvGraphicFramePr>
        <xdr:cNvPr id="2" name="Chart 1">
          <a:extLst>
            <a:ext uri="{FF2B5EF4-FFF2-40B4-BE49-F238E27FC236}">
              <a16:creationId xmlns:a16="http://schemas.microsoft.com/office/drawing/2014/main" id="{32897B76-3C06-47C7-8E2E-216C733C18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470884</xdr:colOff>
      <xdr:row>42</xdr:row>
      <xdr:rowOff>37027</xdr:rowOff>
    </xdr:from>
    <xdr:to>
      <xdr:col>16</xdr:col>
      <xdr:colOff>307215</xdr:colOff>
      <xdr:row>56</xdr:row>
      <xdr:rowOff>123959</xdr:rowOff>
    </xdr:to>
    <xdr:graphicFrame macro="">
      <xdr:nvGraphicFramePr>
        <xdr:cNvPr id="3" name="Chart 2">
          <a:extLst>
            <a:ext uri="{FF2B5EF4-FFF2-40B4-BE49-F238E27FC236}">
              <a16:creationId xmlns:a16="http://schemas.microsoft.com/office/drawing/2014/main" id="{2FE99071-0CB7-4832-B09B-AB379F36E3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524546</xdr:colOff>
      <xdr:row>57</xdr:row>
      <xdr:rowOff>90689</xdr:rowOff>
    </xdr:from>
    <xdr:to>
      <xdr:col>16</xdr:col>
      <xdr:colOff>360877</xdr:colOff>
      <xdr:row>71</xdr:row>
      <xdr:rowOff>177621</xdr:rowOff>
    </xdr:to>
    <xdr:graphicFrame macro="">
      <xdr:nvGraphicFramePr>
        <xdr:cNvPr id="4" name="Chart 3">
          <a:extLst>
            <a:ext uri="{FF2B5EF4-FFF2-40B4-BE49-F238E27FC236}">
              <a16:creationId xmlns:a16="http://schemas.microsoft.com/office/drawing/2014/main" id="{0E8C7510-1BEF-4137-A451-19EAF8E312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61</xdr:col>
      <xdr:colOff>328253</xdr:colOff>
      <xdr:row>43</xdr:row>
      <xdr:rowOff>49692</xdr:rowOff>
    </xdr:from>
    <xdr:to>
      <xdr:col>68</xdr:col>
      <xdr:colOff>46668</xdr:colOff>
      <xdr:row>62</xdr:row>
      <xdr:rowOff>8441</xdr:rowOff>
    </xdr:to>
    <xdr:pic>
      <xdr:nvPicPr>
        <xdr:cNvPr id="6" name="Picture 5">
          <a:extLst>
            <a:ext uri="{FF2B5EF4-FFF2-40B4-BE49-F238E27FC236}">
              <a16:creationId xmlns:a16="http://schemas.microsoft.com/office/drawing/2014/main" id="{5FCB1783-12D3-D43D-F7A6-4B3D99302F6B}"/>
            </a:ext>
          </a:extLst>
        </xdr:cNvPr>
        <xdr:cNvPicPr>
          <a:picLocks noChangeAspect="1"/>
        </xdr:cNvPicPr>
      </xdr:nvPicPr>
      <xdr:blipFill>
        <a:blip xmlns:r="http://schemas.openxmlformats.org/officeDocument/2006/relationships" r:embed="rId4"/>
        <a:stretch>
          <a:fillRect/>
        </a:stretch>
      </xdr:blipFill>
      <xdr:spPr>
        <a:xfrm>
          <a:off x="15029102" y="7247357"/>
          <a:ext cx="4224369" cy="3324249"/>
        </a:xfrm>
        <a:prstGeom prst="rect">
          <a:avLst/>
        </a:prstGeom>
      </xdr:spPr>
    </xdr:pic>
    <xdr:clientData/>
  </xdr:twoCellAnchor>
  <xdr:twoCellAnchor>
    <xdr:from>
      <xdr:col>19</xdr:col>
      <xdr:colOff>127000</xdr:colOff>
      <xdr:row>63</xdr:row>
      <xdr:rowOff>44450</xdr:rowOff>
    </xdr:from>
    <xdr:to>
      <xdr:col>25</xdr:col>
      <xdr:colOff>191931</xdr:colOff>
      <xdr:row>78</xdr:row>
      <xdr:rowOff>1207</xdr:rowOff>
    </xdr:to>
    <xdr:graphicFrame macro="">
      <xdr:nvGraphicFramePr>
        <xdr:cNvPr id="7" name="Chart 6">
          <a:extLst>
            <a:ext uri="{FF2B5EF4-FFF2-40B4-BE49-F238E27FC236}">
              <a16:creationId xmlns:a16="http://schemas.microsoft.com/office/drawing/2014/main" id="{F450BB0E-3E2A-4197-AD85-AC8CFAB906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45</xdr:col>
      <xdr:colOff>557894</xdr:colOff>
      <xdr:row>67</xdr:row>
      <xdr:rowOff>99332</xdr:rowOff>
    </xdr:from>
    <xdr:to>
      <xdr:col>68</xdr:col>
      <xdr:colOff>21322</xdr:colOff>
      <xdr:row>92</xdr:row>
      <xdr:rowOff>32094</xdr:rowOff>
    </xdr:to>
    <xdr:pic>
      <xdr:nvPicPr>
        <xdr:cNvPr id="8" name="Picture 7">
          <a:extLst>
            <a:ext uri="{FF2B5EF4-FFF2-40B4-BE49-F238E27FC236}">
              <a16:creationId xmlns:a16="http://schemas.microsoft.com/office/drawing/2014/main" id="{51E36DE8-641B-4282-8A2B-A4A6447A259D}"/>
            </a:ext>
          </a:extLst>
        </xdr:cNvPr>
        <xdr:cNvPicPr>
          <a:picLocks noChangeAspect="1"/>
        </xdr:cNvPicPr>
      </xdr:nvPicPr>
      <xdr:blipFill>
        <a:blip xmlns:r="http://schemas.openxmlformats.org/officeDocument/2006/relationships" r:embed="rId6"/>
        <a:stretch>
          <a:fillRect/>
        </a:stretch>
      </xdr:blipFill>
      <xdr:spPr>
        <a:xfrm>
          <a:off x="31840715" y="12876439"/>
          <a:ext cx="15601500" cy="4409512"/>
        </a:xfrm>
        <a:prstGeom prst="rect">
          <a:avLst/>
        </a:prstGeom>
      </xdr:spPr>
    </xdr:pic>
    <xdr:clientData/>
  </xdr:twoCellAnchor>
  <xdr:twoCellAnchor>
    <xdr:from>
      <xdr:col>26</xdr:col>
      <xdr:colOff>347890</xdr:colOff>
      <xdr:row>60</xdr:row>
      <xdr:rowOff>59417</xdr:rowOff>
    </xdr:from>
    <xdr:to>
      <xdr:col>42</xdr:col>
      <xdr:colOff>381000</xdr:colOff>
      <xdr:row>79</xdr:row>
      <xdr:rowOff>95248</xdr:rowOff>
    </xdr:to>
    <xdr:graphicFrame macro="">
      <xdr:nvGraphicFramePr>
        <xdr:cNvPr id="9" name="Chart 8">
          <a:extLst>
            <a:ext uri="{FF2B5EF4-FFF2-40B4-BE49-F238E27FC236}">
              <a16:creationId xmlns:a16="http://schemas.microsoft.com/office/drawing/2014/main" id="{337117C8-26AA-42F5-9410-7C0E32B838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26</xdr:col>
      <xdr:colOff>377825</xdr:colOff>
      <xdr:row>79</xdr:row>
      <xdr:rowOff>160111</xdr:rowOff>
    </xdr:from>
    <xdr:to>
      <xdr:col>42</xdr:col>
      <xdr:colOff>407760</xdr:colOff>
      <xdr:row>99</xdr:row>
      <xdr:rowOff>25400</xdr:rowOff>
    </xdr:to>
    <xdr:graphicFrame macro="">
      <xdr:nvGraphicFramePr>
        <xdr:cNvPr id="10" name="Chart 9">
          <a:extLst>
            <a:ext uri="{FF2B5EF4-FFF2-40B4-BE49-F238E27FC236}">
              <a16:creationId xmlns:a16="http://schemas.microsoft.com/office/drawing/2014/main" id="{5A857668-42D5-4745-BB31-59C02E93CE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editAs="oneCell">
    <xdr:from>
      <xdr:col>15</xdr:col>
      <xdr:colOff>295275</xdr:colOff>
      <xdr:row>0</xdr:row>
      <xdr:rowOff>138112</xdr:rowOff>
    </xdr:from>
    <xdr:to>
      <xdr:col>30</xdr:col>
      <xdr:colOff>465535</xdr:colOff>
      <xdr:row>9</xdr:row>
      <xdr:rowOff>131215</xdr:rowOff>
    </xdr:to>
    <xdr:pic>
      <xdr:nvPicPr>
        <xdr:cNvPr id="2" name="Picture 1">
          <a:extLst>
            <a:ext uri="{FF2B5EF4-FFF2-40B4-BE49-F238E27FC236}">
              <a16:creationId xmlns:a16="http://schemas.microsoft.com/office/drawing/2014/main" id="{F5BCB341-83E7-46B1-9A51-AB00C660E93D}"/>
            </a:ext>
          </a:extLst>
        </xdr:cNvPr>
        <xdr:cNvPicPr>
          <a:picLocks noChangeAspect="1"/>
        </xdr:cNvPicPr>
      </xdr:nvPicPr>
      <xdr:blipFill>
        <a:blip xmlns:r="http://schemas.openxmlformats.org/officeDocument/2006/relationships" r:embed="rId1"/>
        <a:stretch>
          <a:fillRect/>
        </a:stretch>
      </xdr:blipFill>
      <xdr:spPr>
        <a:xfrm>
          <a:off x="8558213" y="138112"/>
          <a:ext cx="9623823" cy="1666673"/>
        </a:xfrm>
        <a:prstGeom prst="rect">
          <a:avLst/>
        </a:prstGeom>
      </xdr:spPr>
    </xdr:pic>
    <xdr:clientData/>
  </xdr:twoCellAnchor>
  <xdr:twoCellAnchor editAs="oneCell">
    <xdr:from>
      <xdr:col>30</xdr:col>
      <xdr:colOff>404813</xdr:colOff>
      <xdr:row>0</xdr:row>
      <xdr:rowOff>138113</xdr:rowOff>
    </xdr:from>
    <xdr:to>
      <xdr:col>38</xdr:col>
      <xdr:colOff>370869</xdr:colOff>
      <xdr:row>9</xdr:row>
      <xdr:rowOff>7406</xdr:rowOff>
    </xdr:to>
    <xdr:pic>
      <xdr:nvPicPr>
        <xdr:cNvPr id="3" name="Picture 2">
          <a:extLst>
            <a:ext uri="{FF2B5EF4-FFF2-40B4-BE49-F238E27FC236}">
              <a16:creationId xmlns:a16="http://schemas.microsoft.com/office/drawing/2014/main" id="{4D546227-1E19-4E86-8DDE-3F057EEB3529}"/>
            </a:ext>
          </a:extLst>
        </xdr:cNvPr>
        <xdr:cNvPicPr>
          <a:picLocks noChangeAspect="1"/>
        </xdr:cNvPicPr>
      </xdr:nvPicPr>
      <xdr:blipFill>
        <a:blip xmlns:r="http://schemas.openxmlformats.org/officeDocument/2006/relationships" r:embed="rId2"/>
        <a:stretch>
          <a:fillRect/>
        </a:stretch>
      </xdr:blipFill>
      <xdr:spPr>
        <a:xfrm>
          <a:off x="18121313" y="138113"/>
          <a:ext cx="4919056" cy="1542863"/>
        </a:xfrm>
        <a:prstGeom prst="rect">
          <a:avLst/>
        </a:prstGeom>
      </xdr:spPr>
    </xdr:pic>
    <xdr:clientData/>
  </xdr:twoCellAnchor>
  <xdr:twoCellAnchor editAs="oneCell">
    <xdr:from>
      <xdr:col>19</xdr:col>
      <xdr:colOff>309564</xdr:colOff>
      <xdr:row>10</xdr:row>
      <xdr:rowOff>161924</xdr:rowOff>
    </xdr:from>
    <xdr:to>
      <xdr:col>34</xdr:col>
      <xdr:colOff>293913</xdr:colOff>
      <xdr:row>49</xdr:row>
      <xdr:rowOff>123041</xdr:rowOff>
    </xdr:to>
    <xdr:pic>
      <xdr:nvPicPr>
        <xdr:cNvPr id="4" name="Picture 3">
          <a:extLst>
            <a:ext uri="{FF2B5EF4-FFF2-40B4-BE49-F238E27FC236}">
              <a16:creationId xmlns:a16="http://schemas.microsoft.com/office/drawing/2014/main" id="{5430C124-9F7F-4EBB-BE75-B9A348D431C7}"/>
            </a:ext>
          </a:extLst>
        </xdr:cNvPr>
        <xdr:cNvPicPr>
          <a:picLocks noChangeAspect="1"/>
        </xdr:cNvPicPr>
      </xdr:nvPicPr>
      <xdr:blipFill>
        <a:blip xmlns:r="http://schemas.openxmlformats.org/officeDocument/2006/relationships" r:embed="rId3"/>
        <a:stretch>
          <a:fillRect/>
        </a:stretch>
      </xdr:blipFill>
      <xdr:spPr>
        <a:xfrm>
          <a:off x="10501314" y="1995487"/>
          <a:ext cx="9328582" cy="6461928"/>
        </a:xfrm>
        <a:prstGeom prst="rect">
          <a:avLst/>
        </a:prstGeom>
      </xdr:spPr>
    </xdr:pic>
    <xdr:clientData/>
  </xdr:twoCellAnchor>
  <xdr:twoCellAnchor editAs="oneCell">
    <xdr:from>
      <xdr:col>18</xdr:col>
      <xdr:colOff>504825</xdr:colOff>
      <xdr:row>50</xdr:row>
      <xdr:rowOff>128587</xdr:rowOff>
    </xdr:from>
    <xdr:to>
      <xdr:col>33</xdr:col>
      <xdr:colOff>17953</xdr:colOff>
      <xdr:row>89</xdr:row>
      <xdr:rowOff>55969</xdr:rowOff>
    </xdr:to>
    <xdr:pic>
      <xdr:nvPicPr>
        <xdr:cNvPr id="5" name="Picture 4">
          <a:extLst>
            <a:ext uri="{FF2B5EF4-FFF2-40B4-BE49-F238E27FC236}">
              <a16:creationId xmlns:a16="http://schemas.microsoft.com/office/drawing/2014/main" id="{B40F304C-7492-4359-BD1E-14BEF1001792}"/>
            </a:ext>
          </a:extLst>
        </xdr:cNvPr>
        <xdr:cNvPicPr>
          <a:picLocks noChangeAspect="1"/>
        </xdr:cNvPicPr>
      </xdr:nvPicPr>
      <xdr:blipFill>
        <a:blip xmlns:r="http://schemas.openxmlformats.org/officeDocument/2006/relationships" r:embed="rId4"/>
        <a:stretch>
          <a:fillRect/>
        </a:stretch>
      </xdr:blipFill>
      <xdr:spPr>
        <a:xfrm>
          <a:off x="10696575" y="8629650"/>
          <a:ext cx="8895253" cy="664288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29</xdr:col>
      <xdr:colOff>322456</xdr:colOff>
      <xdr:row>73</xdr:row>
      <xdr:rowOff>180067</xdr:rowOff>
    </xdr:from>
    <xdr:to>
      <xdr:col>43</xdr:col>
      <xdr:colOff>28121</xdr:colOff>
      <xdr:row>92</xdr:row>
      <xdr:rowOff>58353</xdr:rowOff>
    </xdr:to>
    <xdr:pic>
      <xdr:nvPicPr>
        <xdr:cNvPr id="3" name="Picture 2">
          <a:extLst>
            <a:ext uri="{FF2B5EF4-FFF2-40B4-BE49-F238E27FC236}">
              <a16:creationId xmlns:a16="http://schemas.microsoft.com/office/drawing/2014/main" id="{E1F27D5D-3AA5-DB78-7FA4-20E637AAC3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87081" y="14086567"/>
          <a:ext cx="8240065" cy="3497786"/>
        </a:xfrm>
        <a:prstGeom prst="rect">
          <a:avLst/>
        </a:prstGeom>
      </xdr:spPr>
    </xdr:pic>
    <xdr:clientData/>
  </xdr:twoCellAnchor>
  <xdr:twoCellAnchor editAs="oneCell">
    <xdr:from>
      <xdr:col>30</xdr:col>
      <xdr:colOff>0</xdr:colOff>
      <xdr:row>106</xdr:row>
      <xdr:rowOff>0</xdr:rowOff>
    </xdr:from>
    <xdr:to>
      <xdr:col>40</xdr:col>
      <xdr:colOff>523875</xdr:colOff>
      <xdr:row>127</xdr:row>
      <xdr:rowOff>150719</xdr:rowOff>
    </xdr:to>
    <xdr:pic>
      <xdr:nvPicPr>
        <xdr:cNvPr id="2" name="Picture 1">
          <a:extLst>
            <a:ext uri="{FF2B5EF4-FFF2-40B4-BE49-F238E27FC236}">
              <a16:creationId xmlns:a16="http://schemas.microsoft.com/office/drawing/2014/main" id="{84730B98-5880-7841-3693-950C0B17B4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374225" y="20069175"/>
          <a:ext cx="6619875" cy="418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48</xdr:col>
      <xdr:colOff>168089</xdr:colOff>
      <xdr:row>71</xdr:row>
      <xdr:rowOff>0</xdr:rowOff>
    </xdr:from>
    <xdr:to>
      <xdr:col>57</xdr:col>
      <xdr:colOff>488126</xdr:colOff>
      <xdr:row>101</xdr:row>
      <xdr:rowOff>168089</xdr:rowOff>
    </xdr:to>
    <xdr:pic>
      <xdr:nvPicPr>
        <xdr:cNvPr id="4" name="Picture 3">
          <a:extLst>
            <a:ext uri="{FF2B5EF4-FFF2-40B4-BE49-F238E27FC236}">
              <a16:creationId xmlns:a16="http://schemas.microsoft.com/office/drawing/2014/main" id="{7C93E1CC-1459-F2C7-A591-467E39B8615C}"/>
            </a:ext>
          </a:extLst>
        </xdr:cNvPr>
        <xdr:cNvPicPr>
          <a:picLocks noChangeAspect="1"/>
        </xdr:cNvPicPr>
      </xdr:nvPicPr>
      <xdr:blipFill>
        <a:blip xmlns:r="http://schemas.openxmlformats.org/officeDocument/2006/relationships" r:embed="rId3"/>
        <a:stretch>
          <a:fillRect/>
        </a:stretch>
      </xdr:blipFill>
      <xdr:spPr>
        <a:xfrm>
          <a:off x="33572824" y="13458265"/>
          <a:ext cx="7267683" cy="5748618"/>
        </a:xfrm>
        <a:prstGeom prst="rect">
          <a:avLst/>
        </a:prstGeom>
      </xdr:spPr>
    </xdr:pic>
    <xdr:clientData/>
  </xdr:twoCellAnchor>
  <xdr:twoCellAnchor editAs="oneCell">
    <xdr:from>
      <xdr:col>35</xdr:col>
      <xdr:colOff>123263</xdr:colOff>
      <xdr:row>146</xdr:row>
      <xdr:rowOff>112058</xdr:rowOff>
    </xdr:from>
    <xdr:to>
      <xdr:col>49</xdr:col>
      <xdr:colOff>504276</xdr:colOff>
      <xdr:row>153</xdr:row>
      <xdr:rowOff>44823</xdr:rowOff>
    </xdr:to>
    <xdr:pic>
      <xdr:nvPicPr>
        <xdr:cNvPr id="5" name="Picture 4">
          <a:extLst>
            <a:ext uri="{FF2B5EF4-FFF2-40B4-BE49-F238E27FC236}">
              <a16:creationId xmlns:a16="http://schemas.microsoft.com/office/drawing/2014/main" id="{2E83CA52-EA7D-82B7-B5BF-97194438670F}"/>
            </a:ext>
          </a:extLst>
        </xdr:cNvPr>
        <xdr:cNvPicPr>
          <a:picLocks noChangeAspect="1"/>
        </xdr:cNvPicPr>
      </xdr:nvPicPr>
      <xdr:blipFill>
        <a:blip xmlns:r="http://schemas.openxmlformats.org/officeDocument/2006/relationships" r:embed="rId4"/>
        <a:stretch>
          <a:fillRect/>
        </a:stretch>
      </xdr:blipFill>
      <xdr:spPr>
        <a:xfrm>
          <a:off x="25470969" y="27286323"/>
          <a:ext cx="9502601" cy="1187824"/>
        </a:xfrm>
        <a:prstGeom prst="rect">
          <a:avLst/>
        </a:prstGeom>
      </xdr:spPr>
    </xdr:pic>
    <xdr:clientData/>
  </xdr:twoCellAnchor>
  <xdr:twoCellAnchor editAs="oneCell">
    <xdr:from>
      <xdr:col>35</xdr:col>
      <xdr:colOff>291352</xdr:colOff>
      <xdr:row>154</xdr:row>
      <xdr:rowOff>179292</xdr:rowOff>
    </xdr:from>
    <xdr:to>
      <xdr:col>45</xdr:col>
      <xdr:colOff>78628</xdr:colOff>
      <xdr:row>172</xdr:row>
      <xdr:rowOff>89647</xdr:rowOff>
    </xdr:to>
    <xdr:pic>
      <xdr:nvPicPr>
        <xdr:cNvPr id="6" name="Picture 5">
          <a:extLst>
            <a:ext uri="{FF2B5EF4-FFF2-40B4-BE49-F238E27FC236}">
              <a16:creationId xmlns:a16="http://schemas.microsoft.com/office/drawing/2014/main" id="{154F4206-6206-0E0D-48A9-C2B34B93780B}"/>
            </a:ext>
          </a:extLst>
        </xdr:cNvPr>
        <xdr:cNvPicPr>
          <a:picLocks noChangeAspect="1"/>
        </xdr:cNvPicPr>
      </xdr:nvPicPr>
      <xdr:blipFill>
        <a:blip xmlns:r="http://schemas.openxmlformats.org/officeDocument/2006/relationships" r:embed="rId5"/>
        <a:stretch>
          <a:fillRect/>
        </a:stretch>
      </xdr:blipFill>
      <xdr:spPr>
        <a:xfrm>
          <a:off x="25639058" y="28787910"/>
          <a:ext cx="5905688" cy="316006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7</xdr:col>
      <xdr:colOff>133351</xdr:colOff>
      <xdr:row>3</xdr:row>
      <xdr:rowOff>0</xdr:rowOff>
    </xdr:from>
    <xdr:to>
      <xdr:col>20</xdr:col>
      <xdr:colOff>592138</xdr:colOff>
      <xdr:row>18</xdr:row>
      <xdr:rowOff>33337</xdr:rowOff>
    </xdr:to>
    <xdr:sp macro="" textlink="">
      <xdr:nvSpPr>
        <xdr:cNvPr id="2" name="TextBox 1">
          <a:extLst>
            <a:ext uri="{FF2B5EF4-FFF2-40B4-BE49-F238E27FC236}">
              <a16:creationId xmlns:a16="http://schemas.microsoft.com/office/drawing/2014/main" id="{4BB4D37E-D6B3-44FB-9D94-4476D969BDBC}"/>
            </a:ext>
          </a:extLst>
        </xdr:cNvPr>
        <xdr:cNvSpPr txBox="1"/>
      </xdr:nvSpPr>
      <xdr:spPr>
        <a:xfrm>
          <a:off x="4600576" y="495300"/>
          <a:ext cx="8755062" cy="25098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is-IS" sz="1000">
            <a:effectLst/>
            <a:latin typeface="Arial" panose="020B0604020202020204" pitchFamily="34" charset="0"/>
            <a:cs typeface="Arial" panose="020B0604020202020204" pitchFamily="34" charset="0"/>
          </a:endParaRPr>
        </a:p>
        <a:p>
          <a:r>
            <a:rPr lang="is-IS" sz="1000" b="0" i="0">
              <a:solidFill>
                <a:schemeClr val="dk1"/>
              </a:solidFill>
              <a:effectLst/>
              <a:latin typeface="Arial" panose="020B0604020202020204" pitchFamily="34" charset="0"/>
              <a:ea typeface="+mn-ea"/>
              <a:cs typeface="Arial" panose="020B0604020202020204" pitchFamily="34" charset="0"/>
            </a:rPr>
            <a:t>Aðferðafræðin sem er notuð til að skilgreina eigin virðiskeðju og mengunarþætti hennar byggist á The Greenhouse Gas Protocol.</a:t>
          </a:r>
        </a:p>
        <a:p>
          <a:endParaRPr lang="is-IS" sz="1000">
            <a:effectLst/>
            <a:latin typeface="Arial" panose="020B0604020202020204" pitchFamily="34" charset="0"/>
            <a:cs typeface="Arial" panose="020B0604020202020204" pitchFamily="34" charset="0"/>
          </a:endParaRPr>
        </a:p>
        <a:p>
          <a:r>
            <a:rPr lang="is-IS" sz="1000" b="0" i="1" baseline="0">
              <a:solidFill>
                <a:schemeClr val="dk1"/>
              </a:solidFill>
              <a:effectLst/>
              <a:latin typeface="Arial" panose="020B0604020202020204" pitchFamily="34" charset="0"/>
              <a:ea typeface="+mn-ea"/>
              <a:cs typeface="Arial" panose="020B0604020202020204" pitchFamily="34" charset="0"/>
            </a:rPr>
            <a:t>Umfang 1 </a:t>
          </a:r>
          <a:r>
            <a:rPr lang="is-IS" sz="1000" b="0" i="0" baseline="0">
              <a:solidFill>
                <a:schemeClr val="dk1"/>
              </a:solidFill>
              <a:effectLst/>
              <a:latin typeface="Arial" panose="020B0604020202020204" pitchFamily="34" charset="0"/>
              <a:ea typeface="+mn-ea"/>
              <a:cs typeface="Arial" panose="020B0604020202020204" pitchFamily="34" charset="0"/>
            </a:rPr>
            <a:t>tekur til beinnar losunar frá samgöngum, meðhöndlun úrgangs, landnotkun, búfjárræktun, efnanotkunar og iðnaðar. </a:t>
          </a:r>
        </a:p>
        <a:p>
          <a:r>
            <a:rPr lang="is-IS" sz="1000" b="0" i="1" baseline="0">
              <a:solidFill>
                <a:schemeClr val="dk1"/>
              </a:solidFill>
              <a:effectLst/>
              <a:latin typeface="Arial" panose="020B0604020202020204" pitchFamily="34" charset="0"/>
              <a:ea typeface="+mn-ea"/>
              <a:cs typeface="Arial" panose="020B0604020202020204" pitchFamily="34" charset="0"/>
            </a:rPr>
            <a:t>Umfang 2 </a:t>
          </a:r>
          <a:r>
            <a:rPr lang="is-IS" sz="1000" b="0" i="0" baseline="0">
              <a:solidFill>
                <a:schemeClr val="dk1"/>
              </a:solidFill>
              <a:effectLst/>
              <a:latin typeface="Arial" panose="020B0604020202020204" pitchFamily="34" charset="0"/>
              <a:ea typeface="+mn-ea"/>
              <a:cs typeface="Arial" panose="020B0604020202020204" pitchFamily="34" charset="0"/>
            </a:rPr>
            <a:t>tekur til óbeinnar losunar þeirrar orku sem notuð er innan borgarmarka.</a:t>
          </a:r>
        </a:p>
        <a:p>
          <a:r>
            <a:rPr lang="is-IS" sz="1000" b="0" i="1" baseline="0">
              <a:solidFill>
                <a:schemeClr val="dk1"/>
              </a:solidFill>
              <a:effectLst/>
              <a:latin typeface="Arial" panose="020B0604020202020204" pitchFamily="34" charset="0"/>
              <a:ea typeface="+mn-ea"/>
              <a:cs typeface="Arial" panose="020B0604020202020204" pitchFamily="34" charset="0"/>
            </a:rPr>
            <a:t>Umfang 3 </a:t>
          </a:r>
          <a:r>
            <a:rPr lang="is-IS" sz="1000" b="0" i="0" baseline="0">
              <a:solidFill>
                <a:schemeClr val="dk1"/>
              </a:solidFill>
              <a:effectLst/>
              <a:latin typeface="Arial" panose="020B0604020202020204" pitchFamily="34" charset="0"/>
              <a:ea typeface="+mn-ea"/>
              <a:cs typeface="Arial" panose="020B0604020202020204" pitchFamily="34" charset="0"/>
            </a:rPr>
            <a:t>er öll önnur óbein losun sem á sér stað utan borgarmarka vegna starfsemi innan hennar, til dæmis vegna vara og þjónustu til borgarinnar.</a:t>
          </a:r>
          <a:endParaRPr lang="is-IS" sz="1000">
            <a:effectLst/>
            <a:latin typeface="Arial" panose="020B0604020202020204" pitchFamily="34" charset="0"/>
            <a:cs typeface="Arial" panose="020B0604020202020204" pitchFamily="34" charset="0"/>
          </a:endParaRPr>
        </a:p>
        <a:p>
          <a:endParaRPr lang="is-IS" sz="1000" b="0" i="0">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0568AC7-D434-4502-93C7-E97CD8A2898A}" name="tblBrennsla" displayName="tblBrennsla" ref="BJ15:BT32" totalsRowShown="0" headerRowDxfId="7" tableBorderDxfId="6">
  <autoFilter ref="BJ15:BT32" xr:uid="{10568AC7-D434-4502-93C7-E97CD8A2898A}"/>
  <tableColumns count="11">
    <tableColumn id="1" xr3:uid="{218CF7A8-A86C-4AD2-B6EF-0497044E7060}" name="Tímabil" dataDxfId="5"/>
    <tableColumn id="11" xr3:uid="{0F1EA3FF-AC45-4496-AAB5-6C211818486B}" name="2025" dataDxfId="4"/>
    <tableColumn id="10" xr3:uid="{920EEDF9-C2A7-4B85-952D-BC53C2C10E2B}" name="2024" dataDxfId="3"/>
    <tableColumn id="9" xr3:uid="{F14D0CFE-0F39-4538-8B4E-FE37091AD3D7}" name="2023" dataDxfId="2"/>
    <tableColumn id="8" xr3:uid="{1BF58F93-653B-4C2B-B48E-0A5E2E5369B0}" name="2022" dataDxfId="1"/>
    <tableColumn id="2" xr3:uid="{344F60DF-71D7-4B20-8D57-C3F57B2C53AD}" name="2021"/>
    <tableColumn id="3" xr3:uid="{409AC550-1145-4421-9F2E-2E1AB5521659}" name="2020" dataDxfId="0"/>
    <tableColumn id="4" xr3:uid="{976377AF-D4B0-40ED-9FCF-AC2E5F6E6865}" name="2019"/>
    <tableColumn id="5" xr3:uid="{2D087209-D4AE-4889-AA52-361C5BB6F58A}" name="2018"/>
    <tableColumn id="6" xr3:uid="{013A1345-B917-4394-AD1C-926E924D2D42}" name="2017"/>
    <tableColumn id="7" xr3:uid="{E88EF0D6-DE0D-4CFB-9997-ED12CBC69087}" name="2016"/>
  </tableColumns>
  <tableStyleInfo name="TableStyleMedium4" showFirstColumn="0" showLastColumn="0" showRowStripes="1" showColumnStripes="0"/>
</table>
</file>

<file path=xl/theme/theme1.xml><?xml version="1.0" encoding="utf-8"?>
<a:theme xmlns:a="http://schemas.openxmlformats.org/drawingml/2006/main" name="Sheets">
  <a:themeElements>
    <a:clrScheme name="EFLA Pallette">
      <a:dk1>
        <a:sysClr val="windowText" lastClr="000000"/>
      </a:dk1>
      <a:lt1>
        <a:sysClr val="window" lastClr="FFFFFF"/>
      </a:lt1>
      <a:dk2>
        <a:srgbClr val="7F7F7F"/>
      </a:dk2>
      <a:lt2>
        <a:srgbClr val="E7E6E6"/>
      </a:lt2>
      <a:accent1>
        <a:srgbClr val="EE3523"/>
      </a:accent1>
      <a:accent2>
        <a:srgbClr val="A7A9AC"/>
      </a:accent2>
      <a:accent3>
        <a:srgbClr val="0080A5"/>
      </a:accent3>
      <a:accent4>
        <a:srgbClr val="CADDDF"/>
      </a:accent4>
      <a:accent5>
        <a:srgbClr val="1A3E6F"/>
      </a:accent5>
      <a:accent6>
        <a:srgbClr val="ECBFC1"/>
      </a:accent6>
      <a:hlink>
        <a:srgbClr val="0563C1"/>
      </a:hlink>
      <a:folHlink>
        <a:srgbClr val="954F72"/>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ust.is/loft/losun-grodurhusalofttegunda/losun-islands/" TargetMode="External"/><Relationship Id="rId1" Type="http://schemas.openxmlformats.org/officeDocument/2006/relationships/hyperlink" Target="https://www.ust.is/loft/losun-grodurhusalofttegunda/losun-islands/"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www.ust.is/loft/losun-grodurhusalofttegunda/losun-islands/" TargetMode="External"/><Relationship Id="rId7" Type="http://schemas.openxmlformats.org/officeDocument/2006/relationships/printerSettings" Target="../printerSettings/printerSettings4.bin"/><Relationship Id="rId2" Type="http://schemas.openxmlformats.org/officeDocument/2006/relationships/hyperlink" Target="https://www.stjornarradid.is/verkefni/atvinnuvegir/landbunadur/maelabord-landbunadarins-/" TargetMode="External"/><Relationship Id="rId1" Type="http://schemas.openxmlformats.org/officeDocument/2006/relationships/hyperlink" Target="https://www.veitur.is/utgefid-efni/hitaveita" TargetMode="External"/><Relationship Id="rId6" Type="http://schemas.openxmlformats.org/officeDocument/2006/relationships/hyperlink" Target="https://ssh.is/images/stories/Samgongumal/2017_Greinagerd_Umferdarspa_2030_LOKA.pdf" TargetMode="External"/><Relationship Id="rId5" Type="http://schemas.openxmlformats.org/officeDocument/2006/relationships/hyperlink" Target="https://sorpa.is/um-sorpu/utgefid-efni/arsskyrslur" TargetMode="External"/><Relationship Id="rId4" Type="http://schemas.openxmlformats.org/officeDocument/2006/relationships/hyperlink" Target="https://www.isavia.is/fyrirtaekid/um-isavia/utgefid-efni/flugtolur/flugtolur"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hyperlink" Target="https://www.ust.is/library/sida/Loft/Losunarstudlar_UST_5.0.2.pdf" TargetMode="External"/><Relationship Id="rId2" Type="http://schemas.openxmlformats.org/officeDocument/2006/relationships/hyperlink" Target="https://www.samgongustofa.is/umferd/tolfraedi/onnur-tolfraedi/" TargetMode="External"/><Relationship Id="rId1" Type="http://schemas.openxmlformats.org/officeDocument/2006/relationships/hyperlink" Target="https://www.samgongustofa.is/umferd/tolfraedi/onnur-tolfraedi/" TargetMode="External"/><Relationship Id="rId5" Type="http://schemas.openxmlformats.org/officeDocument/2006/relationships/drawing" Target="../drawings/drawing8.xml"/><Relationship Id="rId4"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http://www.faxafloahafnir.is/cruiseships/index.php?pid=1&amp;w=v" TargetMode="Externa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8.bin"/><Relationship Id="rId1" Type="http://schemas.openxmlformats.org/officeDocument/2006/relationships/hyperlink" Target="https://arsskyrsla2024.sorpa.is/starfsemi/" TargetMode="External"/><Relationship Id="rId4" Type="http://schemas.openxmlformats.org/officeDocument/2006/relationships/table" Target="../tables/table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hyperlink" Target="https://px.hagstofa.is/pxis/pxweb/is/Ibuar/Ibuar__mannfjoldi__2_byggdir__sveitarfelog/MAN02001.px/table/tableViewLayout2/"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90FF8-3441-4D44-B52C-F2E13C087FD8}">
  <dimension ref="A1:Q111"/>
  <sheetViews>
    <sheetView showGridLines="0" workbookViewId="0"/>
  </sheetViews>
  <sheetFormatPr defaultRowHeight="13.2" x14ac:dyDescent="0.25"/>
  <cols>
    <col min="1" max="1" width="34.6640625" customWidth="1"/>
    <col min="3" max="3" width="9.33203125" bestFit="1" customWidth="1"/>
    <col min="4" max="4" width="12.33203125" bestFit="1" customWidth="1"/>
    <col min="5" max="7" width="9.33203125" bestFit="1" customWidth="1"/>
    <col min="8" max="8" width="10.5546875" bestFit="1" customWidth="1"/>
    <col min="9" max="9" width="9.88671875" customWidth="1"/>
    <col min="12" max="12" width="11.33203125" bestFit="1" customWidth="1"/>
    <col min="13" max="16" width="9.33203125" bestFit="1" customWidth="1"/>
  </cols>
  <sheetData>
    <row r="1" spans="1:17" ht="23.4" x14ac:dyDescent="0.25">
      <c r="A1" s="9" t="s">
        <v>0</v>
      </c>
      <c r="B1" s="7"/>
      <c r="C1" s="8"/>
      <c r="D1" s="8"/>
      <c r="E1" s="8"/>
      <c r="F1" s="8"/>
      <c r="G1" s="8"/>
      <c r="H1" s="8"/>
      <c r="I1" s="8"/>
    </row>
    <row r="2" spans="1:17" ht="23.4" x14ac:dyDescent="0.25">
      <c r="A2" s="9"/>
      <c r="B2" s="7"/>
      <c r="C2" s="8"/>
      <c r="D2" s="8"/>
      <c r="E2" s="8"/>
      <c r="F2" s="8"/>
      <c r="G2" s="8"/>
      <c r="H2" s="8"/>
      <c r="I2" s="8"/>
    </row>
    <row r="3" spans="1:17" ht="15" customHeight="1" x14ac:dyDescent="0.25">
      <c r="A3" s="6" t="s">
        <v>1</v>
      </c>
      <c r="B3" s="4" t="s">
        <v>2</v>
      </c>
      <c r="C3" s="5">
        <v>2015</v>
      </c>
      <c r="D3" s="5">
        <v>2016</v>
      </c>
      <c r="E3" s="5">
        <v>2017</v>
      </c>
      <c r="F3" s="5">
        <v>2018</v>
      </c>
      <c r="G3" s="5">
        <v>2019</v>
      </c>
      <c r="H3" s="5">
        <v>2020</v>
      </c>
      <c r="I3" s="5">
        <v>2021</v>
      </c>
    </row>
    <row r="4" spans="1:17" ht="15" customHeight="1" x14ac:dyDescent="0.25">
      <c r="A4" s="26" t="s">
        <v>3</v>
      </c>
      <c r="B4" s="26" t="s">
        <v>4</v>
      </c>
      <c r="C4" s="23">
        <f t="shared" ref="C4:H4" si="0">SUM(C5:C8)</f>
        <v>4792599.937374494</v>
      </c>
      <c r="D4" s="23">
        <f t="shared" si="0"/>
        <v>4742974.2998137753</v>
      </c>
      <c r="E4" s="23">
        <f t="shared" si="0"/>
        <v>4820511.6313455394</v>
      </c>
      <c r="F4" s="23">
        <f t="shared" si="0"/>
        <v>4847521.3477240102</v>
      </c>
      <c r="G4" s="23">
        <f t="shared" si="0"/>
        <v>4739230.7881337218</v>
      </c>
      <c r="H4" s="17">
        <f t="shared" si="0"/>
        <v>2869700</v>
      </c>
      <c r="I4" s="17"/>
      <c r="K4" t="s">
        <v>5</v>
      </c>
      <c r="M4" s="24"/>
      <c r="N4" s="24"/>
      <c r="O4" s="24"/>
      <c r="P4" s="24"/>
      <c r="Q4" s="24"/>
    </row>
    <row r="5" spans="1:17" ht="15" customHeight="1" x14ac:dyDescent="0.25">
      <c r="A5" s="23" t="s">
        <v>6</v>
      </c>
      <c r="B5" s="26" t="s">
        <v>4</v>
      </c>
      <c r="C5" s="23">
        <v>1852173.2603319914</v>
      </c>
      <c r="D5" s="23">
        <v>1827497.9452542874</v>
      </c>
      <c r="E5" s="23">
        <v>1870516.2136826504</v>
      </c>
      <c r="F5" s="23">
        <v>1912881.1387623274</v>
      </c>
      <c r="G5" s="23">
        <v>1854913.2341564749</v>
      </c>
      <c r="H5" s="17"/>
      <c r="I5" s="17"/>
      <c r="M5" s="24"/>
      <c r="N5" s="24"/>
      <c r="O5" s="24"/>
      <c r="P5" s="24"/>
      <c r="Q5" s="24"/>
    </row>
    <row r="6" spans="1:17" ht="15" customHeight="1" x14ac:dyDescent="0.25">
      <c r="A6" s="23" t="s">
        <v>7</v>
      </c>
      <c r="B6" s="26" t="s">
        <v>4</v>
      </c>
      <c r="C6" s="23">
        <v>1998359.9071267762</v>
      </c>
      <c r="D6" s="23">
        <v>1986578.5495812562</v>
      </c>
      <c r="E6" s="23">
        <v>2024053.8991116346</v>
      </c>
      <c r="F6" s="23">
        <v>2022534.9274018391</v>
      </c>
      <c r="G6" s="23">
        <v>2024369.7415438371</v>
      </c>
      <c r="H6" s="17">
        <v>1986000</v>
      </c>
      <c r="I6" s="17"/>
      <c r="M6" s="24"/>
      <c r="N6" s="24"/>
      <c r="O6" s="24"/>
      <c r="P6" s="24"/>
      <c r="Q6" s="24"/>
    </row>
    <row r="7" spans="1:17" ht="15" customHeight="1" x14ac:dyDescent="0.25">
      <c r="A7" s="23" t="s">
        <v>8</v>
      </c>
      <c r="B7" s="26" t="s">
        <v>4</v>
      </c>
      <c r="C7" s="23">
        <v>652566.7699157265</v>
      </c>
      <c r="D7" s="23">
        <v>654297.80497823202</v>
      </c>
      <c r="E7" s="23">
        <v>655941.5185512543</v>
      </c>
      <c r="F7" s="23">
        <v>631905.28155984322</v>
      </c>
      <c r="G7" s="23">
        <v>618847.81243340939</v>
      </c>
      <c r="H7" s="18">
        <v>618000</v>
      </c>
      <c r="I7" s="18"/>
      <c r="M7" s="24"/>
      <c r="N7" s="24"/>
      <c r="O7" s="24"/>
      <c r="P7" s="24"/>
      <c r="Q7" s="24"/>
    </row>
    <row r="8" spans="1:17" ht="15" customHeight="1" x14ac:dyDescent="0.25">
      <c r="A8" s="23" t="s">
        <v>9</v>
      </c>
      <c r="B8" s="26" t="s">
        <v>4</v>
      </c>
      <c r="C8" s="23">
        <v>289500</v>
      </c>
      <c r="D8" s="23">
        <v>274600</v>
      </c>
      <c r="E8" s="23">
        <v>270000</v>
      </c>
      <c r="F8" s="23">
        <v>280200</v>
      </c>
      <c r="G8" s="23">
        <v>241100</v>
      </c>
      <c r="H8" s="19">
        <v>265700</v>
      </c>
      <c r="I8" s="19">
        <v>268500</v>
      </c>
    </row>
    <row r="9" spans="1:17" ht="15" customHeight="1" x14ac:dyDescent="0.25"/>
    <row r="10" spans="1:17" ht="15" customHeight="1" x14ac:dyDescent="0.25">
      <c r="A10" s="6" t="s">
        <v>6</v>
      </c>
      <c r="B10" s="4" t="s">
        <v>2</v>
      </c>
      <c r="C10" s="5">
        <v>2015</v>
      </c>
      <c r="D10" s="5">
        <v>2016</v>
      </c>
      <c r="E10" s="5">
        <v>2017</v>
      </c>
      <c r="F10" s="5">
        <v>2018</v>
      </c>
      <c r="G10" s="5">
        <v>2019</v>
      </c>
      <c r="H10" s="5">
        <v>2020</v>
      </c>
      <c r="I10" s="5">
        <v>2021</v>
      </c>
    </row>
    <row r="11" spans="1:17" ht="15" customHeight="1" x14ac:dyDescent="0.25">
      <c r="A11" s="26" t="s">
        <v>3</v>
      </c>
      <c r="B11" s="26" t="s">
        <v>4</v>
      </c>
      <c r="C11" s="23">
        <f t="shared" ref="C11:H11" si="1">SUM(C12:C19)</f>
        <v>1852173.2603319916</v>
      </c>
      <c r="D11" s="23">
        <f t="shared" si="1"/>
        <v>1827497.9452542877</v>
      </c>
      <c r="E11" s="23">
        <f t="shared" si="1"/>
        <v>1870516.2136826506</v>
      </c>
      <c r="F11" s="23">
        <f t="shared" si="1"/>
        <v>1912881.1387623276</v>
      </c>
      <c r="G11" s="23">
        <f t="shared" si="1"/>
        <v>1854913.2341564752</v>
      </c>
      <c r="H11" s="17">
        <f t="shared" si="1"/>
        <v>1575500</v>
      </c>
      <c r="I11" s="17"/>
      <c r="K11" s="497" t="s">
        <v>5</v>
      </c>
      <c r="M11" s="24"/>
      <c r="N11" s="24"/>
      <c r="O11" s="24"/>
      <c r="P11" s="24"/>
      <c r="Q11" s="24"/>
    </row>
    <row r="12" spans="1:17" ht="15" customHeight="1" x14ac:dyDescent="0.25">
      <c r="A12" s="25" t="s">
        <v>10</v>
      </c>
      <c r="B12" s="26" t="s">
        <v>4</v>
      </c>
      <c r="C12" s="23">
        <v>624190.13463029347</v>
      </c>
      <c r="D12" s="23">
        <v>521497.72702248802</v>
      </c>
      <c r="E12" s="23">
        <v>534065.72982284508</v>
      </c>
      <c r="F12" s="23">
        <v>551731.62428879994</v>
      </c>
      <c r="G12" s="23">
        <v>522179.89003508026</v>
      </c>
      <c r="H12" s="17">
        <v>509500</v>
      </c>
      <c r="I12" s="17">
        <v>574200</v>
      </c>
      <c r="L12">
        <v>1824</v>
      </c>
      <c r="M12" s="24">
        <v>1793</v>
      </c>
      <c r="N12" s="24">
        <v>1837</v>
      </c>
      <c r="O12" s="24">
        <v>1877</v>
      </c>
      <c r="P12" s="24">
        <v>1817</v>
      </c>
      <c r="Q12" s="24"/>
    </row>
    <row r="13" spans="1:17" ht="15" customHeight="1" x14ac:dyDescent="0.25">
      <c r="A13" s="25" t="s">
        <v>11</v>
      </c>
      <c r="B13" s="26" t="s">
        <v>4</v>
      </c>
      <c r="C13" s="23">
        <v>820387.12813915114</v>
      </c>
      <c r="D13" s="23">
        <v>895309.07609811472</v>
      </c>
      <c r="E13" s="23">
        <v>945294.05658036924</v>
      </c>
      <c r="F13" s="23">
        <v>971426.24849384336</v>
      </c>
      <c r="G13" s="23">
        <v>951992.76835349039</v>
      </c>
      <c r="H13" s="17">
        <v>887000</v>
      </c>
      <c r="I13" s="17"/>
      <c r="L13" s="23">
        <f>(L12*1000)-C12-C13-C16-C18</f>
        <v>94153.99453122195</v>
      </c>
      <c r="M13" s="23">
        <f>(M12*1000)-D12-D13-D16-D18</f>
        <v>87123.448674195883</v>
      </c>
      <c r="N13" s="23">
        <f>(N12*1000)-E12-E13-E16-E18</f>
        <v>67785.244001684681</v>
      </c>
      <c r="O13" s="23">
        <f>(O12*1000)-F12-F13-F16-F18</f>
        <v>82518.607092431281</v>
      </c>
      <c r="P13" s="23">
        <f>(P12*1000)-G12-G13-G16-G18</f>
        <v>87982.576993251976</v>
      </c>
      <c r="Q13" s="24"/>
    </row>
    <row r="14" spans="1:17" ht="15" customHeight="1" x14ac:dyDescent="0.25">
      <c r="A14" s="27" t="s">
        <v>12</v>
      </c>
      <c r="B14" s="26" t="s">
        <v>4</v>
      </c>
      <c r="C14" s="23">
        <v>20615.904741416667</v>
      </c>
      <c r="D14" s="23">
        <v>22766.787739216667</v>
      </c>
      <c r="E14" s="23">
        <v>23154.047704150002</v>
      </c>
      <c r="F14" s="23">
        <v>24792.599279666669</v>
      </c>
      <c r="G14" s="23">
        <v>27992.335099027729</v>
      </c>
      <c r="H14" s="18"/>
      <c r="I14" s="18"/>
      <c r="Q14" s="24"/>
    </row>
    <row r="15" spans="1:17" ht="15" customHeight="1" x14ac:dyDescent="0.25">
      <c r="A15" s="23" t="s">
        <v>13</v>
      </c>
      <c r="B15" s="26" t="s">
        <v>4</v>
      </c>
      <c r="C15" s="23">
        <v>26795.179173066663</v>
      </c>
      <c r="D15" s="23">
        <v>27989.207723400003</v>
      </c>
      <c r="E15" s="23">
        <v>31916.375174516532</v>
      </c>
      <c r="F15" s="23">
        <v>43775.5505596</v>
      </c>
      <c r="G15" s="23">
        <v>53539.299770753183</v>
      </c>
      <c r="H15" s="19"/>
      <c r="I15" s="19"/>
      <c r="K15" s="23"/>
      <c r="L15" s="24"/>
      <c r="M15" s="24"/>
      <c r="N15" s="24"/>
      <c r="O15" s="24"/>
      <c r="P15" s="24"/>
    </row>
    <row r="16" spans="1:17" ht="15" customHeight="1" x14ac:dyDescent="0.25">
      <c r="A16" s="25" t="s">
        <v>14</v>
      </c>
      <c r="B16" s="26" t="s">
        <v>4</v>
      </c>
      <c r="C16" s="23">
        <v>118189.24269933332</v>
      </c>
      <c r="D16" s="23">
        <v>137265.13989979564</v>
      </c>
      <c r="E16" s="23">
        <v>140755.96959510088</v>
      </c>
      <c r="F16" s="23">
        <v>112341.52012492543</v>
      </c>
      <c r="G16" s="23">
        <v>88603.151099229246</v>
      </c>
      <c r="H16" s="19"/>
      <c r="I16" s="19"/>
      <c r="L16" s="24">
        <f>G12+G15</f>
        <v>575719.18980583339</v>
      </c>
      <c r="M16" s="24"/>
      <c r="N16" s="24"/>
      <c r="O16" s="24"/>
      <c r="P16" s="24"/>
    </row>
    <row r="17" spans="1:17" ht="15" customHeight="1" x14ac:dyDescent="0.25">
      <c r="A17" s="23" t="s">
        <v>15</v>
      </c>
      <c r="B17" s="26" t="s">
        <v>4</v>
      </c>
      <c r="C17" s="23">
        <v>66078.679095417174</v>
      </c>
      <c r="D17" s="23">
        <v>62549.16775127103</v>
      </c>
      <c r="E17" s="23">
        <v>33581.209616268323</v>
      </c>
      <c r="F17" s="23">
        <v>40300.868612269565</v>
      </c>
      <c r="G17" s="23">
        <v>33677.665180739379</v>
      </c>
      <c r="H17" s="19"/>
      <c r="I17" s="19"/>
      <c r="L17" s="24">
        <f>SUM(G14:G17)+G19-G15</f>
        <v>160959.66247820298</v>
      </c>
      <c r="M17" s="24"/>
      <c r="N17" s="24"/>
      <c r="O17" s="24"/>
      <c r="P17" s="24"/>
    </row>
    <row r="18" spans="1:17" ht="15" customHeight="1" x14ac:dyDescent="0.25">
      <c r="A18" s="25" t="s">
        <v>16</v>
      </c>
      <c r="B18" s="26" t="s">
        <v>4</v>
      </c>
      <c r="C18" s="23">
        <v>167079.5</v>
      </c>
      <c r="D18" s="23">
        <v>151804.60830540562</v>
      </c>
      <c r="E18" s="23">
        <v>149099</v>
      </c>
      <c r="F18" s="23">
        <v>158982</v>
      </c>
      <c r="G18" s="23">
        <v>166241.61351894814</v>
      </c>
      <c r="H18" s="19">
        <v>179000</v>
      </c>
      <c r="I18" s="19"/>
      <c r="L18" s="24"/>
      <c r="M18" s="24">
        <f>13519-9010</f>
        <v>4509</v>
      </c>
      <c r="N18" s="24"/>
      <c r="O18" s="24"/>
      <c r="P18" s="24"/>
    </row>
    <row r="19" spans="1:17" ht="15" customHeight="1" x14ac:dyDescent="0.25">
      <c r="A19" s="23" t="s">
        <v>17</v>
      </c>
      <c r="B19" s="26" t="s">
        <v>4</v>
      </c>
      <c r="C19" s="23">
        <v>8837.4918533129403</v>
      </c>
      <c r="D19" s="23">
        <v>8316.2307145958039</v>
      </c>
      <c r="E19" s="23">
        <v>12649.825189400417</v>
      </c>
      <c r="F19" s="23">
        <v>9530.7274032222722</v>
      </c>
      <c r="G19" s="23">
        <v>10686.511099206655</v>
      </c>
      <c r="H19" s="19"/>
      <c r="I19" s="19"/>
      <c r="L19" s="24"/>
      <c r="M19" s="24"/>
      <c r="N19" s="24"/>
      <c r="O19" s="24"/>
      <c r="P19" s="24"/>
    </row>
    <row r="20" spans="1:17" ht="15" customHeight="1" x14ac:dyDescent="0.25">
      <c r="A20" s="23"/>
      <c r="B20" s="26"/>
      <c r="C20" s="23"/>
      <c r="D20" s="23"/>
      <c r="E20" s="23"/>
      <c r="F20" s="23"/>
      <c r="G20" s="23"/>
      <c r="H20" s="19"/>
      <c r="I20" s="19"/>
      <c r="L20" s="24"/>
      <c r="M20" s="24"/>
      <c r="N20" s="24"/>
      <c r="O20" s="24"/>
      <c r="P20" s="24"/>
    </row>
    <row r="21" spans="1:17" ht="24.75" customHeight="1" x14ac:dyDescent="0.25">
      <c r="A21" s="6" t="s">
        <v>18</v>
      </c>
      <c r="B21" s="4" t="s">
        <v>2</v>
      </c>
      <c r="C21" s="5">
        <v>2015</v>
      </c>
      <c r="D21" s="5">
        <v>2016</v>
      </c>
      <c r="E21" s="5">
        <v>2017</v>
      </c>
      <c r="F21" s="5">
        <v>2018</v>
      </c>
      <c r="G21" s="5">
        <v>2019</v>
      </c>
      <c r="H21" s="5">
        <v>2020</v>
      </c>
      <c r="I21" s="5">
        <v>2021</v>
      </c>
    </row>
    <row r="22" spans="1:17" ht="15" customHeight="1" x14ac:dyDescent="0.25">
      <c r="A22" s="26" t="s">
        <v>3</v>
      </c>
      <c r="B22" s="26" t="s">
        <v>4</v>
      </c>
      <c r="C22" s="23">
        <f>SUM(C23:C25)</f>
        <v>4763990.6767338291</v>
      </c>
      <c r="D22" s="23">
        <f>SUM(D23:D25)</f>
        <v>4716621.3359553125</v>
      </c>
      <c r="E22" s="23">
        <f>SUM(E23:E25)</f>
        <v>4795414.4242398404</v>
      </c>
      <c r="F22" s="23">
        <f>SUM(F23:F25)</f>
        <v>4822179.6107744761</v>
      </c>
      <c r="G22" s="23">
        <f>SUM(G23:G25)</f>
        <v>4722345.8912667092</v>
      </c>
      <c r="H22" s="17"/>
      <c r="I22" s="17"/>
      <c r="K22" t="s">
        <v>5</v>
      </c>
      <c r="M22" s="24"/>
      <c r="N22" s="24"/>
      <c r="O22" s="24"/>
      <c r="P22" s="24"/>
      <c r="Q22" s="24"/>
    </row>
    <row r="23" spans="1:17" ht="15" customHeight="1" x14ac:dyDescent="0.25">
      <c r="A23" s="23" t="s">
        <v>6</v>
      </c>
      <c r="B23" s="26" t="s">
        <v>4</v>
      </c>
      <c r="C23" s="23">
        <v>20441.658636666667</v>
      </c>
      <c r="D23" s="23">
        <v>22574.404196666666</v>
      </c>
      <c r="E23" s="23">
        <v>22958.457610000001</v>
      </c>
      <c r="F23" s="23">
        <v>24583.191306666668</v>
      </c>
      <c r="G23" s="23">
        <v>27755.915457878669</v>
      </c>
      <c r="H23" s="17"/>
      <c r="I23" s="17"/>
      <c r="L23">
        <v>194</v>
      </c>
      <c r="M23">
        <v>218</v>
      </c>
      <c r="N23">
        <v>203</v>
      </c>
      <c r="O23">
        <v>180</v>
      </c>
      <c r="P23">
        <v>223</v>
      </c>
      <c r="Q23" s="24"/>
    </row>
    <row r="24" spans="1:17" ht="15" customHeight="1" x14ac:dyDescent="0.25">
      <c r="A24" s="23" t="s">
        <v>7</v>
      </c>
      <c r="B24" s="26" t="s">
        <v>4</v>
      </c>
      <c r="C24" s="23">
        <v>1812040.9400834837</v>
      </c>
      <c r="D24" s="23">
        <v>1780964.5254350891</v>
      </c>
      <c r="E24" s="23">
        <v>1831668.6219580765</v>
      </c>
      <c r="F24" s="23">
        <v>1854685.1967106909</v>
      </c>
      <c r="G24" s="23">
        <v>1812706.9999999998</v>
      </c>
      <c r="H24" s="17"/>
      <c r="I24" s="17"/>
      <c r="L24" s="23">
        <f>(L23*1000)-C57</f>
        <v>14338.40394905844</v>
      </c>
      <c r="M24" s="23">
        <f>(M23*1000)-D57</f>
        <v>14118.638908066612</v>
      </c>
      <c r="N24" s="23">
        <f>(N23*1000)-E57</f>
        <v>14094.933872665104</v>
      </c>
      <c r="O24" s="23">
        <f>(O23*1000)-F57</f>
        <v>16501.028149503778</v>
      </c>
      <c r="P24" s="23">
        <f>(P23*1000)-G57</f>
        <v>15662.497691759374</v>
      </c>
      <c r="Q24" s="24"/>
    </row>
    <row r="25" spans="1:17" ht="15" customHeight="1" x14ac:dyDescent="0.25">
      <c r="A25" s="23" t="s">
        <v>8</v>
      </c>
      <c r="B25" s="26" t="s">
        <v>4</v>
      </c>
      <c r="C25" s="23">
        <v>2931508.0780136785</v>
      </c>
      <c r="D25" s="23">
        <v>2913082.4063235563</v>
      </c>
      <c r="E25" s="23">
        <v>2940787.3446717639</v>
      </c>
      <c r="F25" s="23">
        <v>2942911.2227571183</v>
      </c>
      <c r="G25" s="23">
        <v>2881882.9758088305</v>
      </c>
      <c r="H25" s="18"/>
      <c r="I25" s="18"/>
      <c r="M25" s="24"/>
      <c r="N25" s="24"/>
      <c r="O25" s="24"/>
      <c r="P25" s="24"/>
      <c r="Q25" s="24"/>
    </row>
    <row r="26" spans="1:17" ht="15" customHeight="1" x14ac:dyDescent="0.25">
      <c r="L26" s="24"/>
      <c r="M26" s="24"/>
      <c r="N26" s="24"/>
      <c r="O26" s="24"/>
      <c r="P26" s="24"/>
    </row>
    <row r="27" spans="1:17" ht="15" customHeight="1" x14ac:dyDescent="0.25">
      <c r="A27" s="6" t="s">
        <v>19</v>
      </c>
      <c r="B27" s="4" t="s">
        <v>2</v>
      </c>
      <c r="C27" s="5">
        <v>2015</v>
      </c>
      <c r="D27" s="5">
        <v>2016</v>
      </c>
      <c r="E27" s="5">
        <v>2017</v>
      </c>
      <c r="F27" s="5">
        <v>2018</v>
      </c>
      <c r="G27" s="5">
        <v>2019</v>
      </c>
      <c r="H27" s="5">
        <v>2020</v>
      </c>
      <c r="I27" s="5">
        <v>2021</v>
      </c>
    </row>
    <row r="28" spans="1:17" ht="15" customHeight="1" x14ac:dyDescent="0.25">
      <c r="A28" s="26" t="s">
        <v>3</v>
      </c>
      <c r="B28" s="26" t="s">
        <v>4</v>
      </c>
      <c r="C28" s="23">
        <f>SUM(C29:C34)</f>
        <v>1998359.9071267762</v>
      </c>
      <c r="D28" s="23">
        <f>SUM(D29:D34)</f>
        <v>1986578.5495812562</v>
      </c>
      <c r="E28" s="23">
        <f>SUM(E29:E34)</f>
        <v>2024053.8991116346</v>
      </c>
      <c r="F28" s="23">
        <f>SUM(F29:F34)</f>
        <v>2022534.9274018388</v>
      </c>
      <c r="G28" s="23">
        <f>SUM(G29:G34)</f>
        <v>2024369.7415438371</v>
      </c>
      <c r="H28" s="17"/>
      <c r="I28" s="17"/>
      <c r="K28" t="s">
        <v>5</v>
      </c>
      <c r="M28" s="24"/>
      <c r="N28" s="24"/>
      <c r="O28" s="24"/>
      <c r="P28" s="24"/>
      <c r="Q28" s="24"/>
    </row>
    <row r="29" spans="1:17" ht="15" customHeight="1" x14ac:dyDescent="0.25">
      <c r="A29" s="23" t="s">
        <v>20</v>
      </c>
      <c r="B29" s="26" t="s">
        <v>4</v>
      </c>
      <c r="C29" s="23">
        <v>716.54013156000008</v>
      </c>
      <c r="D29" s="23">
        <v>773.97152472000005</v>
      </c>
      <c r="E29" s="23">
        <v>902.32273404000011</v>
      </c>
      <c r="F29" s="23">
        <v>905.21219079999992</v>
      </c>
      <c r="G29" s="23">
        <v>956.99099012000011</v>
      </c>
      <c r="H29" s="17"/>
      <c r="I29" s="17"/>
      <c r="M29" s="24"/>
      <c r="N29" s="24"/>
      <c r="O29" s="24"/>
      <c r="P29" s="24"/>
      <c r="Q29" s="24"/>
    </row>
    <row r="30" spans="1:17" ht="15" customHeight="1" x14ac:dyDescent="0.25">
      <c r="A30" s="23" t="s">
        <v>21</v>
      </c>
      <c r="B30" s="26" t="s">
        <v>4</v>
      </c>
      <c r="C30" s="23">
        <v>0</v>
      </c>
      <c r="D30" s="23">
        <v>0</v>
      </c>
      <c r="E30" s="23">
        <v>0</v>
      </c>
      <c r="F30" s="23">
        <v>0</v>
      </c>
      <c r="G30" s="23">
        <v>0</v>
      </c>
      <c r="H30" s="17"/>
      <c r="I30" s="17"/>
      <c r="L30" s="24"/>
      <c r="M30" s="24"/>
      <c r="N30" s="24"/>
      <c r="O30" s="24"/>
      <c r="P30" s="24"/>
      <c r="Q30" s="24"/>
    </row>
    <row r="31" spans="1:17" ht="15" customHeight="1" x14ac:dyDescent="0.25">
      <c r="A31" s="23" t="s">
        <v>22</v>
      </c>
      <c r="B31" s="26" t="s">
        <v>4</v>
      </c>
      <c r="C31" s="23">
        <v>1807454.3303151615</v>
      </c>
      <c r="D31" s="23">
        <v>1772144.3406546167</v>
      </c>
      <c r="E31" s="23">
        <v>1823880.9574118794</v>
      </c>
      <c r="F31" s="23">
        <v>1845663.8814134931</v>
      </c>
      <c r="G31" s="23">
        <v>1805668.4014232741</v>
      </c>
      <c r="H31" s="18"/>
      <c r="I31" s="18"/>
    </row>
    <row r="32" spans="1:17" ht="15" customHeight="1" x14ac:dyDescent="0.25">
      <c r="A32" s="23" t="s">
        <v>23</v>
      </c>
      <c r="B32" s="26" t="s">
        <v>4</v>
      </c>
      <c r="C32" s="23">
        <v>5673.5727014029844</v>
      </c>
      <c r="D32" s="23">
        <v>5757.3938904590332</v>
      </c>
      <c r="E32" s="23">
        <v>5574.7994899601972</v>
      </c>
      <c r="F32" s="23">
        <v>6195.7835853715542</v>
      </c>
      <c r="G32" s="23">
        <v>5552.8913043874636</v>
      </c>
      <c r="H32" s="19"/>
      <c r="I32" s="19"/>
      <c r="L32" s="23">
        <f>F29+F32+F34</f>
        <v>13372.074137849555</v>
      </c>
      <c r="M32" s="23">
        <f>G29+G32+G34</f>
        <v>11363.837812322461</v>
      </c>
    </row>
    <row r="33" spans="1:17" ht="15" customHeight="1" x14ac:dyDescent="0.25">
      <c r="A33" s="25" t="s">
        <v>24</v>
      </c>
      <c r="B33" s="26" t="s">
        <v>4</v>
      </c>
      <c r="C33" s="23">
        <v>179661.59605094156</v>
      </c>
      <c r="D33" s="23">
        <v>203881.36109193339</v>
      </c>
      <c r="E33" s="23">
        <v>188905.0661273349</v>
      </c>
      <c r="F33" s="23">
        <v>163498.97185049622</v>
      </c>
      <c r="G33" s="23">
        <v>207337.50230824063</v>
      </c>
      <c r="H33" s="19"/>
      <c r="I33" s="19"/>
      <c r="L33" s="23"/>
    </row>
    <row r="34" spans="1:17" ht="15" customHeight="1" x14ac:dyDescent="0.25">
      <c r="A34" s="23" t="s">
        <v>25</v>
      </c>
      <c r="B34" s="26" t="s">
        <v>4</v>
      </c>
      <c r="C34" s="23">
        <v>4853.8679277100009</v>
      </c>
      <c r="D34" s="23">
        <v>4021.4824195269994</v>
      </c>
      <c r="E34" s="23">
        <v>4790.7533484200003</v>
      </c>
      <c r="F34" s="23">
        <v>6271.078361678</v>
      </c>
      <c r="G34" s="23">
        <v>4853.9555178149985</v>
      </c>
      <c r="H34" s="19"/>
      <c r="I34" s="19"/>
    </row>
    <row r="35" spans="1:17" ht="15" customHeight="1" x14ac:dyDescent="0.25"/>
    <row r="36" spans="1:17" ht="15" customHeight="1" x14ac:dyDescent="0.25">
      <c r="A36" s="6" t="s">
        <v>8</v>
      </c>
      <c r="B36" s="4" t="s">
        <v>2</v>
      </c>
      <c r="C36" s="5">
        <v>2015</v>
      </c>
      <c r="D36" s="5">
        <v>2016</v>
      </c>
      <c r="E36" s="5">
        <v>2017</v>
      </c>
      <c r="F36" s="5">
        <v>2018</v>
      </c>
      <c r="G36" s="5">
        <v>2019</v>
      </c>
      <c r="H36" s="5">
        <v>2020</v>
      </c>
      <c r="I36" s="5"/>
    </row>
    <row r="37" spans="1:17" ht="15" customHeight="1" x14ac:dyDescent="0.25">
      <c r="A37" s="26" t="s">
        <v>3</v>
      </c>
      <c r="B37" s="26" t="s">
        <v>4</v>
      </c>
      <c r="C37" s="23">
        <f t="shared" ref="C37:H37" si="2">SUM(C38:C41)</f>
        <v>652566.76991572639</v>
      </c>
      <c r="D37" s="23">
        <f t="shared" si="2"/>
        <v>654297.80497823202</v>
      </c>
      <c r="E37" s="23">
        <f t="shared" si="2"/>
        <v>655941.51855125418</v>
      </c>
      <c r="F37" s="23">
        <f t="shared" si="2"/>
        <v>631905.28155984334</v>
      </c>
      <c r="G37" s="23">
        <f t="shared" si="2"/>
        <v>618847.81243340939</v>
      </c>
      <c r="H37" s="17">
        <f t="shared" si="2"/>
        <v>618000</v>
      </c>
      <c r="I37" s="17"/>
      <c r="K37" s="114" t="s">
        <v>5</v>
      </c>
      <c r="M37" s="24"/>
      <c r="N37" s="24"/>
      <c r="O37" s="24"/>
      <c r="P37" s="24"/>
      <c r="Q37" s="24"/>
    </row>
    <row r="38" spans="1:17" ht="15" customHeight="1" x14ac:dyDescent="0.25">
      <c r="A38" s="25" t="s">
        <v>26</v>
      </c>
      <c r="B38" s="26" t="s">
        <v>4</v>
      </c>
      <c r="C38" s="23">
        <v>313841.41674597241</v>
      </c>
      <c r="D38" s="23">
        <v>318061.82815993711</v>
      </c>
      <c r="E38" s="23">
        <v>311008.70553855988</v>
      </c>
      <c r="F38" s="23">
        <v>301140.44393239036</v>
      </c>
      <c r="G38" s="23">
        <v>296707.11455164751</v>
      </c>
      <c r="H38" s="17">
        <v>291000</v>
      </c>
      <c r="I38" s="17"/>
      <c r="M38" s="24"/>
      <c r="N38" s="24"/>
      <c r="O38" s="24"/>
      <c r="P38" s="24"/>
      <c r="Q38" s="24"/>
    </row>
    <row r="39" spans="1:17" ht="15" customHeight="1" x14ac:dyDescent="0.25">
      <c r="A39" s="23" t="s">
        <v>27</v>
      </c>
      <c r="B39" s="26" t="s">
        <v>4</v>
      </c>
      <c r="C39" s="23">
        <v>77802.528260834253</v>
      </c>
      <c r="D39" s="23">
        <v>79189.008316949286</v>
      </c>
      <c r="E39" s="23">
        <v>78158.248288984032</v>
      </c>
      <c r="F39" s="23">
        <v>75781.792948553033</v>
      </c>
      <c r="G39" s="23">
        <v>73985.76584036625</v>
      </c>
      <c r="H39" s="17">
        <v>74000</v>
      </c>
      <c r="I39" s="17"/>
      <c r="L39" s="24"/>
      <c r="M39" s="24"/>
      <c r="N39" s="24"/>
      <c r="O39" s="24"/>
      <c r="P39" s="24"/>
      <c r="Q39" s="24"/>
    </row>
    <row r="40" spans="1:17" ht="15" customHeight="1" x14ac:dyDescent="0.25">
      <c r="A40" s="25" t="s">
        <v>28</v>
      </c>
      <c r="B40" s="26" t="s">
        <v>4</v>
      </c>
      <c r="C40" s="23">
        <v>257446.31120891974</v>
      </c>
      <c r="D40" s="23">
        <v>254138.0214346789</v>
      </c>
      <c r="E40" s="23">
        <v>264404.79512371024</v>
      </c>
      <c r="F40" s="23">
        <v>251788.71581223322</v>
      </c>
      <c r="G40" s="23">
        <v>242288.87697472898</v>
      </c>
      <c r="H40" s="18">
        <v>248000</v>
      </c>
      <c r="I40" s="18"/>
      <c r="L40" s="23">
        <f>G41+G39</f>
        <v>79851.820907032918</v>
      </c>
    </row>
    <row r="41" spans="1:17" ht="15" customHeight="1" x14ac:dyDescent="0.25">
      <c r="A41" s="23" t="s">
        <v>29</v>
      </c>
      <c r="B41" s="26" t="s">
        <v>4</v>
      </c>
      <c r="C41" s="23">
        <v>3476.5137</v>
      </c>
      <c r="D41" s="23">
        <v>2908.9470666666662</v>
      </c>
      <c r="E41" s="23">
        <v>2369.7695999999996</v>
      </c>
      <c r="F41" s="23">
        <v>3194.3288666666658</v>
      </c>
      <c r="G41" s="23">
        <v>5866.0550666666659</v>
      </c>
      <c r="H41" s="19">
        <v>5000</v>
      </c>
      <c r="I41" s="19"/>
    </row>
    <row r="42" spans="1:17" ht="15" customHeight="1" x14ac:dyDescent="0.25"/>
    <row r="43" spans="1:17" ht="15" customHeight="1" x14ac:dyDescent="0.25">
      <c r="A43" s="6" t="s">
        <v>9</v>
      </c>
      <c r="B43" s="4" t="s">
        <v>2</v>
      </c>
      <c r="C43" s="5">
        <v>2015</v>
      </c>
      <c r="D43" s="5">
        <v>2016</v>
      </c>
      <c r="E43" s="5">
        <v>2017</v>
      </c>
      <c r="F43" s="5">
        <v>2018</v>
      </c>
      <c r="G43" s="5">
        <v>2019</v>
      </c>
      <c r="H43" s="5">
        <v>2020</v>
      </c>
      <c r="I43" s="5"/>
    </row>
    <row r="44" spans="1:17" ht="15" customHeight="1" x14ac:dyDescent="0.25">
      <c r="A44" s="26" t="s">
        <v>3</v>
      </c>
      <c r="B44" s="26" t="s">
        <v>4</v>
      </c>
      <c r="C44" s="23">
        <f t="shared" ref="C44:H44" si="3">SUM(C45:C48)</f>
        <v>260890.73935933568</v>
      </c>
      <c r="D44" s="23">
        <f t="shared" si="3"/>
        <v>248247.03614153631</v>
      </c>
      <c r="E44" s="23">
        <f t="shared" si="3"/>
        <v>244902.7928943017</v>
      </c>
      <c r="F44" s="23">
        <f t="shared" si="3"/>
        <v>254858.26305046614</v>
      </c>
      <c r="G44" s="23">
        <f t="shared" si="3"/>
        <v>224215.10313298739</v>
      </c>
      <c r="H44" s="17">
        <f t="shared" si="3"/>
        <v>246000</v>
      </c>
      <c r="I44" s="17"/>
      <c r="K44" t="s">
        <v>5</v>
      </c>
      <c r="M44" s="24"/>
      <c r="N44" s="24"/>
      <c r="O44" s="24"/>
      <c r="P44" s="24"/>
      <c r="Q44" s="24"/>
    </row>
    <row r="45" spans="1:17" ht="15" customHeight="1" x14ac:dyDescent="0.25">
      <c r="A45" s="25" t="s">
        <v>30</v>
      </c>
      <c r="B45" s="26" t="s">
        <v>4</v>
      </c>
      <c r="C45" s="23">
        <v>200147.98023607081</v>
      </c>
      <c r="D45" s="23">
        <v>191971.50498230336</v>
      </c>
      <c r="E45" s="23">
        <v>184804.85083694773</v>
      </c>
      <c r="F45" s="23">
        <v>192831.75217185242</v>
      </c>
      <c r="G45" s="23">
        <v>162892.72538557593</v>
      </c>
      <c r="H45" s="17">
        <v>187000</v>
      </c>
      <c r="I45" s="17"/>
      <c r="M45" s="24"/>
      <c r="N45" s="24"/>
      <c r="O45" s="24"/>
      <c r="P45" s="24"/>
      <c r="Q45" s="24"/>
    </row>
    <row r="46" spans="1:17" ht="15" customHeight="1" x14ac:dyDescent="0.25">
      <c r="A46" s="23" t="s">
        <v>31</v>
      </c>
      <c r="B46" s="26" t="s">
        <v>4</v>
      </c>
      <c r="C46" s="23">
        <v>3653.6161280000006</v>
      </c>
      <c r="D46" s="23">
        <v>3912.2494208000003</v>
      </c>
      <c r="E46" s="23">
        <v>3722.8464025600006</v>
      </c>
      <c r="F46" s="23">
        <v>4117.4077516799998</v>
      </c>
      <c r="G46" s="23">
        <v>4093.3116101119999</v>
      </c>
      <c r="H46" s="17">
        <v>5000</v>
      </c>
      <c r="I46" s="17"/>
      <c r="L46" s="24"/>
      <c r="M46" s="24"/>
      <c r="N46" s="24"/>
      <c r="O46" s="24"/>
      <c r="P46" s="24"/>
      <c r="Q46" s="24"/>
    </row>
    <row r="47" spans="1:17" ht="15" customHeight="1" x14ac:dyDescent="0.25">
      <c r="A47" s="23" t="s">
        <v>32</v>
      </c>
      <c r="B47" s="26" t="s">
        <v>4</v>
      </c>
      <c r="C47" s="23">
        <v>7099.5091363881338</v>
      </c>
      <c r="D47" s="23">
        <v>7426.8464206791741</v>
      </c>
      <c r="E47" s="23">
        <v>7798.7273868057064</v>
      </c>
      <c r="F47" s="23">
        <v>6825.7945909720975</v>
      </c>
      <c r="G47" s="23">
        <v>9374.0210721608019</v>
      </c>
      <c r="H47" s="18">
        <v>6000</v>
      </c>
      <c r="I47" s="18"/>
    </row>
    <row r="48" spans="1:17" ht="15" customHeight="1" x14ac:dyDescent="0.25">
      <c r="A48" s="23" t="s">
        <v>33</v>
      </c>
      <c r="B48" s="26" t="s">
        <v>4</v>
      </c>
      <c r="C48" s="23">
        <v>49989.633858876747</v>
      </c>
      <c r="D48" s="23">
        <v>44936.435317753763</v>
      </c>
      <c r="E48" s="23">
        <v>48576.368267988255</v>
      </c>
      <c r="F48" s="23">
        <v>51083.308535961609</v>
      </c>
      <c r="G48" s="23">
        <v>47855.045065138656</v>
      </c>
      <c r="H48" s="19">
        <v>48000</v>
      </c>
      <c r="I48" s="19"/>
    </row>
    <row r="50" spans="1:9" x14ac:dyDescent="0.25">
      <c r="A50" s="6" t="s">
        <v>34</v>
      </c>
      <c r="B50" s="4" t="s">
        <v>2</v>
      </c>
      <c r="C50" s="5">
        <v>2015</v>
      </c>
      <c r="D50" s="5">
        <v>2016</v>
      </c>
      <c r="E50" s="5">
        <v>2017</v>
      </c>
      <c r="F50" s="5">
        <v>2018</v>
      </c>
      <c r="G50" s="5">
        <v>2019</v>
      </c>
      <c r="H50" s="5">
        <v>2020</v>
      </c>
      <c r="I50" s="5"/>
    </row>
    <row r="51" spans="1:9" x14ac:dyDescent="0.25">
      <c r="A51" s="26" t="s">
        <v>3</v>
      </c>
      <c r="B51" s="26" t="s">
        <v>4</v>
      </c>
      <c r="C51" s="23">
        <f t="shared" ref="C51:H51" si="4">SUM(C52:C62)</f>
        <v>2931457.509275062</v>
      </c>
      <c r="D51" s="23">
        <f t="shared" si="4"/>
        <v>2913544.8411197681</v>
      </c>
      <c r="E51" s="23">
        <f t="shared" si="4"/>
        <v>2940844.3114455556</v>
      </c>
      <c r="F51" s="23">
        <f t="shared" si="4"/>
        <v>2943763.5446103099</v>
      </c>
      <c r="G51" s="23">
        <f t="shared" si="4"/>
        <v>2883062.9155663969</v>
      </c>
      <c r="H51" s="17">
        <f t="shared" si="4"/>
        <v>2543147.0746850111</v>
      </c>
      <c r="I51" s="17"/>
    </row>
    <row r="52" spans="1:9" x14ac:dyDescent="0.25">
      <c r="A52" s="26" t="str">
        <f>A12</f>
        <v>Fiskiskip</v>
      </c>
      <c r="B52" s="26" t="s">
        <v>4</v>
      </c>
      <c r="C52" s="23">
        <f t="shared" ref="C52:G53" si="5">C12</f>
        <v>624190.13463029347</v>
      </c>
      <c r="D52" s="23">
        <f t="shared" si="5"/>
        <v>521497.72702248802</v>
      </c>
      <c r="E52" s="23">
        <f t="shared" si="5"/>
        <v>534065.72982284508</v>
      </c>
      <c r="F52" s="23">
        <f t="shared" si="5"/>
        <v>551731.62428879994</v>
      </c>
      <c r="G52" s="23">
        <f t="shared" si="5"/>
        <v>522179.89003508026</v>
      </c>
      <c r="H52" s="17">
        <f>H12</f>
        <v>509500</v>
      </c>
      <c r="I52" s="17"/>
    </row>
    <row r="53" spans="1:9" x14ac:dyDescent="0.25">
      <c r="A53" s="26" t="str">
        <f>A13</f>
        <v>Vegasamgöngur</v>
      </c>
      <c r="B53" s="26" t="s">
        <v>4</v>
      </c>
      <c r="C53" s="23">
        <f t="shared" si="5"/>
        <v>820387.12813915114</v>
      </c>
      <c r="D53" s="23">
        <f t="shared" si="5"/>
        <v>895309.07609811472</v>
      </c>
      <c r="E53" s="23">
        <f t="shared" si="5"/>
        <v>945294.05658036924</v>
      </c>
      <c r="F53" s="23">
        <f t="shared" si="5"/>
        <v>971426.24849384336</v>
      </c>
      <c r="G53" s="23">
        <f t="shared" si="5"/>
        <v>951992.76835349039</v>
      </c>
      <c r="H53" s="17">
        <f>H13</f>
        <v>887000</v>
      </c>
      <c r="I53" s="17"/>
    </row>
    <row r="54" spans="1:9" x14ac:dyDescent="0.25">
      <c r="A54" s="26" t="str">
        <f>A16</f>
        <v>Vélar og tæki</v>
      </c>
      <c r="B54" s="26" t="s">
        <v>4</v>
      </c>
      <c r="C54" s="23">
        <f t="shared" ref="C54:H54" si="6">C16</f>
        <v>118189.24269933332</v>
      </c>
      <c r="D54" s="23">
        <f t="shared" si="6"/>
        <v>137265.13989979564</v>
      </c>
      <c r="E54" s="23">
        <f t="shared" si="6"/>
        <v>140755.96959510088</v>
      </c>
      <c r="F54" s="23">
        <f t="shared" si="6"/>
        <v>112341.52012492543</v>
      </c>
      <c r="G54" s="23">
        <f t="shared" si="6"/>
        <v>88603.151099229246</v>
      </c>
      <c r="H54" s="17">
        <f t="shared" si="6"/>
        <v>0</v>
      </c>
      <c r="I54" s="17"/>
    </row>
    <row r="55" spans="1:9" x14ac:dyDescent="0.25">
      <c r="A55" s="26" t="str">
        <f>A18</f>
        <v>Jarðvarmavirkjanir</v>
      </c>
      <c r="B55" s="26" t="s">
        <v>4</v>
      </c>
      <c r="C55" s="23">
        <f t="shared" ref="C55:H55" si="7">C18</f>
        <v>167079.5</v>
      </c>
      <c r="D55" s="23">
        <f t="shared" si="7"/>
        <v>151804.60830540562</v>
      </c>
      <c r="E55" s="23">
        <f t="shared" si="7"/>
        <v>149099</v>
      </c>
      <c r="F55" s="23">
        <f t="shared" si="7"/>
        <v>158982</v>
      </c>
      <c r="G55" s="23">
        <f t="shared" si="7"/>
        <v>166241.61351894814</v>
      </c>
      <c r="H55" s="17">
        <f t="shared" si="7"/>
        <v>179000</v>
      </c>
      <c r="I55" s="17"/>
    </row>
    <row r="56" spans="1:9" x14ac:dyDescent="0.25">
      <c r="A56" s="26" t="s">
        <v>35</v>
      </c>
      <c r="B56" s="26" t="s">
        <v>4</v>
      </c>
      <c r="C56" s="23">
        <v>94153.99453122195</v>
      </c>
      <c r="D56" s="23">
        <v>87123.448674195883</v>
      </c>
      <c r="E56" s="23">
        <v>67785.244001684681</v>
      </c>
      <c r="F56" s="23">
        <v>82518.607092431281</v>
      </c>
      <c r="G56" s="23">
        <v>87982.576993251976</v>
      </c>
      <c r="H56" s="17">
        <v>87983.576993252005</v>
      </c>
      <c r="I56" s="17"/>
    </row>
    <row r="57" spans="1:9" x14ac:dyDescent="0.25">
      <c r="A57" s="26" t="str">
        <f>A33</f>
        <v>F-gös (m.a. kælimiðlar)</v>
      </c>
      <c r="B57" s="26" t="s">
        <v>4</v>
      </c>
      <c r="C57" s="23">
        <f t="shared" ref="C57:H57" si="8">C33</f>
        <v>179661.59605094156</v>
      </c>
      <c r="D57" s="23">
        <f t="shared" si="8"/>
        <v>203881.36109193339</v>
      </c>
      <c r="E57" s="23">
        <f t="shared" si="8"/>
        <v>188905.0661273349</v>
      </c>
      <c r="F57" s="23">
        <f t="shared" si="8"/>
        <v>163498.97185049622</v>
      </c>
      <c r="G57" s="23">
        <f t="shared" si="8"/>
        <v>207337.50230824063</v>
      </c>
      <c r="H57" s="17">
        <f t="shared" si="8"/>
        <v>0</v>
      </c>
      <c r="I57" s="17"/>
    </row>
    <row r="58" spans="1:9" x14ac:dyDescent="0.25">
      <c r="A58" s="26" t="s">
        <v>36</v>
      </c>
      <c r="B58" s="26" t="s">
        <v>4</v>
      </c>
      <c r="C58" s="23">
        <v>14338.40394905844</v>
      </c>
      <c r="D58" s="23">
        <v>14118.638908066612</v>
      </c>
      <c r="E58" s="23">
        <v>14094.933872665104</v>
      </c>
      <c r="F58" s="23">
        <v>16501.028149503778</v>
      </c>
      <c r="G58" s="23">
        <v>15662.497691759374</v>
      </c>
      <c r="H58" s="17">
        <v>15663.497691759399</v>
      </c>
      <c r="I58" s="17"/>
    </row>
    <row r="59" spans="1:9" x14ac:dyDescent="0.25">
      <c r="A59" s="26" t="str">
        <f>A38</f>
        <v>Iðragerjun</v>
      </c>
      <c r="B59" s="26" t="s">
        <v>4</v>
      </c>
      <c r="C59" s="23">
        <f t="shared" ref="C59:H59" si="9">C38</f>
        <v>313841.41674597241</v>
      </c>
      <c r="D59" s="23">
        <f t="shared" si="9"/>
        <v>318061.82815993711</v>
      </c>
      <c r="E59" s="23">
        <f t="shared" si="9"/>
        <v>311008.70553855988</v>
      </c>
      <c r="F59" s="23">
        <f t="shared" si="9"/>
        <v>301140.44393239036</v>
      </c>
      <c r="G59" s="23">
        <f t="shared" si="9"/>
        <v>296707.11455164751</v>
      </c>
      <c r="H59" s="17">
        <f t="shared" si="9"/>
        <v>291000</v>
      </c>
      <c r="I59" s="17"/>
    </row>
    <row r="60" spans="1:9" x14ac:dyDescent="0.25">
      <c r="A60" s="26" t="str">
        <f>A40</f>
        <v>Nytjajarðvegur</v>
      </c>
      <c r="B60" s="26" t="s">
        <v>4</v>
      </c>
      <c r="C60" s="23">
        <f t="shared" ref="C60:H60" si="10">C40</f>
        <v>257446.31120891974</v>
      </c>
      <c r="D60" s="23">
        <f t="shared" si="10"/>
        <v>254138.0214346789</v>
      </c>
      <c r="E60" s="23">
        <f t="shared" si="10"/>
        <v>264404.79512371024</v>
      </c>
      <c r="F60" s="23">
        <f t="shared" si="10"/>
        <v>251788.71581223322</v>
      </c>
      <c r="G60" s="23">
        <f t="shared" si="10"/>
        <v>242288.87697472898</v>
      </c>
      <c r="H60" s="17">
        <f t="shared" si="10"/>
        <v>248000</v>
      </c>
      <c r="I60" s="17"/>
    </row>
    <row r="61" spans="1:9" x14ac:dyDescent="0.25">
      <c r="A61" s="26" t="str">
        <f>A45</f>
        <v>Urðun úrgangs</v>
      </c>
      <c r="B61" s="26" t="s">
        <v>4</v>
      </c>
      <c r="C61" s="23">
        <f t="shared" ref="C61:H61" si="11">C45</f>
        <v>200147.98023607081</v>
      </c>
      <c r="D61" s="23">
        <f t="shared" si="11"/>
        <v>191971.50498230336</v>
      </c>
      <c r="E61" s="23">
        <f t="shared" si="11"/>
        <v>184804.85083694773</v>
      </c>
      <c r="F61" s="23">
        <f t="shared" si="11"/>
        <v>192831.75217185242</v>
      </c>
      <c r="G61" s="23">
        <f t="shared" si="11"/>
        <v>162892.72538557593</v>
      </c>
      <c r="H61" s="17">
        <f t="shared" si="11"/>
        <v>187000</v>
      </c>
      <c r="I61" s="17"/>
    </row>
    <row r="62" spans="1:9" x14ac:dyDescent="0.25">
      <c r="A62" t="s">
        <v>17</v>
      </c>
      <c r="B62" s="26" t="s">
        <v>4</v>
      </c>
      <c r="C62" s="23">
        <f t="shared" ref="C62:H62" si="12">C48+C47+C46+C41+C39</f>
        <v>142021.80108409913</v>
      </c>
      <c r="D62" s="23">
        <f t="shared" si="12"/>
        <v>138373.4865428489</v>
      </c>
      <c r="E62" s="23">
        <f t="shared" si="12"/>
        <v>140625.959946338</v>
      </c>
      <c r="F62" s="23">
        <f t="shared" si="12"/>
        <v>141002.63269383341</v>
      </c>
      <c r="G62" s="23">
        <f t="shared" si="12"/>
        <v>141174.19865444436</v>
      </c>
      <c r="H62" s="17">
        <f t="shared" si="12"/>
        <v>138000</v>
      </c>
      <c r="I62" s="17"/>
    </row>
    <row r="64" spans="1:9" ht="24" x14ac:dyDescent="0.25">
      <c r="A64" s="6" t="s">
        <v>37</v>
      </c>
      <c r="B64" s="4" t="s">
        <v>2</v>
      </c>
      <c r="C64" s="5">
        <v>2015</v>
      </c>
      <c r="D64" s="5">
        <v>2016</v>
      </c>
      <c r="E64" s="5">
        <v>2017</v>
      </c>
      <c r="F64" s="5">
        <v>2018</v>
      </c>
      <c r="G64" s="5">
        <v>2019</v>
      </c>
      <c r="H64" s="5">
        <v>2020</v>
      </c>
      <c r="I64" s="5"/>
    </row>
    <row r="65" spans="1:9" x14ac:dyDescent="0.25">
      <c r="A65" s="26" t="s">
        <v>3</v>
      </c>
      <c r="B65" s="26" t="s">
        <v>4</v>
      </c>
      <c r="C65" s="23">
        <f>SUM(C66:C76)</f>
        <v>1812038.5541451485</v>
      </c>
      <c r="D65" s="23">
        <f>SUM(D66:D76)</f>
        <v>1780916.6888162368</v>
      </c>
      <c r="E65" s="23">
        <f>SUM(E66:E76)</f>
        <v>1831255.2153477697</v>
      </c>
      <c r="F65" s="23">
        <f>SUM(F66:F76)</f>
        <v>1854104.123553338</v>
      </c>
      <c r="G65" s="23">
        <f>SUM(G66:G76)</f>
        <v>1811822.5661452455</v>
      </c>
      <c r="H65" s="17"/>
      <c r="I65" s="17"/>
    </row>
    <row r="66" spans="1:9" x14ac:dyDescent="0.25">
      <c r="A66" s="26" t="s">
        <v>38</v>
      </c>
      <c r="B66" s="26" t="s">
        <v>4</v>
      </c>
      <c r="C66" s="23">
        <v>7877.342329986669</v>
      </c>
      <c r="D66" s="23">
        <v>12373.307299119999</v>
      </c>
      <c r="E66" s="23">
        <v>10500.173123390434</v>
      </c>
      <c r="F66" s="23">
        <v>11597.262139844523</v>
      </c>
      <c r="G66" s="23">
        <v>9973.4661452456712</v>
      </c>
      <c r="H66" s="17"/>
      <c r="I66" s="17"/>
    </row>
    <row r="67" spans="1:9" x14ac:dyDescent="0.25">
      <c r="A67" s="26" t="s">
        <v>39</v>
      </c>
      <c r="B67" s="26" t="s">
        <v>4</v>
      </c>
      <c r="C67" s="23">
        <v>400915.9615968545</v>
      </c>
      <c r="D67" s="23">
        <v>405165.45580981276</v>
      </c>
      <c r="E67" s="23">
        <v>428320.83524965425</v>
      </c>
      <c r="F67" s="23">
        <v>452243.36470046622</v>
      </c>
      <c r="G67" s="23">
        <v>428793</v>
      </c>
      <c r="H67" s="17"/>
      <c r="I67" s="17"/>
    </row>
    <row r="68" spans="1:9" x14ac:dyDescent="0.25">
      <c r="A68" s="26" t="s">
        <v>40</v>
      </c>
      <c r="B68" s="26" t="s">
        <v>4</v>
      </c>
      <c r="C68" s="23">
        <v>1403245.2502183074</v>
      </c>
      <c r="D68" s="23">
        <v>1363377.9257073039</v>
      </c>
      <c r="E68" s="23">
        <v>1392434.206974725</v>
      </c>
      <c r="F68" s="23">
        <v>1390263.4967130271</v>
      </c>
      <c r="G68" s="23">
        <v>1373056.0999999999</v>
      </c>
      <c r="H68" s="17"/>
      <c r="I68" s="17"/>
    </row>
    <row r="77" spans="1:9" ht="13.8" x14ac:dyDescent="0.25">
      <c r="A77" s="963" t="s">
        <v>41</v>
      </c>
      <c r="B77" s="964"/>
      <c r="C77" s="964"/>
      <c r="D77" s="964"/>
      <c r="E77" s="964"/>
      <c r="F77" s="964"/>
    </row>
    <row r="78" spans="1:9" ht="55.2" x14ac:dyDescent="0.25">
      <c r="A78" s="666" t="s">
        <v>42</v>
      </c>
      <c r="B78" s="666" t="s">
        <v>9</v>
      </c>
      <c r="C78" s="666" t="s">
        <v>8</v>
      </c>
      <c r="D78" s="666" t="s">
        <v>6</v>
      </c>
      <c r="E78" s="666" t="s">
        <v>43</v>
      </c>
      <c r="F78" s="666" t="s">
        <v>44</v>
      </c>
    </row>
    <row r="79" spans="1:9" ht="13.8" x14ac:dyDescent="0.3">
      <c r="A79" s="666">
        <v>1990</v>
      </c>
      <c r="B79" s="667" t="s">
        <v>45</v>
      </c>
      <c r="C79" s="667" t="s">
        <v>46</v>
      </c>
      <c r="D79" s="667" t="s">
        <v>47</v>
      </c>
      <c r="E79" s="667" t="s">
        <v>48</v>
      </c>
      <c r="F79" s="667" t="s">
        <v>49</v>
      </c>
    </row>
    <row r="80" spans="1:9" ht="13.8" x14ac:dyDescent="0.3">
      <c r="A80" s="666">
        <v>1991</v>
      </c>
      <c r="B80" s="667" t="s">
        <v>50</v>
      </c>
      <c r="C80" s="667" t="s">
        <v>51</v>
      </c>
      <c r="D80" s="668">
        <v>1755335107</v>
      </c>
      <c r="E80" s="667" t="s">
        <v>52</v>
      </c>
      <c r="F80" s="667" t="s">
        <v>53</v>
      </c>
    </row>
    <row r="81" spans="1:6" ht="13.8" x14ac:dyDescent="0.3">
      <c r="A81" s="666">
        <v>1992</v>
      </c>
      <c r="B81" s="667" t="s">
        <v>54</v>
      </c>
      <c r="C81" s="667" t="s">
        <v>55</v>
      </c>
      <c r="D81" s="668">
        <v>1899146133</v>
      </c>
      <c r="E81" s="667" t="s">
        <v>56</v>
      </c>
      <c r="F81" s="667" t="s">
        <v>57</v>
      </c>
    </row>
    <row r="82" spans="1:6" ht="13.8" x14ac:dyDescent="0.3">
      <c r="A82" s="666">
        <v>1993</v>
      </c>
      <c r="B82" s="667" t="s">
        <v>58</v>
      </c>
      <c r="C82" s="667" t="s">
        <v>59</v>
      </c>
      <c r="D82" s="667" t="s">
        <v>60</v>
      </c>
      <c r="E82" s="667" t="s">
        <v>61</v>
      </c>
      <c r="F82" s="667" t="s">
        <v>62</v>
      </c>
    </row>
    <row r="83" spans="1:6" ht="13.8" x14ac:dyDescent="0.3">
      <c r="A83" s="666">
        <v>1994</v>
      </c>
      <c r="B83" s="667" t="s">
        <v>63</v>
      </c>
      <c r="C83" s="667" t="s">
        <v>64</v>
      </c>
      <c r="D83" s="667" t="s">
        <v>65</v>
      </c>
      <c r="E83" s="667" t="s">
        <v>66</v>
      </c>
      <c r="F83" s="667" t="s">
        <v>67</v>
      </c>
    </row>
    <row r="84" spans="1:6" ht="13.8" x14ac:dyDescent="0.3">
      <c r="A84" s="666">
        <v>1995</v>
      </c>
      <c r="B84" s="667" t="s">
        <v>68</v>
      </c>
      <c r="C84" s="667" t="s">
        <v>69</v>
      </c>
      <c r="D84" s="667" t="s">
        <v>70</v>
      </c>
      <c r="E84" s="667" t="s">
        <v>71</v>
      </c>
      <c r="F84" s="667" t="s">
        <v>72</v>
      </c>
    </row>
    <row r="85" spans="1:6" ht="13.8" x14ac:dyDescent="0.3">
      <c r="A85" s="666">
        <v>1996</v>
      </c>
      <c r="B85" s="667" t="s">
        <v>73</v>
      </c>
      <c r="C85" s="667" t="s">
        <v>74</v>
      </c>
      <c r="D85" s="667" t="s">
        <v>75</v>
      </c>
      <c r="E85" s="667" t="s">
        <v>76</v>
      </c>
      <c r="F85" s="667" t="s">
        <v>77</v>
      </c>
    </row>
    <row r="86" spans="1:6" ht="13.8" x14ac:dyDescent="0.3">
      <c r="A86" s="666">
        <v>1997</v>
      </c>
      <c r="B86" s="667" t="s">
        <v>78</v>
      </c>
      <c r="C86" s="667" t="s">
        <v>79</v>
      </c>
      <c r="D86" s="667" t="s">
        <v>80</v>
      </c>
      <c r="E86" s="667" t="s">
        <v>81</v>
      </c>
      <c r="F86" s="667" t="s">
        <v>82</v>
      </c>
    </row>
    <row r="87" spans="1:6" ht="13.8" x14ac:dyDescent="0.3">
      <c r="A87" s="666">
        <v>1998</v>
      </c>
      <c r="B87" s="667" t="s">
        <v>83</v>
      </c>
      <c r="C87" s="667">
        <v>655</v>
      </c>
      <c r="D87" s="667" t="s">
        <v>84</v>
      </c>
      <c r="E87" s="667" t="s">
        <v>85</v>
      </c>
      <c r="F87" s="667" t="s">
        <v>86</v>
      </c>
    </row>
    <row r="88" spans="1:6" ht="13.8" x14ac:dyDescent="0.3">
      <c r="A88" s="666">
        <v>1999</v>
      </c>
      <c r="B88" s="667" t="s">
        <v>87</v>
      </c>
      <c r="C88" s="667" t="s">
        <v>88</v>
      </c>
      <c r="D88" s="667" t="s">
        <v>89</v>
      </c>
      <c r="E88" s="667" t="s">
        <v>90</v>
      </c>
      <c r="F88" s="667" t="s">
        <v>91</v>
      </c>
    </row>
    <row r="89" spans="1:6" ht="13.8" x14ac:dyDescent="0.3">
      <c r="A89" s="666">
        <v>2000</v>
      </c>
      <c r="B89" s="667" t="s">
        <v>92</v>
      </c>
      <c r="C89" s="667" t="s">
        <v>93</v>
      </c>
      <c r="D89" s="667" t="s">
        <v>94</v>
      </c>
      <c r="E89" s="667" t="s">
        <v>95</v>
      </c>
      <c r="F89" s="667" t="s">
        <v>96</v>
      </c>
    </row>
    <row r="90" spans="1:6" ht="13.8" x14ac:dyDescent="0.3">
      <c r="A90" s="666">
        <v>2001</v>
      </c>
      <c r="B90" s="667" t="s">
        <v>97</v>
      </c>
      <c r="C90" s="667" t="s">
        <v>98</v>
      </c>
      <c r="D90" s="667" t="s">
        <v>99</v>
      </c>
      <c r="E90" s="667" t="s">
        <v>100</v>
      </c>
      <c r="F90" s="667" t="s">
        <v>101</v>
      </c>
    </row>
    <row r="91" spans="1:6" ht="13.8" x14ac:dyDescent="0.3">
      <c r="A91" s="666">
        <v>2002</v>
      </c>
      <c r="B91" s="667" t="s">
        <v>102</v>
      </c>
      <c r="C91" s="667" t="s">
        <v>103</v>
      </c>
      <c r="D91" s="667" t="s">
        <v>104</v>
      </c>
      <c r="E91" s="667" t="s">
        <v>105</v>
      </c>
      <c r="F91" s="667" t="s">
        <v>106</v>
      </c>
    </row>
    <row r="92" spans="1:6" ht="13.8" x14ac:dyDescent="0.3">
      <c r="A92" s="666">
        <v>2003</v>
      </c>
      <c r="B92" s="667" t="s">
        <v>107</v>
      </c>
      <c r="C92" s="667" t="s">
        <v>108</v>
      </c>
      <c r="D92" s="667" t="s">
        <v>109</v>
      </c>
      <c r="E92" s="667" t="s">
        <v>110</v>
      </c>
      <c r="F92" s="667" t="s">
        <v>111</v>
      </c>
    </row>
    <row r="93" spans="1:6" ht="13.8" x14ac:dyDescent="0.3">
      <c r="A93" s="666">
        <v>2004</v>
      </c>
      <c r="B93" s="667" t="s">
        <v>112</v>
      </c>
      <c r="C93" s="667" t="s">
        <v>113</v>
      </c>
      <c r="D93" s="667" t="s">
        <v>114</v>
      </c>
      <c r="E93" s="667" t="s">
        <v>115</v>
      </c>
      <c r="F93" s="667" t="s">
        <v>116</v>
      </c>
    </row>
    <row r="94" spans="1:6" ht="13.8" x14ac:dyDescent="0.3">
      <c r="A94" s="666">
        <v>2005</v>
      </c>
      <c r="B94" s="667" t="s">
        <v>117</v>
      </c>
      <c r="C94" s="667" t="s">
        <v>118</v>
      </c>
      <c r="D94" s="667" t="s">
        <v>119</v>
      </c>
      <c r="E94" s="667" t="s">
        <v>120</v>
      </c>
      <c r="F94" s="667" t="s">
        <v>121</v>
      </c>
    </row>
    <row r="95" spans="1:6" ht="13.8" x14ac:dyDescent="0.3">
      <c r="A95" s="666">
        <v>2006</v>
      </c>
      <c r="B95" s="667" t="s">
        <v>122</v>
      </c>
      <c r="C95" s="667" t="s">
        <v>123</v>
      </c>
      <c r="D95" s="667" t="s">
        <v>124</v>
      </c>
      <c r="E95" s="667" t="s">
        <v>125</v>
      </c>
      <c r="F95" s="667" t="s">
        <v>126</v>
      </c>
    </row>
    <row r="96" spans="1:6" ht="13.8" x14ac:dyDescent="0.3">
      <c r="A96" s="666">
        <v>2007</v>
      </c>
      <c r="B96" s="667" t="s">
        <v>127</v>
      </c>
      <c r="C96" s="667" t="s">
        <v>128</v>
      </c>
      <c r="D96" s="667">
        <v>2363</v>
      </c>
      <c r="E96" s="667" t="s">
        <v>129</v>
      </c>
      <c r="F96" s="667" t="s">
        <v>130</v>
      </c>
    </row>
    <row r="97" spans="1:6" ht="13.8" x14ac:dyDescent="0.3">
      <c r="A97" s="666">
        <v>2008</v>
      </c>
      <c r="B97" s="667" t="s">
        <v>131</v>
      </c>
      <c r="C97" s="667" t="s">
        <v>132</v>
      </c>
      <c r="D97" s="667" t="s">
        <v>133</v>
      </c>
      <c r="E97" s="667" t="s">
        <v>134</v>
      </c>
      <c r="F97" s="667" t="s">
        <v>135</v>
      </c>
    </row>
    <row r="98" spans="1:6" ht="13.8" x14ac:dyDescent="0.3">
      <c r="A98" s="666">
        <v>2009</v>
      </c>
      <c r="B98" s="667" t="s">
        <v>136</v>
      </c>
      <c r="C98" s="667" t="s">
        <v>137</v>
      </c>
      <c r="D98" s="667">
        <v>2137</v>
      </c>
      <c r="E98" s="667" t="s">
        <v>138</v>
      </c>
      <c r="F98" s="667" t="s">
        <v>139</v>
      </c>
    </row>
    <row r="99" spans="1:6" ht="13.8" x14ac:dyDescent="0.3">
      <c r="A99" s="666">
        <v>2010</v>
      </c>
      <c r="B99" s="667" t="s">
        <v>140</v>
      </c>
      <c r="C99" s="667" t="s">
        <v>141</v>
      </c>
      <c r="D99" s="667" t="s">
        <v>142</v>
      </c>
      <c r="E99" s="667" t="s">
        <v>143</v>
      </c>
      <c r="F99" s="667" t="s">
        <v>144</v>
      </c>
    </row>
    <row r="100" spans="1:6" ht="13.8" x14ac:dyDescent="0.3">
      <c r="A100" s="666">
        <v>2011</v>
      </c>
      <c r="B100" s="667" t="s">
        <v>145</v>
      </c>
      <c r="C100" s="667" t="s">
        <v>146</v>
      </c>
      <c r="D100" s="667" t="s">
        <v>147</v>
      </c>
      <c r="E100" s="667" t="s">
        <v>148</v>
      </c>
      <c r="F100" s="667" t="s">
        <v>149</v>
      </c>
    </row>
    <row r="101" spans="1:6" ht="13.8" x14ac:dyDescent="0.3">
      <c r="A101" s="666">
        <v>2012</v>
      </c>
      <c r="B101" s="667" t="s">
        <v>150</v>
      </c>
      <c r="C101" s="667" t="s">
        <v>151</v>
      </c>
      <c r="D101" s="667" t="s">
        <v>152</v>
      </c>
      <c r="E101" s="667" t="s">
        <v>153</v>
      </c>
      <c r="F101" s="667" t="s">
        <v>154</v>
      </c>
    </row>
    <row r="102" spans="1:6" ht="13.8" x14ac:dyDescent="0.3">
      <c r="A102" s="666">
        <v>2013</v>
      </c>
      <c r="B102" s="667" t="s">
        <v>155</v>
      </c>
      <c r="C102" s="667" t="s">
        <v>156</v>
      </c>
      <c r="D102" s="667" t="s">
        <v>157</v>
      </c>
      <c r="E102" s="667" t="s">
        <v>158</v>
      </c>
      <c r="F102" s="667" t="s">
        <v>159</v>
      </c>
    </row>
    <row r="103" spans="1:6" ht="13.8" x14ac:dyDescent="0.3">
      <c r="A103" s="666">
        <v>2014</v>
      </c>
      <c r="B103" s="667" t="s">
        <v>160</v>
      </c>
      <c r="C103" s="667" t="s">
        <v>161</v>
      </c>
      <c r="D103" s="667" t="s">
        <v>162</v>
      </c>
      <c r="E103" s="667" t="s">
        <v>163</v>
      </c>
      <c r="F103" s="667" t="s">
        <v>164</v>
      </c>
    </row>
    <row r="104" spans="1:6" ht="13.8" x14ac:dyDescent="0.3">
      <c r="A104" s="666">
        <v>2015</v>
      </c>
      <c r="B104" s="667" t="s">
        <v>165</v>
      </c>
      <c r="C104" s="667" t="s">
        <v>166</v>
      </c>
      <c r="D104" s="667" t="s">
        <v>167</v>
      </c>
      <c r="E104" s="667" t="s">
        <v>168</v>
      </c>
      <c r="F104" s="667" t="s">
        <v>169</v>
      </c>
    </row>
    <row r="105" spans="1:6" ht="13.8" x14ac:dyDescent="0.3">
      <c r="A105" s="666">
        <v>2016</v>
      </c>
      <c r="B105" s="667" t="s">
        <v>170</v>
      </c>
      <c r="C105" s="667" t="s">
        <v>171</v>
      </c>
      <c r="D105" s="667" t="s">
        <v>172</v>
      </c>
      <c r="E105" s="667" t="s">
        <v>173</v>
      </c>
      <c r="F105" s="667" t="s">
        <v>174</v>
      </c>
    </row>
    <row r="106" spans="1:6" ht="13.8" x14ac:dyDescent="0.3">
      <c r="A106" s="666">
        <v>2017</v>
      </c>
      <c r="B106" s="667" t="s">
        <v>175</v>
      </c>
      <c r="C106" s="667" t="s">
        <v>176</v>
      </c>
      <c r="D106" s="667" t="s">
        <v>177</v>
      </c>
      <c r="E106" s="667" t="s">
        <v>178</v>
      </c>
      <c r="F106" s="667" t="s">
        <v>179</v>
      </c>
    </row>
    <row r="107" spans="1:6" ht="13.8" x14ac:dyDescent="0.3">
      <c r="A107" s="666">
        <v>2018</v>
      </c>
      <c r="B107" s="667" t="s">
        <v>180</v>
      </c>
      <c r="C107" s="667" t="s">
        <v>181</v>
      </c>
      <c r="D107" s="667" t="s">
        <v>182</v>
      </c>
      <c r="E107" s="667" t="s">
        <v>183</v>
      </c>
      <c r="F107" s="667" t="s">
        <v>184</v>
      </c>
    </row>
    <row r="108" spans="1:6" ht="13.8" x14ac:dyDescent="0.3">
      <c r="A108" s="666">
        <v>2019</v>
      </c>
      <c r="B108" s="667" t="s">
        <v>185</v>
      </c>
      <c r="C108" s="667" t="s">
        <v>186</v>
      </c>
      <c r="D108" s="667" t="s">
        <v>187</v>
      </c>
      <c r="E108" s="667" t="s">
        <v>188</v>
      </c>
      <c r="F108" s="667" t="s">
        <v>189</v>
      </c>
    </row>
    <row r="109" spans="1:6" ht="13.8" x14ac:dyDescent="0.3">
      <c r="A109" s="666">
        <v>2020</v>
      </c>
      <c r="B109" s="667" t="s">
        <v>190</v>
      </c>
      <c r="C109" s="667" t="s">
        <v>191</v>
      </c>
      <c r="D109" s="667" t="s">
        <v>192</v>
      </c>
      <c r="E109" s="667" t="s">
        <v>193</v>
      </c>
      <c r="F109" s="667" t="s">
        <v>194</v>
      </c>
    </row>
    <row r="110" spans="1:6" ht="13.8" x14ac:dyDescent="0.3">
      <c r="A110" s="666">
        <v>2021</v>
      </c>
      <c r="B110" s="667" t="s">
        <v>195</v>
      </c>
      <c r="C110" s="667" t="s">
        <v>196</v>
      </c>
      <c r="D110" s="668">
        <v>1764044</v>
      </c>
      <c r="E110" s="667" t="s">
        <v>197</v>
      </c>
      <c r="F110" s="667" t="s">
        <v>198</v>
      </c>
    </row>
    <row r="111" spans="1:6" ht="13.8" x14ac:dyDescent="0.3">
      <c r="A111" s="666">
        <v>2022</v>
      </c>
      <c r="B111" s="667" t="s">
        <v>199</v>
      </c>
      <c r="C111" s="667" t="s">
        <v>200</v>
      </c>
      <c r="D111" s="667" t="s">
        <v>201</v>
      </c>
      <c r="E111" s="667" t="s">
        <v>202</v>
      </c>
      <c r="F111" s="667" t="s">
        <v>203</v>
      </c>
    </row>
  </sheetData>
  <mergeCells count="1">
    <mergeCell ref="A77:F77"/>
  </mergeCells>
  <hyperlinks>
    <hyperlink ref="K11" r:id="rId1" xr:uid="{FB926730-30B5-4FCC-93A0-A0C4F7A3633C}"/>
    <hyperlink ref="K37" r:id="rId2" xr:uid="{CB3D904B-E2FF-43E2-8294-7E5C3C6E545E}"/>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6BA52-C874-41B4-B6E8-24A5306B3580}">
  <dimension ref="B4:AC101"/>
  <sheetViews>
    <sheetView showGridLines="0" tabSelected="1" topLeftCell="D19" zoomScale="60" zoomScaleNormal="85" workbookViewId="0">
      <selection activeCell="B65" sqref="B65"/>
    </sheetView>
  </sheetViews>
  <sheetFormatPr defaultColWidth="9.109375" defaultRowHeight="13.2" x14ac:dyDescent="0.25"/>
  <cols>
    <col min="1" max="1" width="1.6640625" style="224" customWidth="1"/>
    <col min="2" max="2" width="32.33203125" style="224" customWidth="1"/>
    <col min="3" max="3" width="16" style="224" customWidth="1"/>
    <col min="4" max="4" width="15" style="224" customWidth="1"/>
    <col min="5" max="5" width="11.44140625" style="224" customWidth="1"/>
    <col min="6" max="6" width="10.88671875" style="224" customWidth="1"/>
    <col min="7" max="7" width="16.109375" style="224" customWidth="1"/>
    <col min="8" max="8" width="21" style="224" customWidth="1"/>
    <col min="9" max="9" width="16.109375" style="224" customWidth="1"/>
    <col min="10" max="11" width="9.109375" style="224"/>
    <col min="12" max="12" width="10.109375" style="224" bestFit="1" customWidth="1"/>
    <col min="13" max="16384" width="9.109375" style="224"/>
  </cols>
  <sheetData>
    <row r="4" spans="2:28" ht="21" x14ac:dyDescent="0.4">
      <c r="B4"/>
      <c r="C4" s="481" t="s">
        <v>204</v>
      </c>
      <c r="D4" s="661">
        <v>2025</v>
      </c>
    </row>
    <row r="7" spans="2:28" x14ac:dyDescent="0.25">
      <c r="AB7"/>
    </row>
    <row r="9" spans="2:28" ht="18.600000000000001" x14ac:dyDescent="0.4">
      <c r="B9" s="225" t="s">
        <v>205</v>
      </c>
      <c r="C9" s="233" t="s">
        <v>206</v>
      </c>
    </row>
    <row r="10" spans="2:28" ht="13.8" thickBot="1" x14ac:dyDescent="0.3">
      <c r="C10" s="226" t="s">
        <v>207</v>
      </c>
      <c r="D10" s="226" t="s">
        <v>208</v>
      </c>
      <c r="E10" s="226" t="s">
        <v>209</v>
      </c>
      <c r="F10" s="226" t="s">
        <v>210</v>
      </c>
    </row>
    <row r="11" spans="2:28" ht="15" thickTop="1" thickBot="1" x14ac:dyDescent="0.3">
      <c r="B11" s="227" t="s">
        <v>211</v>
      </c>
      <c r="C11" s="228">
        <f>C12+C14+C15</f>
        <v>25196.680063489999</v>
      </c>
      <c r="D11" s="229">
        <f>C15</f>
        <v>10250.817279999999</v>
      </c>
      <c r="E11" s="229">
        <f>C11-C13-C15</f>
        <v>14705.370054438288</v>
      </c>
      <c r="F11" s="229">
        <f>C13</f>
        <v>240.49272905171307</v>
      </c>
    </row>
    <row r="12" spans="2:28" ht="13.8" thickTop="1" x14ac:dyDescent="0.25">
      <c r="B12" s="224" t="s">
        <v>212</v>
      </c>
      <c r="C12" s="229">
        <f>INDEX(Reykjavík!$A$2:$M$73,MATCH("Losun vegna raforku",Reykjavík!$A$2:$A$73,0),MATCH($D$4,Reykjavík!$A$3:$M$3,0))</f>
        <v>5728.28418349</v>
      </c>
    </row>
    <row r="13" spans="2:28" x14ac:dyDescent="0.25">
      <c r="B13" s="230" t="s">
        <v>213</v>
      </c>
      <c r="C13" s="229">
        <f>INDEX(Reykjavík!$A$2:$M$73,MATCH(" Þar af vegna dreifitapa",Reykjavík!$A$2:$A$73,0),MATCH($D$4,Reykjavík!$A$3:$M$3,0))</f>
        <v>240.49272905171307</v>
      </c>
    </row>
    <row r="14" spans="2:28" x14ac:dyDescent="0.25">
      <c r="B14" s="224" t="s">
        <v>214</v>
      </c>
      <c r="C14" s="229">
        <f>INDEX(Reykjavík!$A$2:$M$73,MATCH("Losun vegna hitaveitu",Reykjavík!$A$2:$A$73,0),MATCH($D$4,Reykjavík!$A$3:$M$3,0))</f>
        <v>9217.5785999999989</v>
      </c>
      <c r="G14" s="230"/>
    </row>
    <row r="15" spans="2:28" x14ac:dyDescent="0.25">
      <c r="B15" s="224" t="s">
        <v>215</v>
      </c>
      <c r="C15" s="229">
        <f>INDEX(Reykjavík!$A$115:$M$157,MATCH("byggingariðnaður - orka á verkstað",Reykjavík!$A$115:$A$157,0),MATCH($D$4,Reykjavík!$A$3:$M$3,0))</f>
        <v>10250.817279999999</v>
      </c>
      <c r="G15" s="230"/>
    </row>
    <row r="16" spans="2:28" ht="14.4" thickBot="1" x14ac:dyDescent="0.3">
      <c r="B16" s="227" t="s">
        <v>216</v>
      </c>
      <c r="C16" s="228">
        <f>C17+C18+C20</f>
        <v>319948.74774730793</v>
      </c>
      <c r="D16" s="229">
        <f>C16</f>
        <v>319948.74774730793</v>
      </c>
    </row>
    <row r="17" spans="2:29" ht="13.8" thickTop="1" x14ac:dyDescent="0.25">
      <c r="B17" s="224" t="s">
        <v>217</v>
      </c>
      <c r="C17" s="229">
        <f>INDEX(Reykjavík!$A$2:$M$73,MATCH("Losun vegna götuumferðar",Reykjavík!$A$2:$A$73,0),MATCH($D$4,Reykjavík!$A$3:$M$3,0))</f>
        <v>267348.79204361769</v>
      </c>
      <c r="AC17"/>
    </row>
    <row r="18" spans="2:29" x14ac:dyDescent="0.25">
      <c r="B18" s="224" t="s">
        <v>218</v>
      </c>
      <c r="C18" s="229">
        <f>INDEX(Reykjavík!$A$2:$M$73,MATCH("Losun vegna skipa",Reykjavík!$A$2:$A$73,0),MATCH($D$4,Reykjavík!$A$3:$M$3,0))</f>
        <v>48360</v>
      </c>
    </row>
    <row r="19" spans="2:29" x14ac:dyDescent="0.25">
      <c r="B19" s="224" t="s">
        <v>219</v>
      </c>
      <c r="C19" s="229">
        <f>INDEX(Reykjavík!$A$2:$M$73,MATCH(" Með Well to Tank",Reykjavík!$A$2:$A$73,0),MATCH($D$4,Reykjavík!$A$3:$M$3,0))</f>
        <v>59050</v>
      </c>
    </row>
    <row r="20" spans="2:29" x14ac:dyDescent="0.25">
      <c r="B20" s="224" t="s">
        <v>220</v>
      </c>
      <c r="C20" s="229">
        <f>INDEX(Reykjavík!$A$2:$M$73,MATCH("Losun vegna flugumferðar",Reykjavík!$A$2:$A$73,0),MATCH($D$4,Reykjavík!$A$3:$M$3,0))</f>
        <v>4239.9557036902197</v>
      </c>
    </row>
    <row r="21" spans="2:29" ht="14.4" thickBot="1" x14ac:dyDescent="0.3">
      <c r="B21" s="227" t="s">
        <v>221</v>
      </c>
      <c r="C21" s="228">
        <f>C23+C25+C27+C28+C29</f>
        <v>80736.348080587748</v>
      </c>
      <c r="D21" s="229">
        <f>C21-C28-C27</f>
        <v>53354.341154281967</v>
      </c>
      <c r="F21" s="229">
        <f>C28+C27</f>
        <v>27382.006926305781</v>
      </c>
    </row>
    <row r="22" spans="2:29" ht="13.8" thickTop="1" x14ac:dyDescent="0.25">
      <c r="B22" s="224" t="s">
        <v>222</v>
      </c>
      <c r="C22" s="229">
        <f>INDEX(Reykjavík!$A$2:$M$73,MATCH("Losun vegna urðunar",Reykjavík!$A$2:$A$73,0),MATCH($D$4,Reykjavík!$A$3:$M$3,0))</f>
        <v>85028.940418953818</v>
      </c>
    </row>
    <row r="23" spans="2:29" x14ac:dyDescent="0.25">
      <c r="B23" s="230" t="s">
        <v>223</v>
      </c>
      <c r="C23" s="229">
        <f>INDEX(Reykjavík!$A$2:$M$73,MATCH("urðun úrgangs reykjavíkur",Reykjavík!$A$2:$A$73,0),MATCH($D$4,Reykjavík!$A$3:$M$3,0))</f>
        <v>47435.151012526723</v>
      </c>
      <c r="E23" s="229"/>
    </row>
    <row r="24" spans="2:29" x14ac:dyDescent="0.25">
      <c r="B24" s="230" t="s">
        <v>224</v>
      </c>
      <c r="C24" s="229">
        <f>INDEX(Reykjavík!$A$2:$M$73,MATCH("losun vegna jarðgerðar",Reykjavík!$A$2:$A$73,0),MATCH($D$4,Reykjavík!$A$3:$M$3,0))</f>
        <v>4015.1789999999996</v>
      </c>
    </row>
    <row r="25" spans="2:29" x14ac:dyDescent="0.25">
      <c r="B25" s="230" t="s">
        <v>223</v>
      </c>
      <c r="C25" s="229">
        <f>INDEX(Reykjavík!$A$2:$M$73,MATCH("jarðgerð úrgangs reykjavíkur",Reykjavík!$A$2:$A$73,0),MATCH($D$4,Reykjavík!$A$3:$M$3,0))</f>
        <v>2239.9505541159301</v>
      </c>
    </row>
    <row r="26" spans="2:29" x14ac:dyDescent="0.25">
      <c r="B26" s="230" t="s">
        <v>225</v>
      </c>
      <c r="C26" s="229">
        <f>INDEX(Reykjavík!$A$2:$M$73,MATCH("Losun vegna brennslu erlendis",Reykjavík!$A$2:$A$73,0),MATCH($D$4,Reykjavík!$A$3:$M$3,0))</f>
        <v>70233.206950969936</v>
      </c>
    </row>
    <row r="27" spans="2:29" x14ac:dyDescent="0.25">
      <c r="B27" s="230" t="s">
        <v>223</v>
      </c>
      <c r="C27" s="229">
        <f>INDEX(Reykjavík!$A$2:$M$73,MATCH("Brennsla úrgangs Reykjavíkur",Reykjavík!$A$2:$A$73,0),MATCH($D$4,Reykjavík!$A$3:$M$3,0))</f>
        <v>23569.221130494192</v>
      </c>
    </row>
    <row r="28" spans="2:29" x14ac:dyDescent="0.25">
      <c r="B28" s="224" t="s">
        <v>226</v>
      </c>
      <c r="C28" s="229">
        <f>INDEX(Reykjavík!$A$2:$M$73,MATCH("Losun vegna brennslu",Reykjavík!$A$2:$A$73,0),MATCH($D$4,Reykjavík!$A$3:$M$3,0))</f>
        <v>3812.7857958115883</v>
      </c>
    </row>
    <row r="29" spans="2:29" x14ac:dyDescent="0.25">
      <c r="B29" s="224" t="s">
        <v>227</v>
      </c>
      <c r="C29" s="229">
        <f>INDEX(Reykjavík!$A$2:$M$73,MATCH("Losun vegna fráveitu",Reykjavík!$A$2:$A$73,0),MATCH($D$4,Reykjavík!$A$3:$M$3,0))</f>
        <v>3679.2395876393066</v>
      </c>
    </row>
    <row r="30" spans="2:29" ht="14.4" thickBot="1" x14ac:dyDescent="0.3">
      <c r="B30" s="227" t="s">
        <v>228</v>
      </c>
      <c r="C30" s="228">
        <f>C31+C32</f>
        <v>33231.810757164916</v>
      </c>
      <c r="D30" s="229">
        <f>C30</f>
        <v>33231.810757164916</v>
      </c>
    </row>
    <row r="31" spans="2:29" ht="13.8" thickTop="1" x14ac:dyDescent="0.25">
      <c r="B31" s="224" t="s">
        <v>229</v>
      </c>
      <c r="C31" s="229">
        <f>INDEX(Reykjavík!$A$2:$M$73,MATCH("Losun vegna búfjárræktunar",Reykjavík!$A$2:$A$73,0),MATCH($D$4,Reykjavík!$A$3:$M$3,0))</f>
        <v>2199.0447206679287</v>
      </c>
    </row>
    <row r="32" spans="2:29" x14ac:dyDescent="0.25">
      <c r="B32" s="224" t="s">
        <v>230</v>
      </c>
      <c r="C32" s="229">
        <f>INDEX(Reykjavík!$A$2:$M$73,MATCH("Losun vegna landnotkunar og skógræktar",Reykjavík!$A$2:$A$73,0),MATCH($D$4,Reykjavík!$A$3:$M$3,0))</f>
        <v>31032.766036496989</v>
      </c>
    </row>
    <row r="33" spans="2:6" ht="14.4" thickBot="1" x14ac:dyDescent="0.3">
      <c r="B33" s="227" t="s">
        <v>231</v>
      </c>
      <c r="C33" s="228">
        <f>C34+C36+C35</f>
        <v>104772.70263874003</v>
      </c>
      <c r="D33" s="229">
        <f>C33-C35-C36</f>
        <v>31944.836513010297</v>
      </c>
      <c r="E33" s="231"/>
      <c r="F33" s="229">
        <f>C35+C36</f>
        <v>72827.866125729721</v>
      </c>
    </row>
    <row r="34" spans="2:6" ht="13.8" thickTop="1" x14ac:dyDescent="0.25">
      <c r="B34" s="478" t="s">
        <v>232</v>
      </c>
      <c r="C34" s="476">
        <f>INDEX(Reykjavík!$A$2:$M$157,MATCH("Samtals losun vegna efnanotkunar",Reykjavík!$A$2:$A$157,0),MATCH($D$4,Reykjavík!$A$3:$M$3,0))</f>
        <v>31944.836513010301</v>
      </c>
      <c r="D34" s="229"/>
      <c r="E34" s="231"/>
      <c r="F34" s="229"/>
    </row>
    <row r="35" spans="2:6" x14ac:dyDescent="0.25">
      <c r="B35" s="478" t="s">
        <v>233</v>
      </c>
      <c r="C35" s="476">
        <f>INDEX(Reykjavík!$A$2:$M$157,MATCH("byggingariðnaður - efni",Reykjavík!$A$2:$A$157,0),MATCH($D$4,Reykjavík!$A$3:$M$3,0))</f>
        <v>67349.810440000001</v>
      </c>
      <c r="F35" s="229"/>
    </row>
    <row r="36" spans="2:6" x14ac:dyDescent="0.25">
      <c r="B36" s="478" t="s">
        <v>234</v>
      </c>
      <c r="C36" s="476">
        <f>INDEX(Reykjavík!$A$2:$M$157,MATCH("losun matvælaframleiðslu í RVK",Reykjavík!$A$2:$A$157,0),MATCH($D$4,Reykjavík!$A$3:$M$3,0))</f>
        <v>5478.055685729727</v>
      </c>
      <c r="F36" s="229"/>
    </row>
    <row r="37" spans="2:6" ht="13.8" x14ac:dyDescent="0.25">
      <c r="B37" s="232" t="s">
        <v>207</v>
      </c>
      <c r="C37" s="498">
        <f>C30+C21+C16+C11+C33</f>
        <v>563886.28928729065</v>
      </c>
      <c r="D37" s="498">
        <f>SUM(D11:D35)</f>
        <v>448730.55345176515</v>
      </c>
      <c r="E37" s="498">
        <f>SUM(E11:E35)</f>
        <v>14705.370054438288</v>
      </c>
      <c r="F37" s="498">
        <f>SUM(F11:F35)</f>
        <v>100450.36578108721</v>
      </c>
    </row>
    <row r="38" spans="2:6" x14ac:dyDescent="0.25">
      <c r="B38" s="501" t="s">
        <v>235</v>
      </c>
      <c r="C38" s="499">
        <f>Reykjavík!O181</f>
        <v>4.0634010411847541</v>
      </c>
      <c r="D38" s="499">
        <f>Reykjavík!O182</f>
        <v>3.2335813669311184</v>
      </c>
      <c r="E38" s="500">
        <f>Reykjavík!O183</f>
        <v>0.10596784693193359</v>
      </c>
      <c r="F38" s="500">
        <f>Reykjavík!O184</f>
        <v>0.72385182732170195</v>
      </c>
    </row>
    <row r="40" spans="2:6" x14ac:dyDescent="0.25">
      <c r="B40" s="224" t="s">
        <v>236</v>
      </c>
      <c r="C40" s="229">
        <f>C12+C14+C17+C18+C20+C23+C25+C27+C28+C29+C15-C13</f>
        <v>425641.28316233389</v>
      </c>
      <c r="D40" s="229">
        <f>D11+D16+D21</f>
        <v>383553.90618158993</v>
      </c>
      <c r="E40" s="229">
        <f>E11</f>
        <v>14705.370054438288</v>
      </c>
      <c r="F40" s="229">
        <f>F21</f>
        <v>27382.006926305781</v>
      </c>
    </row>
    <row r="41" spans="2:6" x14ac:dyDescent="0.25">
      <c r="B41" s="224" t="s">
        <v>237</v>
      </c>
      <c r="C41" s="229">
        <f>C40+C31+C32+C34+C13</f>
        <v>491058.42316156084</v>
      </c>
      <c r="D41" s="229">
        <f>D40+D30+D33</f>
        <v>448730.55345176515</v>
      </c>
      <c r="E41" s="229">
        <f>E40</f>
        <v>14705.370054438288</v>
      </c>
      <c r="F41" s="229">
        <f>F40+F11</f>
        <v>27622.499655357493</v>
      </c>
    </row>
    <row r="42" spans="2:6" x14ac:dyDescent="0.25">
      <c r="B42" s="224" t="s">
        <v>238</v>
      </c>
      <c r="C42" s="229">
        <f>C41+C35+C36</f>
        <v>563886.28928729054</v>
      </c>
      <c r="D42" s="229">
        <f>D41</f>
        <v>448730.55345176515</v>
      </c>
      <c r="E42" s="229">
        <f>E41</f>
        <v>14705.370054438288</v>
      </c>
      <c r="F42" s="229">
        <f>F41+F33</f>
        <v>100450.36578108721</v>
      </c>
    </row>
    <row r="43" spans="2:6" x14ac:dyDescent="0.25">
      <c r="C43" s="229"/>
      <c r="D43" s="229"/>
      <c r="E43" s="229"/>
      <c r="F43" s="229"/>
    </row>
    <row r="44" spans="2:6" x14ac:dyDescent="0.25">
      <c r="F44" s="229"/>
    </row>
    <row r="45" spans="2:6" x14ac:dyDescent="0.25">
      <c r="C45" s="229"/>
      <c r="F45" s="229"/>
    </row>
    <row r="46" spans="2:6" x14ac:dyDescent="0.25">
      <c r="C46" s="229"/>
      <c r="F46" s="229"/>
    </row>
    <row r="47" spans="2:6" x14ac:dyDescent="0.25">
      <c r="F47" s="229"/>
    </row>
    <row r="48" spans="2:6" x14ac:dyDescent="0.25">
      <c r="F48" s="229"/>
    </row>
    <row r="49" spans="2:6" x14ac:dyDescent="0.25">
      <c r="F49" s="229"/>
    </row>
    <row r="50" spans="2:6" x14ac:dyDescent="0.25">
      <c r="F50" s="229"/>
    </row>
    <row r="51" spans="2:6" x14ac:dyDescent="0.25">
      <c r="F51" s="229"/>
    </row>
    <row r="52" spans="2:6" x14ac:dyDescent="0.25">
      <c r="F52" s="229"/>
    </row>
    <row r="53" spans="2:6" x14ac:dyDescent="0.25">
      <c r="F53" s="229"/>
    </row>
    <row r="54" spans="2:6" x14ac:dyDescent="0.25">
      <c r="F54" s="229"/>
    </row>
    <row r="55" spans="2:6" x14ac:dyDescent="0.25">
      <c r="F55" s="229"/>
    </row>
    <row r="56" spans="2:6" x14ac:dyDescent="0.25">
      <c r="F56" s="229"/>
    </row>
    <row r="57" spans="2:6" x14ac:dyDescent="0.25">
      <c r="F57" s="229"/>
    </row>
    <row r="58" spans="2:6" x14ac:dyDescent="0.25">
      <c r="F58" s="229"/>
    </row>
    <row r="59" spans="2:6" x14ac:dyDescent="0.25">
      <c r="F59" s="229"/>
    </row>
    <row r="60" spans="2:6" x14ac:dyDescent="0.25">
      <c r="F60" s="229"/>
    </row>
    <row r="64" spans="2:6" x14ac:dyDescent="0.25">
      <c r="B64" s="484" t="s">
        <v>239</v>
      </c>
      <c r="C64" s="962" t="s">
        <v>240</v>
      </c>
      <c r="D64" s="962"/>
    </row>
    <row r="65" spans="2:8" ht="17.399999999999999" x14ac:dyDescent="0.3">
      <c r="B65" s="483" t="s">
        <v>241</v>
      </c>
      <c r="C65" s="961" t="s">
        <v>236</v>
      </c>
      <c r="D65" s="961"/>
    </row>
    <row r="80" spans="2:8" ht="18.600000000000001" x14ac:dyDescent="0.4">
      <c r="G80" s="479">
        <f>Reykjavík!O148</f>
        <v>425641.28316233394</v>
      </c>
      <c r="H80" s="477" t="s">
        <v>242</v>
      </c>
    </row>
    <row r="81" spans="2:8" ht="18.600000000000001" x14ac:dyDescent="0.4">
      <c r="G81" s="480">
        <f>Reykjavík!O179</f>
        <v>3.0671985931047612</v>
      </c>
      <c r="H81" s="477" t="s">
        <v>243</v>
      </c>
    </row>
    <row r="88" spans="2:8" x14ac:dyDescent="0.25">
      <c r="B88" s="484" t="s">
        <v>239</v>
      </c>
      <c r="C88" s="962" t="s">
        <v>240</v>
      </c>
      <c r="D88" s="962"/>
    </row>
    <row r="89" spans="2:8" ht="17.399999999999999" x14ac:dyDescent="0.3">
      <c r="B89" s="483" t="s">
        <v>241</v>
      </c>
      <c r="C89" s="961" t="s">
        <v>244</v>
      </c>
      <c r="D89" s="961"/>
    </row>
    <row r="100" spans="7:8" ht="18.600000000000001" x14ac:dyDescent="0.4">
      <c r="G100" s="479">
        <f>Reykjavík!O149</f>
        <v>491058.4231615609</v>
      </c>
      <c r="H100" s="477" t="s">
        <v>242</v>
      </c>
    </row>
    <row r="101" spans="7:8" ht="18.600000000000001" x14ac:dyDescent="0.4">
      <c r="G101" s="480">
        <f>Reykjavík!O180</f>
        <v>3.5385987314556315</v>
      </c>
      <c r="H101" s="477" t="s">
        <v>243</v>
      </c>
    </row>
  </sheetData>
  <sheetProtection algorithmName="SHA-512" hashValue="T+xiJF2PQ0GLlp5OFMfvohwkTDexDTfWdML08OuYWrw41x4grXPP0bAM7wUEpR4xki7s7YToPQ6QvaUMRukT/g==" saltValue="kiXoZkqSRQeIB0A0Rk1xkQ==" spinCount="100000" sheet="1" selectLockedCells="1"/>
  <dataConsolidate/>
  <mergeCells count="4">
    <mergeCell ref="C65:D65"/>
    <mergeCell ref="C89:D89"/>
    <mergeCell ref="C88:D88"/>
    <mergeCell ref="C64:D6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4DBA9BC3-4396-492B-BCE8-4CC3CCA453E9}">
          <x14:formula1>
            <xm:f>Reykjavík!$C$3:$M$3</xm:f>
          </x14:formula1>
          <xm:sqref>D4</xm:sqref>
        </x14:dataValidation>
        <x14:dataValidation type="list" allowBlank="1" showInputMessage="1" showErrorMessage="1" xr:uid="{707473D4-E65E-4868-9791-D0654D4474FD}">
          <x14:formula1>
            <xm:f>Reykjavík!$R$173:$W$173</xm:f>
          </x14:formula1>
          <xm:sqref>B65 B89</xm:sqref>
        </x14:dataValidation>
        <x14:dataValidation type="list" allowBlank="1" showInputMessage="1" showErrorMessage="1" xr:uid="{B57EE335-AE50-42EA-A469-76EFF3CBFC89}">
          <x14:formula1>
            <xm:f>OFFSET(Reykjavík!$R$173,1,MATCH($B65,Reykjavík!$R$173:$W$173,0)-1,COUNTA(OFFSET(Reykjavík!$R$173,1,MATCH($B65,Reykjavík!$R$173:$W$173,0)-1,7,1)),1)</xm:f>
          </x14:formula1>
          <xm:sqref>C65 C89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B3D0E-E168-4BD2-B54D-5555CE0374FD}">
  <dimension ref="B4:AC101"/>
  <sheetViews>
    <sheetView showGridLines="0" workbookViewId="0">
      <selection activeCell="D4" sqref="D4"/>
    </sheetView>
  </sheetViews>
  <sheetFormatPr defaultColWidth="9.109375" defaultRowHeight="13.2" x14ac:dyDescent="0.25"/>
  <cols>
    <col min="1" max="1" width="1.6640625" style="224" customWidth="1"/>
    <col min="2" max="2" width="32.33203125" style="224" customWidth="1"/>
    <col min="3" max="3" width="16" style="224" customWidth="1"/>
    <col min="4" max="4" width="15" style="224" customWidth="1"/>
    <col min="5" max="5" width="11.44140625" style="224" customWidth="1"/>
    <col min="6" max="6" width="10.88671875" style="224" customWidth="1"/>
    <col min="7" max="7" width="16.109375" style="224" customWidth="1"/>
    <col min="8" max="8" width="21" style="224" customWidth="1"/>
    <col min="9" max="9" width="16.109375" style="224" customWidth="1"/>
    <col min="10" max="11" width="9.109375" style="224"/>
    <col min="12" max="12" width="10.109375" style="224" bestFit="1" customWidth="1"/>
    <col min="13" max="22" width="9.109375" style="224"/>
    <col min="23" max="23" width="19.44140625" style="224" bestFit="1" customWidth="1"/>
    <col min="24" max="24" width="9.109375" style="224"/>
    <col min="25" max="25" width="9.5546875" style="224" bestFit="1" customWidth="1"/>
    <col min="26" max="26" width="9.109375" style="224"/>
    <col min="27" max="27" width="9.5546875" style="224" bestFit="1" customWidth="1"/>
    <col min="28" max="28" width="9.33203125" style="224" bestFit="1" customWidth="1"/>
    <col min="29" max="16384" width="9.109375" style="224"/>
  </cols>
  <sheetData>
    <row r="4" spans="2:28" ht="21" x14ac:dyDescent="0.4">
      <c r="B4"/>
      <c r="C4" s="481" t="s">
        <v>245</v>
      </c>
      <c r="D4" s="482">
        <v>2025</v>
      </c>
    </row>
    <row r="7" spans="2:28" x14ac:dyDescent="0.25">
      <c r="AB7"/>
    </row>
    <row r="9" spans="2:28" ht="17.399999999999999" x14ac:dyDescent="0.3">
      <c r="B9" s="225" t="s">
        <v>246</v>
      </c>
      <c r="C9" s="233" t="s">
        <v>247</v>
      </c>
    </row>
    <row r="10" spans="2:28" ht="13.8" thickBot="1" x14ac:dyDescent="0.3">
      <c r="C10" s="226" t="s">
        <v>3</v>
      </c>
      <c r="D10" s="226" t="s">
        <v>248</v>
      </c>
      <c r="E10" s="226" t="s">
        <v>249</v>
      </c>
      <c r="F10" s="226" t="s">
        <v>250</v>
      </c>
    </row>
    <row r="11" spans="2:28" ht="15" thickTop="1" thickBot="1" x14ac:dyDescent="0.3">
      <c r="B11" s="227" t="s">
        <v>251</v>
      </c>
      <c r="C11" s="228">
        <f>C12+C14+C15</f>
        <v>25196.680063489999</v>
      </c>
      <c r="D11" s="229">
        <f>C15</f>
        <v>10250.817279999999</v>
      </c>
      <c r="E11" s="229">
        <f>C11-C13-C15</f>
        <v>14705.370054438288</v>
      </c>
      <c r="F11" s="229">
        <f>C13</f>
        <v>240.49272905171307</v>
      </c>
      <c r="W11" s="229"/>
      <c r="X11" s="860"/>
      <c r="Y11" s="229"/>
      <c r="Z11" s="229"/>
      <c r="AA11" s="229"/>
      <c r="AB11" s="229"/>
    </row>
    <row r="12" spans="2:28" ht="13.8" thickTop="1" x14ac:dyDescent="0.25">
      <c r="B12" s="224" t="s">
        <v>252</v>
      </c>
      <c r="C12" s="229">
        <f>INDEX(Reykjavík!$A$2:$M$73,MATCH("Losun vegna raforku",Reykjavík!$A$2:$A$73,0),MATCH($D$4,Reykjavík!$A$3:$M$3,0))</f>
        <v>5728.28418349</v>
      </c>
      <c r="W12" s="229"/>
      <c r="X12" s="860"/>
      <c r="Y12" s="229"/>
      <c r="Z12" s="229"/>
      <c r="AA12" s="229"/>
      <c r="AB12" s="229"/>
    </row>
    <row r="13" spans="2:28" x14ac:dyDescent="0.25">
      <c r="B13" s="230" t="s">
        <v>253</v>
      </c>
      <c r="C13" s="229">
        <f>INDEX(Reykjavík!$A$2:$M$73,MATCH(" Þar af vegna dreifitapa",Reykjavík!$A$2:$A$73,0),MATCH($D$4,Reykjavík!$A$3:$M$3,0))</f>
        <v>240.49272905171307</v>
      </c>
      <c r="W13" s="229"/>
      <c r="X13" s="860"/>
      <c r="Y13" s="229"/>
      <c r="Z13" s="229"/>
      <c r="AA13" s="229"/>
      <c r="AB13" s="229"/>
    </row>
    <row r="14" spans="2:28" x14ac:dyDescent="0.25">
      <c r="B14" s="224" t="s">
        <v>254</v>
      </c>
      <c r="C14" s="229">
        <f>INDEX(Reykjavík!$A$2:$M$73,MATCH("Losun vegna hitaveitu",Reykjavík!$A$2:$A$73,0),MATCH($D$4,Reykjavík!$A$3:$M$3,0))</f>
        <v>9217.5785999999989</v>
      </c>
      <c r="G14" s="230"/>
      <c r="W14" s="229"/>
      <c r="X14" s="860"/>
      <c r="Y14" s="229"/>
      <c r="Z14" s="229"/>
      <c r="AA14" s="229"/>
      <c r="AB14" s="229"/>
    </row>
    <row r="15" spans="2:28" x14ac:dyDescent="0.25">
      <c r="B15" s="224" t="s">
        <v>255</v>
      </c>
      <c r="C15" s="229">
        <f>INDEX(Reykjavík!$A$115:$M$157,MATCH("byggingariðnaður - orka á verkstað",Reykjavík!$A$115:$A$157,0),MATCH($D$4,Reykjavík!$A$3:$M$3,0))</f>
        <v>10250.817279999999</v>
      </c>
      <c r="G15" s="230"/>
      <c r="W15" s="229"/>
      <c r="X15" s="860"/>
      <c r="Y15" s="229"/>
      <c r="Z15" s="229"/>
      <c r="AA15" s="229"/>
      <c r="AB15" s="229"/>
    </row>
    <row r="16" spans="2:28" ht="14.4" thickBot="1" x14ac:dyDescent="0.3">
      <c r="B16" s="227" t="s">
        <v>256</v>
      </c>
      <c r="C16" s="228">
        <f>C17+C18+C20</f>
        <v>319948.74774730793</v>
      </c>
      <c r="D16" s="229">
        <f>C17+C18+C20</f>
        <v>319948.74774730793</v>
      </c>
      <c r="F16" s="229"/>
      <c r="W16" s="229"/>
      <c r="X16" s="860"/>
      <c r="Y16" s="229"/>
      <c r="Z16" s="229"/>
      <c r="AA16" s="229"/>
      <c r="AB16" s="229"/>
    </row>
    <row r="17" spans="2:29" ht="13.8" thickTop="1" x14ac:dyDescent="0.25">
      <c r="B17" s="224" t="s">
        <v>257</v>
      </c>
      <c r="C17" s="229">
        <f>INDEX(Reykjavík!$A$2:$M$73,MATCH("Losun vegna götuumferðar",Reykjavík!$A$2:$A$73,0),MATCH($D$4,Reykjavík!$A$3:$M$3,0))</f>
        <v>267348.79204361769</v>
      </c>
      <c r="W17" s="229"/>
      <c r="X17" s="860"/>
      <c r="Y17" s="229"/>
      <c r="Z17" s="229"/>
      <c r="AA17" s="229"/>
      <c r="AB17" s="229"/>
      <c r="AC17"/>
    </row>
    <row r="18" spans="2:29" x14ac:dyDescent="0.25">
      <c r="B18" s="224" t="s">
        <v>258</v>
      </c>
      <c r="C18" s="229">
        <f>INDEX(Reykjavík!$A$2:$M$73,MATCH("Losun vegna skipa",Reykjavík!$A$2:$A$73,0),MATCH($D$4,Reykjavík!$A$3:$M$3,0))</f>
        <v>48360</v>
      </c>
      <c r="W18" s="229"/>
      <c r="X18" s="860"/>
      <c r="Y18" s="229"/>
      <c r="Z18" s="229"/>
      <c r="AA18" s="229"/>
      <c r="AB18" s="229"/>
    </row>
    <row r="19" spans="2:29" x14ac:dyDescent="0.25">
      <c r="B19" s="224" t="s">
        <v>259</v>
      </c>
      <c r="C19" s="229">
        <f>INDEX(Reykjavík!$A$2:$M$73,MATCH(" Með Well to Tank",Reykjavík!$A$2:$A$73,0),MATCH($D$4,Reykjavík!$A$3:$M$3,0))</f>
        <v>59050</v>
      </c>
      <c r="W19" s="229"/>
      <c r="X19" s="860"/>
      <c r="Y19" s="229"/>
      <c r="Z19" s="229"/>
      <c r="AA19" s="229"/>
      <c r="AB19" s="229"/>
    </row>
    <row r="20" spans="2:29" x14ac:dyDescent="0.25">
      <c r="B20" s="224" t="s">
        <v>260</v>
      </c>
      <c r="C20" s="229">
        <f>INDEX(Reykjavík!$A$2:$M$73,MATCH("Losun vegna flugumferðar",Reykjavík!$A$2:$A$73,0),MATCH($D$4,Reykjavík!$A$3:$M$3,0))</f>
        <v>4239.9557036902197</v>
      </c>
      <c r="W20" s="229"/>
      <c r="X20" s="860"/>
      <c r="Y20" s="229"/>
      <c r="Z20" s="229"/>
      <c r="AA20" s="229"/>
      <c r="AB20" s="229"/>
    </row>
    <row r="21" spans="2:29" ht="14.4" thickBot="1" x14ac:dyDescent="0.3">
      <c r="B21" s="227" t="s">
        <v>9</v>
      </c>
      <c r="C21" s="228">
        <f>C23+C25+C27+C28+C29</f>
        <v>80736.348080587748</v>
      </c>
      <c r="D21" s="229">
        <f>C23+C25+C29</f>
        <v>53354.341154281959</v>
      </c>
      <c r="F21" s="229">
        <f>C28+C27</f>
        <v>27382.006926305781</v>
      </c>
      <c r="W21" s="229"/>
      <c r="X21" s="860"/>
      <c r="Y21" s="229"/>
      <c r="Z21" s="229"/>
      <c r="AA21" s="229"/>
      <c r="AB21" s="229"/>
    </row>
    <row r="22" spans="2:29" ht="13.8" thickTop="1" x14ac:dyDescent="0.25">
      <c r="B22" s="224" t="s">
        <v>261</v>
      </c>
      <c r="C22" s="229">
        <f>INDEX(Reykjavík!$A$2:$M$73,MATCH("Losun vegna urðunar",Reykjavík!$A$2:$A$73,0),MATCH($D$4,Reykjavík!$A$3:$M$3,0))</f>
        <v>85028.940418953818</v>
      </c>
      <c r="W22" s="229"/>
      <c r="X22" s="860"/>
      <c r="Y22" s="229"/>
      <c r="Z22" s="229"/>
      <c r="AA22" s="229"/>
      <c r="AB22" s="229"/>
    </row>
    <row r="23" spans="2:29" x14ac:dyDescent="0.25">
      <c r="B23" s="230" t="s">
        <v>262</v>
      </c>
      <c r="C23" s="229">
        <f>INDEX(Reykjavík!$A$2:$M$73,MATCH("urðun úrgangs reykjavíkur",Reykjavík!$A$2:$A$73,0),MATCH($D$4,Reykjavík!$A$3:$M$3,0))</f>
        <v>47435.151012526723</v>
      </c>
      <c r="E23" s="229"/>
      <c r="W23" s="229"/>
      <c r="X23" s="860"/>
      <c r="Y23" s="229"/>
      <c r="Z23" s="229"/>
      <c r="AA23" s="229"/>
      <c r="AB23" s="229"/>
    </row>
    <row r="24" spans="2:29" x14ac:dyDescent="0.25">
      <c r="B24" s="230" t="s">
        <v>31</v>
      </c>
      <c r="C24" s="229">
        <f>INDEX(Reykjavík!$A$2:$M$73,MATCH("losun vegna jarðgerðar",Reykjavík!$A$2:$A$73,0),MATCH($D$4,Reykjavík!$A$3:$M$3,0))</f>
        <v>4015.1789999999996</v>
      </c>
      <c r="W24" s="229"/>
      <c r="X24" s="860"/>
      <c r="Y24" s="229"/>
      <c r="Z24" s="229"/>
      <c r="AA24" s="229"/>
      <c r="AB24" s="229"/>
    </row>
    <row r="25" spans="2:29" x14ac:dyDescent="0.25">
      <c r="B25" s="230" t="s">
        <v>262</v>
      </c>
      <c r="C25" s="229">
        <f>INDEX(Reykjavík!$A$2:$M$73,MATCH("jarðgerð úrgangs reykjavíkur",Reykjavík!$A$2:$A$73,0),MATCH($D$4,Reykjavík!$A$3:$M$3,0))</f>
        <v>2239.9505541159301</v>
      </c>
      <c r="W25" s="229"/>
      <c r="X25" s="860"/>
      <c r="Y25" s="229"/>
      <c r="Z25" s="229"/>
      <c r="AA25" s="229"/>
      <c r="AB25" s="229"/>
    </row>
    <row r="26" spans="2:29" x14ac:dyDescent="0.25">
      <c r="B26" s="230" t="s">
        <v>263</v>
      </c>
      <c r="C26" s="229">
        <f>INDEX(Reykjavík!$A$2:$M$73,MATCH("Losun vegna brennslu erlendis",Reykjavík!$A$2:$A$73,0),MATCH($D$4,Reykjavík!$A$3:$M$3,0))</f>
        <v>70233.206950969936</v>
      </c>
      <c r="W26" s="229"/>
      <c r="X26" s="860"/>
      <c r="Y26" s="229"/>
      <c r="Z26" s="229"/>
      <c r="AA26" s="229"/>
      <c r="AB26" s="229"/>
    </row>
    <row r="27" spans="2:29" x14ac:dyDescent="0.25">
      <c r="B27" s="230" t="s">
        <v>262</v>
      </c>
      <c r="C27" s="229">
        <f>INDEX(Reykjavík!$A$2:$M$73,MATCH("Brennsla úrgangs Reykjavíkur",Reykjavík!$A$2:$A$73,0),MATCH($D$4,Reykjavík!$A$3:$M$3,0))</f>
        <v>23569.221130494192</v>
      </c>
      <c r="W27" s="229"/>
      <c r="X27" s="860"/>
      <c r="Y27" s="229"/>
      <c r="Z27" s="229"/>
      <c r="AA27" s="229"/>
      <c r="AB27" s="229"/>
    </row>
    <row r="28" spans="2:29" x14ac:dyDescent="0.25">
      <c r="B28" s="224" t="s">
        <v>264</v>
      </c>
      <c r="C28" s="229">
        <f>INDEX(Reykjavík!$A$2:$M$73,MATCH("Losun vegna brennslu",Reykjavík!$A$2:$A$73,0),MATCH($D$4,Reykjavík!$A$3:$M$3,0))</f>
        <v>3812.7857958115883</v>
      </c>
      <c r="W28" s="229"/>
      <c r="X28" s="860"/>
      <c r="Y28" s="229"/>
      <c r="Z28" s="229"/>
      <c r="AA28" s="229"/>
      <c r="AB28" s="229"/>
    </row>
    <row r="29" spans="2:29" x14ac:dyDescent="0.25">
      <c r="B29" s="224" t="s">
        <v>227</v>
      </c>
      <c r="C29" s="229">
        <f>INDEX(Reykjavík!$A$2:$M$73,MATCH("Losun vegna fráveitu",Reykjavík!$A$2:$A$73,0),MATCH($D$4,Reykjavík!$A$3:$M$3,0))</f>
        <v>3679.2395876393066</v>
      </c>
      <c r="W29" s="229"/>
      <c r="X29" s="860"/>
      <c r="Y29" s="229"/>
      <c r="Z29" s="229"/>
      <c r="AA29" s="229"/>
      <c r="AB29" s="229"/>
    </row>
    <row r="30" spans="2:29" ht="14.4" thickBot="1" x14ac:dyDescent="0.3">
      <c r="B30" s="227" t="s">
        <v>265</v>
      </c>
      <c r="C30" s="228">
        <f>C31+C32+C33</f>
        <v>33231.810757164916</v>
      </c>
      <c r="D30" s="229">
        <f>C30</f>
        <v>33231.810757164916</v>
      </c>
      <c r="W30" s="229"/>
      <c r="X30" s="860"/>
      <c r="Y30" s="229"/>
      <c r="Z30" s="229"/>
      <c r="AA30" s="229"/>
      <c r="AB30" s="229"/>
    </row>
    <row r="31" spans="2:29" ht="13.8" thickTop="1" x14ac:dyDescent="0.25">
      <c r="B31" s="224" t="s">
        <v>266</v>
      </c>
      <c r="C31" s="229">
        <f>INDEX(Reykjavík!$A$2:$M$73,MATCH("Losun vegna búfjárræktunar",Reykjavík!$A$2:$A$73,0),MATCH($D$4,Reykjavík!$A$3:$M$3,0))</f>
        <v>2199.0447206679287</v>
      </c>
      <c r="W31" s="229"/>
      <c r="X31" s="860"/>
      <c r="Y31" s="229"/>
      <c r="Z31" s="229"/>
      <c r="AA31" s="229"/>
      <c r="AB31" s="229"/>
    </row>
    <row r="32" spans="2:29" x14ac:dyDescent="0.25">
      <c r="B32" s="224" t="s">
        <v>44</v>
      </c>
      <c r="C32" s="229">
        <f>INDEX(Reykjavík!$A$2:$M$73,MATCH("Losun vegna landnotkunar og skógræktar",Reykjavík!$A$2:$A$73,0),MATCH($D$4,Reykjavík!$A$3:$M$3,0))-INDEX(Reykjavík!$A$2:$M$73,MATCH("4A - Skóglendi",Reykjavík!$A$2:$A$73,0),MATCH($D$4,Reykjavík!$A$3:$M$3,0))</f>
        <v>45775.147887150531</v>
      </c>
      <c r="W32" s="229"/>
      <c r="X32" s="229"/>
      <c r="Y32" s="229"/>
      <c r="Z32" s="229"/>
      <c r="AA32" s="229"/>
      <c r="AB32" s="229"/>
    </row>
    <row r="33" spans="2:28" x14ac:dyDescent="0.25">
      <c r="B33" s="224" t="s">
        <v>267</v>
      </c>
      <c r="C33" s="229">
        <f>INDEX(Reykjavík!$A$2:$M$73,MATCH("4A - Skóglendi",Reykjavík!$A$2:$A$73,0),MATCH($D$4,Reykjavík!$A$3:$M$3,0))</f>
        <v>-14742.381850653543</v>
      </c>
      <c r="W33" s="229"/>
      <c r="X33" s="229"/>
      <c r="Y33" s="229"/>
      <c r="Z33" s="229"/>
      <c r="AA33" s="229"/>
      <c r="AB33" s="229"/>
    </row>
    <row r="34" spans="2:28" ht="14.4" thickBot="1" x14ac:dyDescent="0.3">
      <c r="B34" s="227" t="s">
        <v>268</v>
      </c>
      <c r="C34" s="228">
        <f>C35+C37+C36</f>
        <v>104772.70263874003</v>
      </c>
      <c r="D34" s="229">
        <f>C34-C36-C37</f>
        <v>31944.836513010297</v>
      </c>
      <c r="E34" s="231"/>
      <c r="F34" s="229">
        <f>C36+C37</f>
        <v>72827.866125729721</v>
      </c>
      <c r="W34" s="229"/>
      <c r="X34" s="860"/>
      <c r="Y34" s="229"/>
      <c r="Z34" s="229"/>
      <c r="AA34" s="229"/>
      <c r="AB34" s="229"/>
    </row>
    <row r="35" spans="2:28" ht="13.8" thickTop="1" x14ac:dyDescent="0.25">
      <c r="B35" s="478" t="s">
        <v>25</v>
      </c>
      <c r="C35" s="476">
        <f>INDEX(Reykjavík!$A$2:$M$157,MATCH("Samtals losun vegna efnanotkunar",Reykjavík!$A$2:$A$157,0),MATCH($D$4,Reykjavík!$A$3:$M$3,0))</f>
        <v>31944.836513010301</v>
      </c>
      <c r="D35" s="229"/>
      <c r="E35" s="231"/>
      <c r="F35" s="229"/>
      <c r="X35" s="860"/>
      <c r="Y35" s="229"/>
      <c r="Z35" s="229"/>
      <c r="AA35" s="229"/>
      <c r="AB35" s="229"/>
    </row>
    <row r="36" spans="2:28" x14ac:dyDescent="0.25">
      <c r="B36" s="478" t="s">
        <v>269</v>
      </c>
      <c r="C36" s="476">
        <f>INDEX(Reykjavík!$A$2:$M$157,MATCH("byggingariðnaður - efni",Reykjavík!$A$2:$A$157,0),MATCH($D$4,Reykjavík!$A$3:$M$3,0))</f>
        <v>67349.810440000001</v>
      </c>
      <c r="F36" s="229"/>
      <c r="X36" s="860"/>
      <c r="Y36" s="229"/>
      <c r="Z36" s="229"/>
      <c r="AA36" s="229"/>
      <c r="AB36" s="229"/>
    </row>
    <row r="37" spans="2:28" x14ac:dyDescent="0.25">
      <c r="B37" s="478" t="s">
        <v>17</v>
      </c>
      <c r="C37" s="476">
        <f>INDEX(Reykjavík!$A$2:$M$157,MATCH("losun matvælaframleiðslu í RVK",Reykjavík!$A$2:$A$157,0),MATCH($D$4,Reykjavík!$A$3:$M$3,0))</f>
        <v>5478.055685729727</v>
      </c>
      <c r="F37" s="229"/>
    </row>
    <row r="38" spans="2:28" ht="13.8" x14ac:dyDescent="0.25">
      <c r="B38" s="232" t="s">
        <v>3</v>
      </c>
      <c r="C38" s="498">
        <f>C30+C21+C16+C11+C34</f>
        <v>563886.28928729065</v>
      </c>
      <c r="D38" s="498">
        <f>SUM(D11:D36)</f>
        <v>448730.55345176515</v>
      </c>
      <c r="E38" s="498">
        <f>SUM(E11:E36)</f>
        <v>14705.370054438288</v>
      </c>
      <c r="F38" s="498">
        <f>SUM(F11:F36)</f>
        <v>100450.36578108721</v>
      </c>
    </row>
    <row r="39" spans="2:28" x14ac:dyDescent="0.25">
      <c r="B39" s="501" t="s">
        <v>270</v>
      </c>
      <c r="C39" s="499">
        <f>Reykjavík!O181</f>
        <v>4.0634010411847541</v>
      </c>
      <c r="D39" s="499">
        <f>Reykjavík!O182</f>
        <v>3.2335813669311184</v>
      </c>
      <c r="E39" s="500">
        <f>Reykjavík!O183</f>
        <v>0.10596784693193359</v>
      </c>
      <c r="F39" s="500">
        <f>Reykjavík!O184</f>
        <v>0.72385182732170195</v>
      </c>
    </row>
    <row r="41" spans="2:28" x14ac:dyDescent="0.25">
      <c r="B41" s="224" t="s">
        <v>236</v>
      </c>
      <c r="C41" s="229">
        <f>C12+C14+C17+C18+C20+C23+C25+C27+C28+C29+C15-C13</f>
        <v>425641.28316233389</v>
      </c>
      <c r="D41" s="229">
        <f>D11+D16+D21</f>
        <v>383553.90618158993</v>
      </c>
      <c r="E41" s="229">
        <f>E11</f>
        <v>14705.370054438288</v>
      </c>
      <c r="F41" s="229">
        <f>F21</f>
        <v>27382.006926305781</v>
      </c>
      <c r="W41" s="229"/>
    </row>
    <row r="42" spans="2:28" x14ac:dyDescent="0.25">
      <c r="B42" s="224" t="s">
        <v>237</v>
      </c>
      <c r="C42" s="229">
        <f>C41+C31+C32+C35+C13+C33</f>
        <v>491058.42316156084</v>
      </c>
      <c r="D42" s="229">
        <f>D41+D30+D34</f>
        <v>448730.55345176515</v>
      </c>
      <c r="E42" s="229">
        <f>E41</f>
        <v>14705.370054438288</v>
      </c>
      <c r="F42" s="229">
        <f>F41+F11</f>
        <v>27622.499655357493</v>
      </c>
      <c r="W42" s="229"/>
    </row>
    <row r="43" spans="2:28" x14ac:dyDescent="0.25">
      <c r="B43" s="224" t="s">
        <v>238</v>
      </c>
      <c r="C43" s="229">
        <f>C42+C36+C37</f>
        <v>563886.28928729054</v>
      </c>
      <c r="D43" s="229">
        <f>D42</f>
        <v>448730.55345176515</v>
      </c>
      <c r="E43" s="229">
        <f>E42</f>
        <v>14705.370054438288</v>
      </c>
      <c r="F43" s="229">
        <f>F42+F34</f>
        <v>100450.36578108721</v>
      </c>
      <c r="W43" s="229"/>
    </row>
    <row r="44" spans="2:28" x14ac:dyDescent="0.25">
      <c r="C44" s="229"/>
      <c r="D44" s="229"/>
      <c r="E44" s="229"/>
      <c r="F44" s="229"/>
    </row>
    <row r="45" spans="2:28" x14ac:dyDescent="0.25">
      <c r="C45" s="229"/>
      <c r="D45" s="229"/>
    </row>
    <row r="46" spans="2:28" x14ac:dyDescent="0.25">
      <c r="B46" s="229"/>
      <c r="C46" s="229"/>
      <c r="D46" s="231"/>
    </row>
    <row r="47" spans="2:28" x14ac:dyDescent="0.25">
      <c r="C47" s="229"/>
      <c r="D47" s="231"/>
    </row>
    <row r="48" spans="2:28" x14ac:dyDescent="0.25">
      <c r="C48" s="229"/>
      <c r="D48" s="231"/>
    </row>
    <row r="49" spans="2:6" x14ac:dyDescent="0.25">
      <c r="C49" s="229"/>
      <c r="D49" s="229"/>
    </row>
    <row r="51" spans="2:6" x14ac:dyDescent="0.25">
      <c r="F51" s="229"/>
    </row>
    <row r="52" spans="2:6" x14ac:dyDescent="0.25">
      <c r="F52" s="229"/>
    </row>
    <row r="53" spans="2:6" x14ac:dyDescent="0.25">
      <c r="C53" s="229"/>
      <c r="F53" s="229"/>
    </row>
    <row r="54" spans="2:6" x14ac:dyDescent="0.25">
      <c r="F54" s="229"/>
    </row>
    <row r="55" spans="2:6" x14ac:dyDescent="0.25">
      <c r="F55" s="229"/>
    </row>
    <row r="56" spans="2:6" x14ac:dyDescent="0.25">
      <c r="F56" s="229"/>
    </row>
    <row r="57" spans="2:6" x14ac:dyDescent="0.25">
      <c r="F57" s="229"/>
    </row>
    <row r="58" spans="2:6" x14ac:dyDescent="0.25">
      <c r="F58" s="229"/>
    </row>
    <row r="59" spans="2:6" x14ac:dyDescent="0.25">
      <c r="F59" s="229"/>
    </row>
    <row r="60" spans="2:6" x14ac:dyDescent="0.25">
      <c r="F60" s="229"/>
    </row>
    <row r="64" spans="2:6" x14ac:dyDescent="0.25">
      <c r="B64" s="484" t="s">
        <v>271</v>
      </c>
      <c r="C64" s="484" t="s">
        <v>272</v>
      </c>
    </row>
    <row r="65" spans="2:8" ht="17.399999999999999" x14ac:dyDescent="0.3">
      <c r="B65" s="483" t="s">
        <v>273</v>
      </c>
      <c r="C65" s="483" t="s">
        <v>236</v>
      </c>
    </row>
    <row r="80" spans="2:8" ht="15" x14ac:dyDescent="0.25">
      <c r="G80" s="479">
        <f>Reykjavík!O148</f>
        <v>425641.28316233394</v>
      </c>
      <c r="H80" s="477" t="s">
        <v>274</v>
      </c>
    </row>
    <row r="81" spans="2:8" ht="15" x14ac:dyDescent="0.25">
      <c r="G81" s="480">
        <f>Reykjavík!O179</f>
        <v>3.0671985931047612</v>
      </c>
      <c r="H81" s="477" t="s">
        <v>275</v>
      </c>
    </row>
    <row r="88" spans="2:8" x14ac:dyDescent="0.25">
      <c r="B88" s="484" t="s">
        <v>271</v>
      </c>
      <c r="C88" s="484" t="s">
        <v>272</v>
      </c>
    </row>
    <row r="89" spans="2:8" ht="17.399999999999999" x14ac:dyDescent="0.3">
      <c r="B89" s="483" t="s">
        <v>273</v>
      </c>
      <c r="C89" s="483" t="s">
        <v>244</v>
      </c>
    </row>
    <row r="100" spans="7:8" ht="15" x14ac:dyDescent="0.25">
      <c r="G100" s="479">
        <f>Reykjavík!O149</f>
        <v>491058.4231615609</v>
      </c>
      <c r="H100" s="477" t="s">
        <v>274</v>
      </c>
    </row>
    <row r="101" spans="7:8" ht="15" x14ac:dyDescent="0.25">
      <c r="G101" s="480">
        <f>Reykjavík!O180</f>
        <v>3.5385987314556315</v>
      </c>
      <c r="H101" s="477" t="s">
        <v>275</v>
      </c>
    </row>
  </sheetData>
  <sheetProtection algorithmName="SHA-512" hashValue="RJ2TsWlzTOJm7vZAoX/CBga3W1zaQlbQRQcE7ezMYBP/uvXN86URPsQtbWK6DSyh8g8wmnwbQhUOTvmQ+5uSlw==" saltValue="rl9G341KSObQocErI5nPLQ==" spinCount="100000" sheet="1" selectLockedCells="1"/>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33E34C25-EE92-4947-BE41-B0F371D4EAF2}">
          <x14:formula1>
            <xm:f>Reykjavík!$D$3:$M$3</xm:f>
          </x14:formula1>
          <xm:sqref>D4</xm:sqref>
        </x14:dataValidation>
        <x14:dataValidation type="list" allowBlank="1" showInputMessage="1" showErrorMessage="1" xr:uid="{44E761EC-1901-4D9E-9026-3055F4F3E89A}">
          <x14:formula1>
            <xm:f>Reykjavík!$R$134:$W$134</xm:f>
          </x14:formula1>
          <xm:sqref>B65 B89</xm:sqref>
        </x14:dataValidation>
        <x14:dataValidation type="list" allowBlank="1" showInputMessage="1" showErrorMessage="1" xr:uid="{B541C18B-30E1-45D0-A621-103DCE61DD1D}">
          <x14:formula1>
            <xm:f>OFFSET(Reykjavík!$R$134,1,MATCH($B65,Reykjavík!$R$134:$W$134,0)-1,COUNTA(OFFSET(Reykjavík!$R$134,1,MATCH($B65,Reykjavík!$R$134:$W$134,0)-1,7,1)),1)</xm:f>
          </x14:formula1>
          <xm:sqref>C65 C89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CB263-2782-4699-BE2B-038A4406BA8F}">
  <dimension ref="B4:AQ101"/>
  <sheetViews>
    <sheetView showGridLines="0" topLeftCell="A20" workbookViewId="0">
      <selection activeCell="D4" sqref="D4"/>
    </sheetView>
  </sheetViews>
  <sheetFormatPr defaultColWidth="9.109375" defaultRowHeight="13.2" x14ac:dyDescent="0.25"/>
  <cols>
    <col min="1" max="1" width="1.6640625" style="224" customWidth="1"/>
    <col min="2" max="2" width="32.33203125" style="224" customWidth="1"/>
    <col min="3" max="3" width="16" style="224" customWidth="1"/>
    <col min="4" max="4" width="15" style="224" customWidth="1"/>
    <col min="5" max="5" width="11.44140625" style="224" customWidth="1"/>
    <col min="6" max="6" width="10.88671875" style="224" customWidth="1"/>
    <col min="7" max="7" width="16.109375" style="224" customWidth="1"/>
    <col min="8" max="8" width="21" style="224" customWidth="1"/>
    <col min="9" max="9" width="16.109375" style="224" customWidth="1"/>
    <col min="10" max="11" width="9.109375" style="224"/>
    <col min="12" max="12" width="10.109375" style="224" bestFit="1" customWidth="1"/>
    <col min="13" max="22" width="9.109375" style="224"/>
    <col min="23" max="23" width="19.44140625" style="224" bestFit="1" customWidth="1"/>
    <col min="24" max="24" width="9.109375" style="224"/>
    <col min="25" max="25" width="9.5546875" style="224" bestFit="1" customWidth="1"/>
    <col min="26" max="26" width="9.109375" style="224"/>
    <col min="27" max="27" width="9.5546875" style="224" bestFit="1" customWidth="1"/>
    <col min="28" max="28" width="9.33203125" style="224" bestFit="1" customWidth="1"/>
    <col min="29" max="16384" width="9.109375" style="224"/>
  </cols>
  <sheetData>
    <row r="4" spans="2:43" ht="21" x14ac:dyDescent="0.4">
      <c r="B4"/>
      <c r="C4" s="481" t="s">
        <v>245</v>
      </c>
      <c r="D4" s="482">
        <v>2025</v>
      </c>
    </row>
    <row r="7" spans="2:43" x14ac:dyDescent="0.25">
      <c r="AB7"/>
    </row>
    <row r="9" spans="2:43" ht="17.399999999999999" x14ac:dyDescent="0.3">
      <c r="B9" s="225" t="s">
        <v>246</v>
      </c>
      <c r="C9" s="233" t="s">
        <v>247</v>
      </c>
    </row>
    <row r="10" spans="2:43" ht="13.8" thickBot="1" x14ac:dyDescent="0.3">
      <c r="C10" s="226" t="s">
        <v>3</v>
      </c>
      <c r="D10" s="226" t="s">
        <v>248</v>
      </c>
      <c r="E10" s="226" t="s">
        <v>249</v>
      </c>
      <c r="F10" s="226" t="s">
        <v>250</v>
      </c>
      <c r="M10" s="732"/>
      <c r="N10" s="732"/>
      <c r="O10" s="732"/>
      <c r="P10" s="732"/>
      <c r="Q10" s="732"/>
      <c r="R10" s="732"/>
      <c r="S10" s="732"/>
      <c r="T10" s="732"/>
      <c r="U10" s="732"/>
      <c r="V10" s="732"/>
      <c r="W10" s="827"/>
      <c r="X10" s="827"/>
      <c r="AA10" s="732"/>
      <c r="AD10" s="853"/>
      <c r="AE10" s="853"/>
      <c r="AF10" s="853"/>
      <c r="AG10" s="853"/>
      <c r="AH10" s="853"/>
      <c r="AI10" s="853"/>
      <c r="AJ10" s="853"/>
      <c r="AK10" s="853"/>
      <c r="AL10" s="853"/>
      <c r="AM10" s="853"/>
      <c r="AN10" s="853"/>
      <c r="AO10" s="853"/>
      <c r="AP10" s="853"/>
      <c r="AQ10" s="853"/>
    </row>
    <row r="11" spans="2:43" ht="40.799999999999997" thickTop="1" thickBot="1" x14ac:dyDescent="0.3">
      <c r="B11" s="227" t="s">
        <v>251</v>
      </c>
      <c r="C11" s="228">
        <f>C12+C14+C15</f>
        <v>25196.680063489999</v>
      </c>
      <c r="D11" s="229">
        <f>C15</f>
        <v>10250.817279999999</v>
      </c>
      <c r="E11" s="229">
        <f>C11-C13-C15</f>
        <v>14705.370054438288</v>
      </c>
      <c r="F11" s="229">
        <f>C13</f>
        <v>240.49272905171307</v>
      </c>
      <c r="M11" s="732"/>
      <c r="N11" s="732"/>
      <c r="O11" s="732"/>
      <c r="P11" s="732">
        <v>2019</v>
      </c>
      <c r="Q11" s="732">
        <v>2020</v>
      </c>
      <c r="R11" s="732">
        <v>2021</v>
      </c>
      <c r="S11" s="732">
        <v>2022</v>
      </c>
      <c r="T11" s="732">
        <v>2023</v>
      </c>
      <c r="U11" s="732">
        <v>2024</v>
      </c>
      <c r="V11" s="732">
        <v>2025</v>
      </c>
      <c r="W11" s="827" t="s">
        <v>276</v>
      </c>
      <c r="X11" s="827" t="s">
        <v>277</v>
      </c>
      <c r="Y11" s="827" t="s">
        <v>278</v>
      </c>
      <c r="Z11" s="827" t="s">
        <v>279</v>
      </c>
      <c r="AA11" s="732"/>
      <c r="AD11" s="853"/>
      <c r="AE11" s="853">
        <v>2019</v>
      </c>
      <c r="AF11" s="853">
        <v>2020</v>
      </c>
      <c r="AG11" s="853">
        <v>2021</v>
      </c>
      <c r="AH11" s="853">
        <v>2022</v>
      </c>
      <c r="AI11" s="853">
        <v>2023</v>
      </c>
      <c r="AJ11" s="853">
        <v>2024</v>
      </c>
      <c r="AK11" s="853">
        <v>2025</v>
      </c>
      <c r="AL11" s="853">
        <v>2026</v>
      </c>
      <c r="AM11" s="853">
        <v>2027</v>
      </c>
      <c r="AN11" s="853">
        <v>2028</v>
      </c>
      <c r="AO11" s="853">
        <v>2029</v>
      </c>
      <c r="AP11" s="853" t="s">
        <v>280</v>
      </c>
      <c r="AQ11" s="853" t="s">
        <v>281</v>
      </c>
    </row>
    <row r="12" spans="2:43" ht="13.8" thickTop="1" x14ac:dyDescent="0.25">
      <c r="B12" s="224" t="s">
        <v>252</v>
      </c>
      <c r="C12" s="229">
        <f>INDEX(Reykjavík!$A$2:$M$73,MATCH("Losun vegna raforku",Reykjavík!$A$2:$A$73,0),MATCH($D$4,Reykjavík!$A$3:$M$3,0))</f>
        <v>5728.28418349</v>
      </c>
      <c r="M12"/>
      <c r="N12"/>
      <c r="O12"/>
      <c r="P12"/>
      <c r="Q12"/>
      <c r="R12"/>
      <c r="S12"/>
      <c r="T12"/>
      <c r="U12"/>
      <c r="V12"/>
      <c r="W12"/>
      <c r="X12"/>
      <c r="Y12"/>
      <c r="Z12"/>
      <c r="AA12"/>
      <c r="AD12" s="853" t="s">
        <v>251</v>
      </c>
      <c r="AE12" s="853">
        <f t="shared" ref="AE12:AJ16" si="0">INDEX($M$10:$Z$42,MATCH($AD12,$M$10:$M$42,0),MATCH(AE$11,$M$11:$U$11,0))</f>
        <v>22959.108273074551</v>
      </c>
      <c r="AF12" s="853">
        <f t="shared" si="0"/>
        <v>25150.742326611959</v>
      </c>
      <c r="AG12" s="853">
        <f t="shared" si="0"/>
        <v>25840.352454420667</v>
      </c>
      <c r="AH12" s="853">
        <f t="shared" si="0"/>
        <v>26857.089023549997</v>
      </c>
      <c r="AI12" s="853">
        <f t="shared" si="0"/>
        <v>27516.078305553419</v>
      </c>
      <c r="AJ12" s="853">
        <f t="shared" si="0"/>
        <v>28966.619302417537</v>
      </c>
      <c r="AK12" s="853">
        <f>INDEX($M$10:$Z$42,MATCH($AD12,$M$10:$M$42,0),MATCH(AK$11,$M$11:$V$11,0))</f>
        <v>25196.680063489999</v>
      </c>
      <c r="AL12" s="853">
        <v>0</v>
      </c>
      <c r="AM12" s="853">
        <v>0</v>
      </c>
      <c r="AN12" s="853">
        <v>0</v>
      </c>
      <c r="AO12" s="853">
        <v>0</v>
      </c>
      <c r="AP12" s="853">
        <f>_xlfn.XLOOKUP($AD12,$M$10:$M$42,$Y$10:$Y$42)</f>
        <v>10600</v>
      </c>
      <c r="AQ12" s="853">
        <f>_xlfn.XLOOKUP($AD12,$M$10:$M$42,$Z$10:$Z$42)</f>
        <v>6700</v>
      </c>
    </row>
    <row r="13" spans="2:43" x14ac:dyDescent="0.25">
      <c r="B13" s="230" t="s">
        <v>253</v>
      </c>
      <c r="C13" s="229">
        <f>INDEX(Reykjavík!$A$2:$M$73,MATCH(" Þar af vegna dreifitapa",Reykjavík!$A$2:$A$73,0),MATCH($D$4,Reykjavík!$A$3:$M$3,0))</f>
        <v>240.49272905171307</v>
      </c>
      <c r="M13" s="224" t="s">
        <v>282</v>
      </c>
      <c r="P13" s="224">
        <f>INDEX(Reykjavík!$A$4:$K$9,MATCH($M13,Reykjavík!$A$4:$A$9,0),MATCH(P$11,Reykjavík!$A$3:$K$3,0))</f>
        <v>125360</v>
      </c>
      <c r="Q13" s="224">
        <f>INDEX(Reykjavík!$A$4:$K$9,MATCH($M13,Reykjavík!$A$4:$A$9,0),MATCH(Q$11,Reykjavík!$A$3:$K$3,0))</f>
        <v>126549</v>
      </c>
      <c r="R13" s="224">
        <f>INDEX(Reykjavík!$A$4:$K$9,MATCH($M13,Reykjavík!$A$4:$A$9,0),MATCH(R$11,Reykjavík!$A$3:$K$3,0))</f>
        <v>128610</v>
      </c>
      <c r="S13" s="224">
        <f>INDEX(Reykjavík!$A$4:$K$9,MATCH($M13,Reykjavík!$A$4:$A$9,0),MATCH(S$11,Reykjavík!$A$3:$K$3,0))</f>
        <v>130638</v>
      </c>
      <c r="T13" s="224">
        <f>INDEX(Reykjavík!$A$4:$K$9,MATCH($M13,Reykjavík!$A$4:$A$9,0),MATCH(T$11,Reykjavík!$A$3:$K$3,0))</f>
        <v>134298</v>
      </c>
      <c r="U13" s="224">
        <f>INDEX(Reykjavík!$A$4:$L$9,MATCH($M13,Reykjavík!$A$4:$A$9,0),MATCH(U$11,Reykjavík!$A$3:$L$3,0))</f>
        <v>136894</v>
      </c>
      <c r="V13" s="224">
        <f>INDEX(Reykjavík!$A$4:$M$9,MATCH($M13,Reykjavík!$A$4:$A$9,0),MATCH(V$11,Reykjavík!$A$3:$M$3,0))</f>
        <v>138772</v>
      </c>
      <c r="W13" s="224">
        <f t="shared" ref="W13:W42" si="1">V13-P13</f>
        <v>13412</v>
      </c>
      <c r="X13" s="719">
        <f t="shared" ref="X13:X25" si="2">W13/P13</f>
        <v>0.10698787492022974</v>
      </c>
      <c r="Y13" s="229">
        <f>V13*1.04</f>
        <v>144322.88</v>
      </c>
      <c r="Z13" s="229">
        <f>V13*1.04</f>
        <v>144322.88</v>
      </c>
      <c r="AA13" s="224" t="s">
        <v>282</v>
      </c>
      <c r="AD13" s="853" t="s">
        <v>256</v>
      </c>
      <c r="AE13" s="853">
        <f t="shared" si="0"/>
        <v>369991.14416686317</v>
      </c>
      <c r="AF13" s="853">
        <f t="shared" si="0"/>
        <v>316979.93016374827</v>
      </c>
      <c r="AG13" s="853">
        <f t="shared" si="0"/>
        <v>335822.16223191714</v>
      </c>
      <c r="AH13" s="853">
        <f t="shared" si="0"/>
        <v>312504.368180455</v>
      </c>
      <c r="AI13" s="853">
        <f t="shared" si="0"/>
        <v>340916.84883264313</v>
      </c>
      <c r="AJ13" s="853">
        <f t="shared" si="0"/>
        <v>334541.33320959128</v>
      </c>
      <c r="AK13" s="853">
        <f>INDEX($M$10:$Z$42,MATCH($AD13,$M$10:$M$42,0),MATCH(AK$11,$M$11:$V$11,0))</f>
        <v>319948.74774730793</v>
      </c>
      <c r="AL13" s="853">
        <v>0</v>
      </c>
      <c r="AM13" s="853">
        <v>0</v>
      </c>
      <c r="AN13" s="853">
        <v>0</v>
      </c>
      <c r="AO13" s="853">
        <v>0</v>
      </c>
      <c r="AP13" s="853">
        <f>_xlfn.XLOOKUP(AD13,$M$10:$M$42,$Y$10:$Y$42)</f>
        <v>85400</v>
      </c>
      <c r="AQ13" s="853">
        <f>_xlfn.XLOOKUP($AD13,$M$10:$M$42,$Z$10:$Z$42)</f>
        <v>60100</v>
      </c>
    </row>
    <row r="14" spans="2:43" ht="13.8" thickBot="1" x14ac:dyDescent="0.3">
      <c r="B14" s="224" t="s">
        <v>254</v>
      </c>
      <c r="C14" s="229">
        <f>INDEX(Reykjavík!$A$2:$M$73,MATCH("Losun vegna hitaveitu",Reykjavík!$A$2:$A$73,0),MATCH($D$4,Reykjavík!$A$3:$M$3,0))</f>
        <v>9217.5785999999989</v>
      </c>
      <c r="G14" s="230"/>
      <c r="M14" s="720" t="s">
        <v>283</v>
      </c>
      <c r="N14" s="720"/>
      <c r="O14" s="720"/>
      <c r="P14" s="720">
        <f>INDEX(Reykjavík!$A$4:$K$9,MATCH($M14,Reykjavík!$A$4:$A$9,0),MATCH(P$11,Reykjavík!$A$3:$K$3,0))</f>
        <v>349468</v>
      </c>
      <c r="Q14" s="720">
        <f>INDEX(Reykjavík!$A$4:$K$9,MATCH($M14,Reykjavík!$A$4:$A$9,0),MATCH(Q$11,Reykjavík!$A$3:$K$3,0))</f>
        <v>354042</v>
      </c>
      <c r="R14" s="720">
        <f>INDEX(Reykjavík!$A$4:$K$9,MATCH($M14,Reykjavík!$A$4:$A$9,0),MATCH(R$11,Reykjavík!$A$3:$K$3,0))</f>
        <v>358298</v>
      </c>
      <c r="S14" s="720">
        <f>INDEX(Reykjavík!$A$4:$K$9,MATCH($M14,Reykjavík!$A$4:$A$9,0),MATCH(S$11,Reykjavík!$A$3:$K$3,0))</f>
        <v>364917</v>
      </c>
      <c r="T14" s="720">
        <f>INDEX(Reykjavík!$A$4:$K$9,MATCH($M14,Reykjavík!$A$4:$A$9,0),MATCH(T$11,Reykjavík!$A$3:$K$3,0))</f>
        <v>375218</v>
      </c>
      <c r="U14" s="720">
        <f>INDEX(Reykjavík!$A$4:$L$9,MATCH($M14,Reykjavík!$A$4:$A$9,0),MATCH(U$11,Reykjavík!$A$3:$L$3,0))</f>
        <v>383726</v>
      </c>
      <c r="V14" s="720">
        <f>INDEX(Reykjavík!$A$4:$M$9,MATCH($M14,Reykjavík!$A$4:$A$9,0),MATCH(V$11,Reykjavík!$A$3:$M$3,0))</f>
        <v>389444</v>
      </c>
      <c r="W14" s="720">
        <f t="shared" si="1"/>
        <v>39976</v>
      </c>
      <c r="X14" s="721">
        <f t="shared" si="2"/>
        <v>0.11439101720329187</v>
      </c>
      <c r="Y14" s="855">
        <f>U14*1.05</f>
        <v>402912.3</v>
      </c>
      <c r="Z14" s="855">
        <f>V14*1.04</f>
        <v>405021.76</v>
      </c>
      <c r="AA14" s="720" t="s">
        <v>283</v>
      </c>
      <c r="AD14" s="853" t="s">
        <v>9</v>
      </c>
      <c r="AE14" s="853">
        <f t="shared" si="0"/>
        <v>53056.836599577196</v>
      </c>
      <c r="AF14" s="853">
        <f t="shared" si="0"/>
        <v>69002.328539332855</v>
      </c>
      <c r="AG14" s="853">
        <f t="shared" si="0"/>
        <v>73063.594417448272</v>
      </c>
      <c r="AH14" s="853">
        <f t="shared" si="0"/>
        <v>77165.733614047786</v>
      </c>
      <c r="AI14" s="853">
        <f t="shared" si="0"/>
        <v>79277.356794722858</v>
      </c>
      <c r="AJ14" s="853">
        <f t="shared" si="0"/>
        <v>82645.834813505004</v>
      </c>
      <c r="AK14" s="853">
        <f>INDEX($M$10:$Z$42,MATCH($AD14,$M$10:$M$42,0),MATCH(AK$11,$M$11:$V$11,0))</f>
        <v>80736.348080587733</v>
      </c>
      <c r="AL14" s="853">
        <v>0</v>
      </c>
      <c r="AM14" s="853">
        <v>0</v>
      </c>
      <c r="AN14" s="853">
        <v>0</v>
      </c>
      <c r="AO14" s="853">
        <v>0</v>
      </c>
      <c r="AP14" s="853">
        <f>_xlfn.XLOOKUP(AD14,$M$10:$M$42,$Y$10:$Y$42)</f>
        <v>32100</v>
      </c>
      <c r="AQ14" s="853">
        <f>_xlfn.XLOOKUP($AD14,$M$10:$M$42,$Z$10:$Z$42)</f>
        <v>13800</v>
      </c>
    </row>
    <row r="15" spans="2:43" ht="13.8" thickTop="1" x14ac:dyDescent="0.25">
      <c r="B15" s="224" t="s">
        <v>255</v>
      </c>
      <c r="C15" s="229">
        <f>INDEX(Reykjavík!$A$115:$M$157,MATCH("byggingariðnaður - orka á verkstað",Reykjavík!$A$115:$A$157,0),MATCH($D$4,Reykjavík!$A$3:$M$3,0))</f>
        <v>10250.817279999999</v>
      </c>
      <c r="G15" s="230"/>
      <c r="M15" t="str">
        <f>Reykjavík!A124</f>
        <v>Raforka</v>
      </c>
      <c r="N15"/>
      <c r="O15"/>
      <c r="P15" s="22">
        <f>INDEX(Reykjavík!$A$124:$K$153,MATCH($M15,Reykjavík!$A$124:$A$153,0),MATCH(P$11,Reykjavík!$A$123:$K$123,0))</f>
        <v>5450.5905930745503</v>
      </c>
      <c r="Q15" s="22">
        <f>INDEX(Reykjavík!$A$124:$K$153,MATCH($M15,Reykjavík!$A$124:$A$153,0),MATCH(Q$11,Reykjavík!$A$123:$K$123,0))</f>
        <v>5371.0467006119588</v>
      </c>
      <c r="R15" s="22">
        <f>INDEX(Reykjavík!$A$124:$K$153,MATCH($M15,Reykjavík!$A$124:$A$153,0),MATCH(R$11,Reykjavík!$A$123:$K$123,0))</f>
        <v>4991.7793484206677</v>
      </c>
      <c r="S15" s="22">
        <f>INDEX(Reykjavík!$A$124:$K$153,MATCH($M15,Reykjavík!$A$124:$A$153,0),MATCH(S$11,Reykjavík!$A$123:$K$123,0))</f>
        <v>5336.5331395499998</v>
      </c>
      <c r="T15" s="22">
        <f>INDEX(Reykjavík!$A$124:$K$153,MATCH($M15,Reykjavík!$A$124:$A$153,0),MATCH(T$11,Reykjavík!$A$123:$K$123,0))</f>
        <v>5211.077167553417</v>
      </c>
      <c r="U15" s="22">
        <f>INDEX(Reykjavík!$A$124:$L$153,MATCH($M15,Reykjavík!$A$124:$A$153,0),MATCH(U$11,Reykjavík!$A$123:$L$123,0))</f>
        <v>6725.7388949175356</v>
      </c>
      <c r="V15" s="22">
        <f>INDEX(Reykjavík!$A$124:$M$153,MATCH($M15,Reykjavík!$A$124:$A$153,0),MATCH(V$11,Reykjavík!$A$123:$M$123,0))</f>
        <v>5728.28418349</v>
      </c>
      <c r="W15" s="229">
        <f t="shared" si="1"/>
        <v>277.69359041544976</v>
      </c>
      <c r="X15" s="719">
        <f t="shared" si="2"/>
        <v>5.0947431415649461E-2</v>
      </c>
      <c r="Y15" s="22"/>
      <c r="Z15" s="22"/>
      <c r="AA15" t="s">
        <v>252</v>
      </c>
      <c r="AD15" s="853" t="s">
        <v>265</v>
      </c>
      <c r="AE15" s="853">
        <f t="shared" si="0"/>
        <v>32742.772235252847</v>
      </c>
      <c r="AF15" s="853">
        <f t="shared" si="0"/>
        <v>33685.190562420044</v>
      </c>
      <c r="AG15" s="853">
        <f t="shared" si="0"/>
        <v>33686.836341007816</v>
      </c>
      <c r="AH15" s="853">
        <f t="shared" si="0"/>
        <v>33598.078083519707</v>
      </c>
      <c r="AI15" s="853">
        <f t="shared" si="0"/>
        <v>33258.505033778521</v>
      </c>
      <c r="AJ15" s="853">
        <f t="shared" si="0"/>
        <v>33280.887103457702</v>
      </c>
      <c r="AK15" s="853">
        <f>INDEX($M$10:$Z$42,MATCH($AD15,$M$10:$M$42,0),MATCH(AK$11,$M$11:$V$11,0))</f>
        <v>33231.810757164916</v>
      </c>
      <c r="AL15" s="853">
        <v>0</v>
      </c>
      <c r="AM15" s="853">
        <v>0</v>
      </c>
      <c r="AN15" s="853">
        <v>0</v>
      </c>
      <c r="AO15" s="853">
        <v>0</v>
      </c>
      <c r="AP15" s="853">
        <f>_xlfn.XLOOKUP(AD15,$M$10:$M$42,$Y$10:$Y$42)</f>
        <v>12600</v>
      </c>
      <c r="AQ15" s="853">
        <f>_xlfn.XLOOKUP($AD15,$M$10:$M$42,$Z$10:$Z$42)</f>
        <v>9600</v>
      </c>
    </row>
    <row r="16" spans="2:43" ht="14.4" thickBot="1" x14ac:dyDescent="0.3">
      <c r="B16" s="227" t="s">
        <v>256</v>
      </c>
      <c r="C16" s="228">
        <f>C17+C18+C20</f>
        <v>319948.74774730793</v>
      </c>
      <c r="D16" s="229">
        <f>C17+C18+C20</f>
        <v>319948.74774730793</v>
      </c>
      <c r="F16" s="229"/>
      <c r="M16" t="str">
        <f>Reykjavík!A125</f>
        <v>Hitaveita</v>
      </c>
      <c r="N16"/>
      <c r="O16"/>
      <c r="P16" s="22">
        <f>INDEX(Reykjavík!$A$124:$K$153,MATCH($M16,Reykjavík!$A$124:$A$153,0),MATCH(P$11,Reykjavík!$A$123:$K$123,0))</f>
        <v>9824.6066400000018</v>
      </c>
      <c r="Q16" s="22">
        <f>INDEX(Reykjavík!$A$124:$K$153,MATCH($M16,Reykjavík!$A$124:$A$153,0),MATCH(Q$11,Reykjavík!$A$123:$K$123,0))</f>
        <v>10619.976906</v>
      </c>
      <c r="R16" s="22">
        <f>INDEX(Reykjavík!$A$124:$K$153,MATCH($M16,Reykjavík!$A$124:$A$153,0),MATCH(R$11,Reykjavík!$A$123:$K$123,0))</f>
        <v>10495.975985999999</v>
      </c>
      <c r="S16" s="22">
        <f>INDEX(Reykjavík!$A$124:$K$153,MATCH($M16,Reykjavík!$A$124:$A$153,0),MATCH(S$11,Reykjavík!$A$123:$K$123,0))</f>
        <v>10078.727723999998</v>
      </c>
      <c r="T16" s="22">
        <f>INDEX(Reykjavík!$A$124:$K$153,MATCH($M16,Reykjavík!$A$124:$A$153,0),MATCH(T$11,Reykjavík!$A$123:$K$123,0))</f>
        <v>10591.915697999999</v>
      </c>
      <c r="U16" s="22">
        <f>INDEX(Reykjavík!$A$124:$L$153,MATCH($M16,Reykjavík!$A$124:$A$153,0),MATCH(U$11,Reykjavík!$A$123:$L$123,0))</f>
        <v>11516.179927500001</v>
      </c>
      <c r="V16" s="22">
        <f>INDEX(Reykjavík!$A$124:$M$153,MATCH($M16,Reykjavík!$A$124:$A$153,0),MATCH(V$11,Reykjavík!$A$123:$M$123,0))</f>
        <v>9217.5785999999989</v>
      </c>
      <c r="W16" s="229">
        <f t="shared" si="1"/>
        <v>-607.02804000000287</v>
      </c>
      <c r="X16" s="719">
        <f t="shared" si="2"/>
        <v>-6.1786498151340005E-2</v>
      </c>
      <c r="Y16" s="22"/>
      <c r="Z16" s="22"/>
      <c r="AA16" t="s">
        <v>254</v>
      </c>
      <c r="AD16" s="853" t="str">
        <f>M36</f>
        <v>Efnanotkun og iðnaður</v>
      </c>
      <c r="AE16" s="853">
        <f t="shared" si="0"/>
        <v>98035.7230752912</v>
      </c>
      <c r="AF16" s="853">
        <f t="shared" si="0"/>
        <v>110135.62672787892</v>
      </c>
      <c r="AG16" s="853">
        <f t="shared" si="0"/>
        <v>110811.47507159892</v>
      </c>
      <c r="AH16" s="853">
        <f t="shared" si="0"/>
        <v>113098.08517796978</v>
      </c>
      <c r="AI16" s="853">
        <f t="shared" si="0"/>
        <v>108934.20041923884</v>
      </c>
      <c r="AJ16" s="853">
        <f t="shared" si="0"/>
        <v>97928.562366032915</v>
      </c>
      <c r="AK16" s="853">
        <f>INDEX($M$10:$Z$42,MATCH($AD16,$M$10:$M$42,0),MATCH(AK$11,$M$11:$V$11,0))</f>
        <v>104772.70263874003</v>
      </c>
      <c r="AL16" s="853">
        <v>0</v>
      </c>
      <c r="AM16" s="853">
        <v>0</v>
      </c>
      <c r="AN16" s="853">
        <v>0</v>
      </c>
      <c r="AO16" s="853">
        <v>0</v>
      </c>
      <c r="AP16" s="853">
        <f>_xlfn.XLOOKUP(AD16,$M$10:$M$42,$Y$10:$Y$42)</f>
        <v>33800</v>
      </c>
      <c r="AQ16" s="853">
        <f>_xlfn.XLOOKUP($AD16,$M$10:$M$42,$Z$10:$Z$42)</f>
        <v>21300</v>
      </c>
    </row>
    <row r="17" spans="2:43" ht="13.8" thickTop="1" x14ac:dyDescent="0.25">
      <c r="B17" s="224" t="s">
        <v>257</v>
      </c>
      <c r="C17" s="229">
        <f>INDEX(Reykjavík!$A$2:$M$73,MATCH("Losun vegna götuumferðar",Reykjavík!$A$2:$A$73,0),MATCH($D$4,Reykjavík!$A$3:$M$3,0))</f>
        <v>267348.79204361769</v>
      </c>
      <c r="M17" t="str">
        <f>Reykjavík!A144</f>
        <v>Staðbundin eldsneytisnotkun</v>
      </c>
      <c r="N17"/>
      <c r="O17"/>
      <c r="P17" s="22">
        <f>INDEX(Reykjavík!$A$124:$K$153,MATCH($M17,Reykjavík!$A$124:$A$153,0),MATCH(P$11,Reykjavík!$A$123:$K$123,0))</f>
        <v>7683.91104</v>
      </c>
      <c r="Q17" s="22">
        <f>INDEX(Reykjavík!$A$124:$K$153,MATCH($M17,Reykjavík!$A$124:$A$153,0),MATCH(Q$11,Reykjavík!$A$123:$K$123,0))</f>
        <v>9159.7187200000008</v>
      </c>
      <c r="R17" s="22">
        <f>INDEX(Reykjavík!$A$124:$K$153,MATCH($M17,Reykjavík!$A$124:$A$153,0),MATCH(R$11,Reykjavík!$A$123:$K$123,0))</f>
        <v>10352.59712</v>
      </c>
      <c r="S17" s="22">
        <f>INDEX(Reykjavík!$A$124:$K$153,MATCH($M17,Reykjavík!$A$124:$A$153,0),MATCH(S$11,Reykjavík!$A$123:$K$123,0))</f>
        <v>11441.828159999999</v>
      </c>
      <c r="T17" s="22">
        <f>INDEX(Reykjavík!$A$124:$K$153,MATCH($M17,Reykjavík!$A$124:$A$153,0),MATCH(T$11,Reykjavík!$A$123:$K$123,0))</f>
        <v>11713.085440000001</v>
      </c>
      <c r="U17" s="22">
        <f>INDEX(Reykjavík!$A$124:$L$153,MATCH($M17,Reykjavík!$A$124:$A$153,0),MATCH(U$11,Reykjavík!$A$123:$L$123,0))</f>
        <v>10724.70048</v>
      </c>
      <c r="V17" s="22">
        <f>INDEX(Reykjavík!$A$124:$M$153,MATCH($M17,Reykjavík!$A$124:$A$153,0),MATCH(V$11,Reykjavík!$A$123:$M$123,0))</f>
        <v>10250.817279999999</v>
      </c>
      <c r="W17" s="229">
        <f t="shared" si="1"/>
        <v>2566.9062399999993</v>
      </c>
      <c r="X17" s="719">
        <f t="shared" si="2"/>
        <v>0.33406246202454726</v>
      </c>
      <c r="Y17" s="22"/>
      <c r="Z17" s="22"/>
      <c r="AA17" t="s">
        <v>284</v>
      </c>
      <c r="AC17"/>
      <c r="AD17" s="853"/>
      <c r="AE17" s="853">
        <f>SUM(AE12:AE16)</f>
        <v>576785.58435005904</v>
      </c>
      <c r="AF17" s="853">
        <f t="shared" ref="AF17:AJ17" si="3">SUM(AF12:AF16)</f>
        <v>554953.81831999205</v>
      </c>
      <c r="AG17" s="853">
        <f t="shared" si="3"/>
        <v>579224.4205163928</v>
      </c>
      <c r="AH17" s="853">
        <f t="shared" si="3"/>
        <v>563223.35407954222</v>
      </c>
      <c r="AI17" s="853">
        <f t="shared" si="3"/>
        <v>589902.98938593676</v>
      </c>
      <c r="AJ17" s="853">
        <f t="shared" si="3"/>
        <v>577363.23679500446</v>
      </c>
      <c r="AK17" s="853">
        <f>SUM(AK12:AK16)</f>
        <v>563886.28928729065</v>
      </c>
      <c r="AL17" s="853">
        <v>0</v>
      </c>
      <c r="AM17" s="853">
        <v>0</v>
      </c>
      <c r="AN17" s="853">
        <v>0</v>
      </c>
      <c r="AO17" s="853">
        <v>0</v>
      </c>
      <c r="AP17" s="853">
        <f>SUM(AP12:AP16)</f>
        <v>174500</v>
      </c>
      <c r="AQ17" s="853">
        <f>SUM(AQ12:AQ16)</f>
        <v>111500</v>
      </c>
    </row>
    <row r="18" spans="2:43" ht="13.8" thickBot="1" x14ac:dyDescent="0.3">
      <c r="B18" s="224" t="s">
        <v>258</v>
      </c>
      <c r="C18" s="229">
        <f>INDEX(Reykjavík!$A$2:$M$73,MATCH("Losun vegna skipa",Reykjavík!$A$2:$A$73,0),MATCH($D$4,Reykjavík!$A$3:$M$3,0))</f>
        <v>48360</v>
      </c>
      <c r="M18" s="723" t="str">
        <f>Reykjavík!A126</f>
        <v>Orkunotkun</v>
      </c>
      <c r="N18" s="723"/>
      <c r="O18" s="723"/>
      <c r="P18" s="725">
        <f>INDEX(Reykjavík!$A$124:$K$153,MATCH($M18,Reykjavík!$A$124:$A$153,0),MATCH(P$11,Reykjavík!$A$123:$K$123,0))</f>
        <v>22959.108273074551</v>
      </c>
      <c r="Q18" s="725">
        <f>INDEX(Reykjavík!$A$124:$K$153,MATCH($M18,Reykjavík!$A$124:$A$153,0),MATCH(Q$11,Reykjavík!$A$123:$K$123,0))</f>
        <v>25150.742326611959</v>
      </c>
      <c r="R18" s="725">
        <f>INDEX(Reykjavík!$A$124:$K$153,MATCH($M18,Reykjavík!$A$124:$A$153,0),MATCH(R$11,Reykjavík!$A$123:$K$123,0))</f>
        <v>25840.352454420667</v>
      </c>
      <c r="S18" s="725">
        <f>INDEX(Reykjavík!$A$124:$K$153,MATCH($M18,Reykjavík!$A$124:$A$153,0),MATCH(S$11,Reykjavík!$A$123:$K$123,0))</f>
        <v>26857.089023549997</v>
      </c>
      <c r="T18" s="725">
        <f>INDEX(Reykjavík!$A$124:$K$153,MATCH($M18,Reykjavík!$A$124:$A$153,0),MATCH(T$11,Reykjavík!$A$123:$K$123,0))</f>
        <v>27516.078305553419</v>
      </c>
      <c r="U18" s="725">
        <f>INDEX(Reykjavík!$A$124:$L$153,MATCH($M18,Reykjavík!$A$124:$A$153,0),MATCH(U$11,Reykjavík!$A$123:$L$123,0))</f>
        <v>28966.619302417537</v>
      </c>
      <c r="V18" s="725">
        <f>INDEX(Reykjavík!$A$124:$M$153,MATCH($M18,Reykjavík!$A$124:$A$153,0),MATCH(V$11,Reykjavík!$A$123:$M$123,0))</f>
        <v>25196.680063489999</v>
      </c>
      <c r="W18" s="726">
        <f t="shared" si="1"/>
        <v>2237.571790415448</v>
      </c>
      <c r="X18" s="724">
        <f t="shared" si="2"/>
        <v>9.74590024926872E-2</v>
      </c>
      <c r="Y18" s="725">
        <v>10600</v>
      </c>
      <c r="Z18" s="725">
        <v>6700</v>
      </c>
      <c r="AA18" s="723" t="s">
        <v>251</v>
      </c>
      <c r="AD18" s="853"/>
      <c r="AE18" s="853"/>
      <c r="AF18" s="853"/>
      <c r="AG18" s="853"/>
      <c r="AH18" s="853"/>
      <c r="AI18" s="853"/>
      <c r="AJ18" s="853"/>
      <c r="AK18" s="853"/>
      <c r="AL18" s="853"/>
      <c r="AM18" s="853"/>
      <c r="AN18" s="853"/>
      <c r="AO18" s="853"/>
      <c r="AP18" s="853"/>
      <c r="AQ18" s="853"/>
    </row>
    <row r="19" spans="2:43" ht="13.8" thickTop="1" x14ac:dyDescent="0.25">
      <c r="B19" s="224" t="s">
        <v>259</v>
      </c>
      <c r="C19" s="229">
        <f>INDEX(Reykjavík!$A$2:$M$73,MATCH(" Með Well to Tank",Reykjavík!$A$2:$A$73,0),MATCH($D$4,Reykjavík!$A$3:$M$3,0))</f>
        <v>59050</v>
      </c>
      <c r="M19" t="str">
        <f>Reykjavík!A127</f>
        <v>Fólksbifreiðar</v>
      </c>
      <c r="N19"/>
      <c r="O19"/>
      <c r="P19" s="22">
        <f>INDEX(Reykjavík!$A$124:$K$153,MATCH($M19,Reykjavík!$A$124:$A$153,0),MATCH(P$11,Reykjavík!$A$123:$K$123,0))</f>
        <v>219170.78903907636</v>
      </c>
      <c r="Q19" s="22">
        <f>INDEX(Reykjavík!$A$124:$K$153,MATCH($M19,Reykjavík!$A$124:$A$153,0),MATCH(Q$11,Reykjavík!$A$123:$K$123,0))</f>
        <v>193663.40007202598</v>
      </c>
      <c r="R19" s="22">
        <f>INDEX(Reykjavík!$A$124:$K$153,MATCH($M19,Reykjavík!$A$124:$A$153,0),MATCH(R$11,Reykjavík!$A$123:$K$123,0))</f>
        <v>202765.45022866575</v>
      </c>
      <c r="S19" s="22">
        <f>INDEX(Reykjavík!$A$124:$K$153,MATCH($M19,Reykjavík!$A$124:$A$153,0),MATCH(S$11,Reykjavík!$A$123:$K$123,0))</f>
        <v>174864.49908137057</v>
      </c>
      <c r="T19" s="22">
        <f>INDEX(Reykjavík!$A$124:$K$153,MATCH($M19,Reykjavík!$A$124:$A$153,0),MATCH(T$11,Reykjavík!$A$123:$K$123,0))</f>
        <v>188905.90072786019</v>
      </c>
      <c r="U19" s="22">
        <f>INDEX(Reykjavík!$A$124:$L$153,MATCH($M19,Reykjavík!$A$124:$A$153,0),MATCH(U$11,Reykjavík!$A$123:$L$123,0))</f>
        <v>178623.4057922067</v>
      </c>
      <c r="V19" s="22">
        <f>INDEX(Reykjavík!$A$124:$M$153,MATCH($M19,Reykjavík!$A$124:$A$153,0),MATCH(V$11,Reykjavík!$A$123:$M$123,0))</f>
        <v>168292.77399932733</v>
      </c>
      <c r="W19" s="229">
        <f t="shared" si="1"/>
        <v>-50878.015039749036</v>
      </c>
      <c r="X19" s="719">
        <f t="shared" si="2"/>
        <v>-0.2321386680351728</v>
      </c>
      <c r="Y19" s="22"/>
      <c r="Z19" s="22"/>
      <c r="AA19" t="s">
        <v>285</v>
      </c>
      <c r="AD19" s="853"/>
      <c r="AE19" s="853"/>
      <c r="AF19" s="853"/>
      <c r="AG19" s="853"/>
      <c r="AH19" s="853"/>
      <c r="AI19" s="853"/>
      <c r="AJ19" s="853"/>
      <c r="AK19" s="853"/>
      <c r="AL19" s="853"/>
      <c r="AM19" s="853"/>
      <c r="AN19" s="853"/>
      <c r="AO19" s="853"/>
      <c r="AP19" s="853"/>
      <c r="AQ19" s="853"/>
    </row>
    <row r="20" spans="2:43" x14ac:dyDescent="0.25">
      <c r="B20" s="224" t="s">
        <v>260</v>
      </c>
      <c r="C20" s="229">
        <f>INDEX(Reykjavík!$A$2:$M$73,MATCH("Losun vegna flugumferðar",Reykjavík!$A$2:$A$73,0),MATCH($D$4,Reykjavík!$A$3:$M$3,0))</f>
        <v>4239.9557036902197</v>
      </c>
      <c r="M20" t="str">
        <f>Reykjavík!A128</f>
        <v>Hópbifreiðar</v>
      </c>
      <c r="N20"/>
      <c r="O20"/>
      <c r="P20" s="22">
        <f>INDEX(Reykjavík!$A$124:$K$153,MATCH($M20,Reykjavík!$A$124:$A$153,0),MATCH(P$11,Reykjavík!$A$123:$K$123,0))</f>
        <v>16084.187993359437</v>
      </c>
      <c r="Q20" s="22">
        <f>INDEX(Reykjavík!$A$124:$K$153,MATCH($M20,Reykjavík!$A$124:$A$153,0),MATCH(Q$11,Reykjavík!$A$123:$K$123,0))</f>
        <v>12467.432570562598</v>
      </c>
      <c r="R20" s="22">
        <f>INDEX(Reykjavík!$A$124:$K$153,MATCH($M20,Reykjavík!$A$124:$A$153,0),MATCH(R$11,Reykjavík!$A$123:$K$123,0))</f>
        <v>10766.747558784729</v>
      </c>
      <c r="S20" s="22">
        <f>INDEX(Reykjavík!$A$124:$K$153,MATCH($M20,Reykjavík!$A$124:$A$153,0),MATCH(S$11,Reykjavík!$A$123:$K$123,0))</f>
        <v>14312.838005175754</v>
      </c>
      <c r="T20" s="22">
        <f>INDEX(Reykjavík!$A$124:$K$153,MATCH($M20,Reykjavík!$A$124:$A$153,0),MATCH(T$11,Reykjavík!$A$123:$K$123,0))</f>
        <v>20658.314550446357</v>
      </c>
      <c r="U20" s="22">
        <f>INDEX(Reykjavík!$A$124:$L$153,MATCH($M20,Reykjavík!$A$124:$A$153,0),MATCH(U$11,Reykjavík!$A$123:$L$123,0))</f>
        <v>20577.222585386964</v>
      </c>
      <c r="V20" s="22">
        <f>INDEX(Reykjavík!$A$124:$M$153,MATCH($M20,Reykjavík!$A$124:$A$153,0),MATCH(V$11,Reykjavík!$A$123:$M$123,0))</f>
        <v>20641.09091548514</v>
      </c>
      <c r="W20" s="229">
        <f t="shared" si="1"/>
        <v>4556.9029221257024</v>
      </c>
      <c r="X20" s="719">
        <f t="shared" si="2"/>
        <v>0.28331569638498866</v>
      </c>
      <c r="Y20" s="22"/>
      <c r="Z20" s="22"/>
      <c r="AA20" t="s">
        <v>286</v>
      </c>
      <c r="AD20" s="853"/>
      <c r="AE20" s="853">
        <v>2019</v>
      </c>
      <c r="AF20" s="853">
        <v>2020</v>
      </c>
      <c r="AG20" s="853">
        <v>2021</v>
      </c>
      <c r="AH20" s="853">
        <v>2022</v>
      </c>
      <c r="AI20" s="853">
        <v>2023</v>
      </c>
      <c r="AJ20" s="853">
        <v>2024</v>
      </c>
      <c r="AK20" s="853">
        <v>2025</v>
      </c>
      <c r="AL20" s="853">
        <v>2026</v>
      </c>
      <c r="AM20" s="853">
        <v>2027</v>
      </c>
      <c r="AN20" s="853">
        <v>2028</v>
      </c>
      <c r="AO20" s="853">
        <v>2029</v>
      </c>
      <c r="AP20" s="853" t="s">
        <v>287</v>
      </c>
      <c r="AQ20" s="853" t="s">
        <v>281</v>
      </c>
    </row>
    <row r="21" spans="2:43" ht="14.4" thickBot="1" x14ac:dyDescent="0.3">
      <c r="B21" s="227" t="s">
        <v>9</v>
      </c>
      <c r="C21" s="228">
        <f>C23+C25+C27+C28+C29</f>
        <v>80736.348080587748</v>
      </c>
      <c r="D21" s="229">
        <f>C23+C25+C29</f>
        <v>53354.341154281959</v>
      </c>
      <c r="F21" s="229">
        <f>C28+C27</f>
        <v>27382.006926305781</v>
      </c>
      <c r="M21" t="str">
        <f>Reykjavík!A129</f>
        <v>Vörubifreiðar</v>
      </c>
      <c r="N21"/>
      <c r="O21"/>
      <c r="P21" s="22">
        <f>INDEX(Reykjavík!$A$124:$K$153,MATCH($M21,Reykjavík!$A$124:$A$153,0),MATCH(P$11,Reykjavík!$A$123:$K$123,0))</f>
        <v>80198.968864141279</v>
      </c>
      <c r="Q21" s="22">
        <f>INDEX(Reykjavík!$A$124:$K$153,MATCH($M21,Reykjavík!$A$124:$A$153,0),MATCH(Q$11,Reykjavík!$A$123:$K$123,0))</f>
        <v>71066.539269751345</v>
      </c>
      <c r="R21" s="22">
        <f>INDEX(Reykjavík!$A$124:$K$153,MATCH($M21,Reykjavík!$A$124:$A$153,0),MATCH(R$11,Reykjavík!$A$123:$K$123,0))</f>
        <v>85661.083073303598</v>
      </c>
      <c r="S21" s="22">
        <f>INDEX(Reykjavík!$A$124:$K$153,MATCH($M21,Reykjavík!$A$124:$A$153,0),MATCH(S$11,Reykjavík!$A$123:$K$123,0))</f>
        <v>72967.854488138226</v>
      </c>
      <c r="T21" s="22">
        <f>INDEX(Reykjavík!$A$124:$K$153,MATCH($M21,Reykjavík!$A$124:$A$153,0),MATCH(T$11,Reykjavík!$A$123:$K$123,0))</f>
        <v>72561.38301315096</v>
      </c>
      <c r="U21" s="22">
        <f>INDEX(Reykjavík!$A$124:$L$153,MATCH($M21,Reykjavík!$A$124:$A$153,0),MATCH(U$11,Reykjavík!$A$123:$L$123,0))</f>
        <v>75911.139432866505</v>
      </c>
      <c r="V21" s="22">
        <f>INDEX(Reykjavík!$A$124:$M$153,MATCH($M21,Reykjavík!$A$124:$A$153,0),MATCH(V$11,Reykjavík!$A$123:$M$123,0))</f>
        <v>78414.927128805197</v>
      </c>
      <c r="W21" s="229">
        <f t="shared" si="1"/>
        <v>-1784.0417353360826</v>
      </c>
      <c r="X21" s="719">
        <f t="shared" si="2"/>
        <v>-2.2245195425869956E-2</v>
      </c>
      <c r="Y21" s="22"/>
      <c r="Z21" s="22"/>
      <c r="AA21" t="s">
        <v>288</v>
      </c>
      <c r="AD21" s="853" t="s">
        <v>251</v>
      </c>
      <c r="AE21" s="853">
        <f>AE12/1000</f>
        <v>22.959108273074552</v>
      </c>
      <c r="AF21" s="853">
        <f t="shared" ref="AF21:AQ21" si="4">AF12/1000</f>
        <v>25.150742326611958</v>
      </c>
      <c r="AG21" s="853">
        <f t="shared" si="4"/>
        <v>25.840352454420668</v>
      </c>
      <c r="AH21" s="853">
        <f t="shared" si="4"/>
        <v>26.857089023549996</v>
      </c>
      <c r="AI21" s="853">
        <f t="shared" si="4"/>
        <v>27.516078305553421</v>
      </c>
      <c r="AJ21" s="853">
        <f t="shared" si="4"/>
        <v>28.966619302417538</v>
      </c>
      <c r="AK21" s="853">
        <f t="shared" si="4"/>
        <v>25.19668006349</v>
      </c>
      <c r="AL21" s="853">
        <f t="shared" si="4"/>
        <v>0</v>
      </c>
      <c r="AM21" s="853">
        <f t="shared" si="4"/>
        <v>0</v>
      </c>
      <c r="AN21" s="853">
        <f t="shared" si="4"/>
        <v>0</v>
      </c>
      <c r="AO21" s="853">
        <f t="shared" si="4"/>
        <v>0</v>
      </c>
      <c r="AP21" s="853">
        <f t="shared" si="4"/>
        <v>10.6</v>
      </c>
      <c r="AQ21" s="853">
        <f t="shared" si="4"/>
        <v>6.7</v>
      </c>
    </row>
    <row r="22" spans="2:43" ht="13.8" thickTop="1" x14ac:dyDescent="0.25">
      <c r="B22" s="224" t="s">
        <v>261</v>
      </c>
      <c r="C22" s="229">
        <f>INDEX(Reykjavík!$A$2:$M$73,MATCH("Losun vegna urðunar",Reykjavík!$A$2:$A$73,0),MATCH($D$4,Reykjavík!$A$3:$M$3,0))</f>
        <v>85028.940418953818</v>
      </c>
      <c r="M22" t="str">
        <f>Reykjavík!A130</f>
        <v>Skipaumferð</v>
      </c>
      <c r="N22"/>
      <c r="O22"/>
      <c r="P22" s="22">
        <f>INDEX(Reykjavík!$A$124:$K$153,MATCH($M22,Reykjavík!$A$124:$A$153,0),MATCH(P$11,Reykjavík!$A$123:$K$123,0))</f>
        <v>47600</v>
      </c>
      <c r="Q22" s="22">
        <f>INDEX(Reykjavík!$A$124:$K$153,MATCH($M22,Reykjavík!$A$124:$A$153,0),MATCH(Q$11,Reykjavík!$A$123:$K$123,0))</f>
        <v>35240</v>
      </c>
      <c r="R22" s="22">
        <f>INDEX(Reykjavík!$A$124:$K$153,MATCH($M22,Reykjavík!$A$124:$A$153,0),MATCH(R$11,Reykjavík!$A$123:$K$123,0))</f>
        <v>29930</v>
      </c>
      <c r="S22" s="22">
        <f>INDEX(Reykjavík!$A$124:$K$153,MATCH($M22,Reykjavík!$A$124:$A$153,0),MATCH(S$11,Reykjavík!$A$123:$K$123,0))</f>
        <v>44420</v>
      </c>
      <c r="T22" s="22">
        <f>INDEX(Reykjavík!$A$124:$K$153,MATCH($M22,Reykjavík!$A$124:$A$153,0),MATCH(T$11,Reykjavík!$A$123:$K$123,0))</f>
        <v>52390</v>
      </c>
      <c r="U22" s="22">
        <f>INDEX(Reykjavík!$A$124:$L$153,MATCH($M22,Reykjavík!$A$124:$A$153,0),MATCH(U$11,Reykjavík!$A$123:$L$123,0))</f>
        <v>53090</v>
      </c>
      <c r="V22" s="22">
        <f>INDEX(Reykjavík!$A$124:$M$153,MATCH($M22,Reykjavík!$A$124:$A$153,0),MATCH(V$11,Reykjavík!$A$123:$M$123,0))</f>
        <v>48360</v>
      </c>
      <c r="W22" s="229">
        <f t="shared" si="1"/>
        <v>760</v>
      </c>
      <c r="X22" s="719">
        <f t="shared" si="2"/>
        <v>1.5966386554621848E-2</v>
      </c>
      <c r="Y22" s="22"/>
      <c r="Z22" s="22"/>
      <c r="AA22" t="s">
        <v>258</v>
      </c>
      <c r="AD22" s="853" t="s">
        <v>256</v>
      </c>
      <c r="AE22" s="853">
        <f t="shared" ref="AE22:AQ26" si="5">AE13/1000</f>
        <v>369.99114416686319</v>
      </c>
      <c r="AF22" s="853">
        <f t="shared" si="5"/>
        <v>316.97993016374829</v>
      </c>
      <c r="AG22" s="853">
        <f t="shared" si="5"/>
        <v>335.82216223191716</v>
      </c>
      <c r="AH22" s="853">
        <f t="shared" si="5"/>
        <v>312.504368180455</v>
      </c>
      <c r="AI22" s="853">
        <f t="shared" si="5"/>
        <v>340.9168488326431</v>
      </c>
      <c r="AJ22" s="853">
        <f t="shared" si="5"/>
        <v>334.5413332095913</v>
      </c>
      <c r="AK22" s="853">
        <f t="shared" si="5"/>
        <v>319.94874774730795</v>
      </c>
      <c r="AL22" s="853">
        <f t="shared" si="5"/>
        <v>0</v>
      </c>
      <c r="AM22" s="853">
        <f t="shared" si="5"/>
        <v>0</v>
      </c>
      <c r="AN22" s="853">
        <f t="shared" si="5"/>
        <v>0</v>
      </c>
      <c r="AO22" s="853">
        <f t="shared" si="5"/>
        <v>0</v>
      </c>
      <c r="AP22" s="853">
        <f t="shared" si="5"/>
        <v>85.4</v>
      </c>
      <c r="AQ22" s="853">
        <f t="shared" si="5"/>
        <v>60.1</v>
      </c>
    </row>
    <row r="23" spans="2:43" x14ac:dyDescent="0.25">
      <c r="B23" s="230" t="s">
        <v>262</v>
      </c>
      <c r="C23" s="229">
        <f>INDEX(Reykjavík!$A$2:$M$73,MATCH("urðun úrgangs reykjavíkur",Reykjavík!$A$2:$A$73,0),MATCH($D$4,Reykjavík!$A$3:$M$3,0))</f>
        <v>47435.151012526723</v>
      </c>
      <c r="E23" s="229"/>
      <c r="M23" t="str">
        <f>Reykjavík!A131</f>
        <v>Flugumferð</v>
      </c>
      <c r="N23"/>
      <c r="O23"/>
      <c r="P23" s="22">
        <f>INDEX(Reykjavík!$A$124:$K$153,MATCH($M23,Reykjavík!$A$124:$A$153,0),MATCH(P$11,Reykjavík!$A$123:$K$123,0))</f>
        <v>6937.1982702861123</v>
      </c>
      <c r="Q23" s="22">
        <f>INDEX(Reykjavík!$A$124:$K$153,MATCH($M23,Reykjavík!$A$124:$A$153,0),MATCH(Q$11,Reykjavík!$A$123:$K$123,0))</f>
        <v>4542.5582514083553</v>
      </c>
      <c r="R23" s="22">
        <f>INDEX(Reykjavík!$A$124:$K$153,MATCH($M23,Reykjavík!$A$124:$A$153,0),MATCH(R$11,Reykjavík!$A$123:$K$123,0))</f>
        <v>6698.8813711630573</v>
      </c>
      <c r="S23" s="22">
        <f>INDEX(Reykjavík!$A$124:$K$153,MATCH($M23,Reykjavík!$A$124:$A$153,0),MATCH(S$11,Reykjavík!$A$123:$K$123,0))</f>
        <v>5939.1766057704244</v>
      </c>
      <c r="T23" s="22">
        <f>INDEX(Reykjavík!$A$124:$K$153,MATCH($M23,Reykjavík!$A$124:$A$153,0),MATCH(T$11,Reykjavík!$A$123:$K$123,0))</f>
        <v>6401.2505411855846</v>
      </c>
      <c r="U23" s="22">
        <f>INDEX(Reykjavík!$A$124:$L$153,MATCH($M23,Reykjavík!$A$124:$A$153,0),MATCH(U$11,Reykjavík!$A$123:$L$123,0))</f>
        <v>6339.5653991310719</v>
      </c>
      <c r="V23" s="22">
        <f>INDEX(Reykjavík!$A$124:$M$153,MATCH($M23,Reykjavík!$A$124:$A$153,0),MATCH(V$11,Reykjavík!$A$123:$M$123,0))</f>
        <v>4239.9557036902197</v>
      </c>
      <c r="W23" s="229">
        <f t="shared" si="1"/>
        <v>-2697.2425665958926</v>
      </c>
      <c r="X23" s="719">
        <f t="shared" si="2"/>
        <v>-0.38880863159827916</v>
      </c>
      <c r="Y23" s="22"/>
      <c r="Z23" s="22"/>
      <c r="AA23" t="s">
        <v>260</v>
      </c>
      <c r="AD23" s="853" t="s">
        <v>9</v>
      </c>
      <c r="AE23" s="853">
        <f t="shared" si="5"/>
        <v>53.056836599577196</v>
      </c>
      <c r="AF23" s="853">
        <f t="shared" si="5"/>
        <v>69.002328539332851</v>
      </c>
      <c r="AG23" s="853">
        <f t="shared" si="5"/>
        <v>73.063594417448272</v>
      </c>
      <c r="AH23" s="853">
        <f t="shared" si="5"/>
        <v>77.165733614047781</v>
      </c>
      <c r="AI23" s="853">
        <f t="shared" si="5"/>
        <v>79.277356794722863</v>
      </c>
      <c r="AJ23" s="853">
        <f t="shared" si="5"/>
        <v>82.645834813505004</v>
      </c>
      <c r="AK23" s="853">
        <f t="shared" si="5"/>
        <v>80.736348080587732</v>
      </c>
      <c r="AL23" s="853">
        <f t="shared" si="5"/>
        <v>0</v>
      </c>
      <c r="AM23" s="853">
        <f t="shared" si="5"/>
        <v>0</v>
      </c>
      <c r="AN23" s="853">
        <f t="shared" si="5"/>
        <v>0</v>
      </c>
      <c r="AO23" s="853">
        <f t="shared" si="5"/>
        <v>0</v>
      </c>
      <c r="AP23" s="853">
        <f t="shared" si="5"/>
        <v>32.1</v>
      </c>
      <c r="AQ23" s="853">
        <f t="shared" si="5"/>
        <v>13.8</v>
      </c>
    </row>
    <row r="24" spans="2:43" ht="13.8" thickBot="1" x14ac:dyDescent="0.3">
      <c r="B24" s="230" t="s">
        <v>31</v>
      </c>
      <c r="C24" s="229">
        <f>INDEX(Reykjavík!$A$2:$M$73,MATCH("losun vegna jarðgerðar",Reykjavík!$A$2:$A$73,0),MATCH($D$4,Reykjavík!$A$3:$M$3,0))</f>
        <v>4015.1789999999996</v>
      </c>
      <c r="M24" s="723" t="str">
        <f>Reykjavík!A132</f>
        <v>Samgöngur</v>
      </c>
      <c r="N24" s="723"/>
      <c r="O24" s="723"/>
      <c r="P24" s="725">
        <f>INDEX(Reykjavík!$A$124:$K$153,MATCH($M24,Reykjavík!$A$124:$A$153,0),MATCH(P$11,Reykjavík!$A$123:$K$123,0))</f>
        <v>369991.14416686317</v>
      </c>
      <c r="Q24" s="725">
        <f>INDEX(Reykjavík!$A$124:$K$153,MATCH($M24,Reykjavík!$A$124:$A$153,0),MATCH(Q$11,Reykjavík!$A$123:$K$123,0))</f>
        <v>316979.93016374827</v>
      </c>
      <c r="R24" s="725">
        <f>INDEX(Reykjavík!$A$124:$K$153,MATCH($M24,Reykjavík!$A$124:$A$153,0),MATCH(R$11,Reykjavík!$A$123:$K$123,0))</f>
        <v>335822.16223191714</v>
      </c>
      <c r="S24" s="725">
        <f>INDEX(Reykjavík!$A$124:$K$153,MATCH($M24,Reykjavík!$A$124:$A$153,0),MATCH(S$11,Reykjavík!$A$123:$K$123,0))</f>
        <v>312504.368180455</v>
      </c>
      <c r="T24" s="725">
        <f>INDEX(Reykjavík!$A$124:$K$153,MATCH($M24,Reykjavík!$A$124:$A$153,0),MATCH(T$11,Reykjavík!$A$123:$K$123,0))</f>
        <v>340916.84883264313</v>
      </c>
      <c r="U24" s="725">
        <f>INDEX(Reykjavík!$A$124:$L$153,MATCH($M24,Reykjavík!$A$124:$A$153,0),MATCH(U$11,Reykjavík!$A$123:$L$123,0))</f>
        <v>334541.33320959128</v>
      </c>
      <c r="V24" s="725">
        <f>INDEX(Reykjavík!$A$124:$M$153,MATCH($M24,Reykjavík!$A$124:$A$153,0),MATCH(V$11,Reykjavík!$A$123:$M$123,0))</f>
        <v>319948.74774730793</v>
      </c>
      <c r="W24" s="726">
        <f t="shared" si="1"/>
        <v>-50042.39641955524</v>
      </c>
      <c r="X24" s="724">
        <f t="shared" si="2"/>
        <v>-0.13525295728966558</v>
      </c>
      <c r="Y24" s="725">
        <v>85400</v>
      </c>
      <c r="Z24" s="725">
        <v>60100</v>
      </c>
      <c r="AA24" s="723" t="s">
        <v>256</v>
      </c>
      <c r="AD24" s="853" t="s">
        <v>265</v>
      </c>
      <c r="AE24" s="853">
        <f t="shared" si="5"/>
        <v>32.742772235252851</v>
      </c>
      <c r="AF24" s="853">
        <f t="shared" si="5"/>
        <v>33.685190562420047</v>
      </c>
      <c r="AG24" s="853">
        <f t="shared" si="5"/>
        <v>33.686836341007819</v>
      </c>
      <c r="AH24" s="853">
        <f t="shared" si="5"/>
        <v>33.598078083519709</v>
      </c>
      <c r="AI24" s="853">
        <f t="shared" si="5"/>
        <v>33.258505033778519</v>
      </c>
      <c r="AJ24" s="853">
        <f t="shared" si="5"/>
        <v>33.280887103457701</v>
      </c>
      <c r="AK24" s="853">
        <f t="shared" si="5"/>
        <v>33.231810757164915</v>
      </c>
      <c r="AL24" s="853">
        <f t="shared" si="5"/>
        <v>0</v>
      </c>
      <c r="AM24" s="853">
        <f t="shared" si="5"/>
        <v>0</v>
      </c>
      <c r="AN24" s="853">
        <f t="shared" si="5"/>
        <v>0</v>
      </c>
      <c r="AO24" s="853">
        <f t="shared" si="5"/>
        <v>0</v>
      </c>
      <c r="AP24" s="853">
        <f>AP15/1000</f>
        <v>12.6</v>
      </c>
      <c r="AQ24" s="853">
        <f t="shared" si="5"/>
        <v>9.6</v>
      </c>
    </row>
    <row r="25" spans="2:43" ht="13.8" thickTop="1" x14ac:dyDescent="0.25">
      <c r="B25" s="230" t="s">
        <v>262</v>
      </c>
      <c r="C25" s="229">
        <f>INDEX(Reykjavík!$A$2:$M$73,MATCH("jarðgerð úrgangs reykjavíkur",Reykjavík!$A$2:$A$73,0),MATCH($D$4,Reykjavík!$A$3:$M$3,0))</f>
        <v>2239.9505541159301</v>
      </c>
      <c r="M25" t="str">
        <f>Reykjavík!A133</f>
        <v>Urðun</v>
      </c>
      <c r="N25"/>
      <c r="O25"/>
      <c r="P25" s="22">
        <f>INDEX(Reykjavík!$A$124:$K$153,MATCH($M25,Reykjavík!$A$124:$A$153,0),MATCH(P$11,Reykjavík!$A$123:$K$123,0))</f>
        <v>45762.527610931633</v>
      </c>
      <c r="Q25" s="22">
        <f>INDEX(Reykjavík!$A$124:$K$153,MATCH($M25,Reykjavík!$A$124:$A$153,0),MATCH(Q$11,Reykjavík!$A$123:$K$123,0))</f>
        <v>60981.069374793056</v>
      </c>
      <c r="R25" s="22">
        <f>INDEX(Reykjavík!$A$124:$K$153,MATCH($M25,Reykjavík!$A$124:$A$153,0),MATCH(R$11,Reykjavík!$A$123:$K$123,0))</f>
        <v>62533.83298489415</v>
      </c>
      <c r="S25" s="22">
        <f>INDEX(Reykjavík!$A$124:$K$153,MATCH($M25,Reykjavík!$A$124:$A$153,0),MATCH(S$11,Reykjavík!$A$123:$K$123,0))</f>
        <v>65987.702439132394</v>
      </c>
      <c r="T25" s="22">
        <f>INDEX(Reykjavík!$A$124:$K$153,MATCH($M25,Reykjavík!$A$124:$A$153,0),MATCH(T$11,Reykjavík!$A$123:$K$123,0))</f>
        <v>57916.063060096756</v>
      </c>
      <c r="U25" s="22">
        <f>INDEX(Reykjavík!$A$124:$L$153,MATCH($M25,Reykjavík!$A$124:$A$153,0),MATCH(U$11,Reykjavík!$A$123:$L$123,0))</f>
        <v>53423.564761772162</v>
      </c>
      <c r="V25" s="22">
        <f>INDEX(Reykjavík!$A$124:$M$153,MATCH($M25,Reykjavík!$A$124:$A$153,0),MATCH(V$11,Reykjavík!$A$123:$M$123,0))</f>
        <v>47435.151012526723</v>
      </c>
      <c r="W25" s="229">
        <f t="shared" si="1"/>
        <v>1672.6234015950904</v>
      </c>
      <c r="X25" s="719">
        <f t="shared" si="2"/>
        <v>3.6550065936382818E-2</v>
      </c>
      <c r="Y25" s="22"/>
      <c r="Z25" s="22"/>
      <c r="AA25" t="s">
        <v>261</v>
      </c>
      <c r="AD25" s="853" t="s">
        <v>25</v>
      </c>
      <c r="AE25" s="853">
        <f t="shared" si="5"/>
        <v>98.035723075291202</v>
      </c>
      <c r="AF25" s="853">
        <f t="shared" si="5"/>
        <v>110.13562672787891</v>
      </c>
      <c r="AG25" s="853">
        <f t="shared" si="5"/>
        <v>110.81147507159892</v>
      </c>
      <c r="AH25" s="853">
        <f t="shared" si="5"/>
        <v>113.09808517796978</v>
      </c>
      <c r="AI25" s="853">
        <f t="shared" si="5"/>
        <v>108.93420041923883</v>
      </c>
      <c r="AJ25" s="853">
        <f t="shared" si="5"/>
        <v>97.928562366032921</v>
      </c>
      <c r="AK25" s="853">
        <f t="shared" si="5"/>
        <v>104.77270263874003</v>
      </c>
      <c r="AL25" s="853">
        <f t="shared" si="5"/>
        <v>0</v>
      </c>
      <c r="AM25" s="853">
        <f t="shared" si="5"/>
        <v>0</v>
      </c>
      <c r="AN25" s="853">
        <f t="shared" si="5"/>
        <v>0</v>
      </c>
      <c r="AO25" s="853">
        <f t="shared" si="5"/>
        <v>0</v>
      </c>
      <c r="AP25" s="853">
        <f t="shared" si="5"/>
        <v>33.799999999999997</v>
      </c>
      <c r="AQ25" s="853">
        <f t="shared" si="5"/>
        <v>21.3</v>
      </c>
    </row>
    <row r="26" spans="2:43" x14ac:dyDescent="0.25">
      <c r="B26" s="230" t="s">
        <v>263</v>
      </c>
      <c r="C26" s="229">
        <f>INDEX(Reykjavík!$A$2:$M$73,MATCH("Losun vegna brennslu erlendis",Reykjavík!$A$2:$A$73,0),MATCH($D$4,Reykjavík!$A$3:$M$3,0))</f>
        <v>70233.206950969936</v>
      </c>
      <c r="M26" t="str">
        <f>Reykjavík!A134</f>
        <v>Jarðgerð</v>
      </c>
      <c r="N26"/>
      <c r="O26"/>
      <c r="P26" s="22">
        <f>INDEX(Reykjavík!$A$124:$K$153,MATCH($M26,Reykjavík!$A$124:$A$153,0),MATCH(P$11,Reykjavík!$A$123:$K$123,0))</f>
        <v>0</v>
      </c>
      <c r="Q26" s="22">
        <f>INDEX(Reykjavík!$A$124:$K$153,MATCH($M26,Reykjavík!$A$124:$A$153,0),MATCH(Q$11,Reykjavík!$A$123:$K$123,0))</f>
        <v>243.47979206500958</v>
      </c>
      <c r="R26" s="22">
        <f>INDEX(Reykjavík!$A$124:$K$153,MATCH($M26,Reykjavík!$A$124:$A$153,0),MATCH(R$11,Reykjavík!$A$123:$K$123,0))</f>
        <v>2088.8221191568009</v>
      </c>
      <c r="S26" s="22">
        <f>INDEX(Reykjavík!$A$124:$K$153,MATCH($M26,Reykjavík!$A$124:$A$153,0),MATCH(S$11,Reykjavík!$A$123:$K$123,0))</f>
        <v>3119.8323980971909</v>
      </c>
      <c r="T26" s="22">
        <f>INDEX(Reykjavík!$A$124:$K$153,MATCH($M26,Reykjavík!$A$124:$A$153,0),MATCH(T$11,Reykjavík!$A$123:$K$123,0))</f>
        <v>3460.334784514715</v>
      </c>
      <c r="U26" s="22">
        <f>INDEX(Reykjavík!$A$124:$L$153,MATCH($M26,Reykjavík!$A$124:$A$153,0),MATCH(U$11,Reykjavík!$A$123:$L$123,0))</f>
        <v>2231.1070642701343</v>
      </c>
      <c r="V26" s="22">
        <f>INDEX(Reykjavík!$A$124:$M$153,MATCH($M26,Reykjavík!$A$124:$A$153,0),MATCH(V$11,Reykjavík!$A$123:$M$123,0))</f>
        <v>2239.9505541159301</v>
      </c>
      <c r="W26" s="229">
        <f t="shared" si="1"/>
        <v>2239.9505541159301</v>
      </c>
      <c r="X26" s="733" t="s">
        <v>289</v>
      </c>
      <c r="Y26" s="22"/>
      <c r="Z26" s="22"/>
      <c r="AA26" t="s">
        <v>31</v>
      </c>
      <c r="AD26" s="853"/>
      <c r="AE26" s="853">
        <f>AE17/1000</f>
        <v>576.78558435005903</v>
      </c>
      <c r="AF26" s="853">
        <f t="shared" si="5"/>
        <v>554.95381831999202</v>
      </c>
      <c r="AG26" s="853">
        <f t="shared" si="5"/>
        <v>579.2244205163928</v>
      </c>
      <c r="AH26" s="853">
        <f t="shared" si="5"/>
        <v>563.22335407954222</v>
      </c>
      <c r="AI26" s="853">
        <f t="shared" si="5"/>
        <v>589.90298938593673</v>
      </c>
      <c r="AJ26" s="853">
        <f t="shared" si="5"/>
        <v>577.36323679500447</v>
      </c>
      <c r="AK26" s="853">
        <f t="shared" si="5"/>
        <v>563.88628928729065</v>
      </c>
      <c r="AL26" s="853">
        <f t="shared" si="5"/>
        <v>0</v>
      </c>
      <c r="AM26" s="853">
        <f t="shared" si="5"/>
        <v>0</v>
      </c>
      <c r="AN26" s="853">
        <f t="shared" si="5"/>
        <v>0</v>
      </c>
      <c r="AO26" s="853">
        <f t="shared" si="5"/>
        <v>0</v>
      </c>
      <c r="AP26" s="853">
        <f t="shared" si="5"/>
        <v>174.5</v>
      </c>
      <c r="AQ26" s="853">
        <f t="shared" si="5"/>
        <v>111.5</v>
      </c>
    </row>
    <row r="27" spans="2:43" x14ac:dyDescent="0.25">
      <c r="B27" s="230" t="s">
        <v>262</v>
      </c>
      <c r="C27" s="229">
        <f>INDEX(Reykjavík!$A$2:$M$73,MATCH("Brennsla úrgangs Reykjavíkur",Reykjavík!$A$2:$A$73,0),MATCH($D$4,Reykjavík!$A$3:$M$3,0))</f>
        <v>23569.221130494192</v>
      </c>
      <c r="M27" t="str">
        <f>Reykjavík!A135</f>
        <v>Brennsla</v>
      </c>
      <c r="N27"/>
      <c r="O27"/>
      <c r="P27" s="22">
        <f>INDEX(Reykjavík!$A$124:$K$153,MATCH($M27,Reykjavík!$A$124:$A$153,0),MATCH(P$11,Reykjavík!$A$123:$K$123,0))</f>
        <v>4061.1758665699354</v>
      </c>
      <c r="Q27" s="22">
        <f>INDEX(Reykjavík!$A$124:$K$153,MATCH($M27,Reykjavík!$A$124:$A$153,0),MATCH(Q$11,Reykjavík!$A$123:$K$123,0))</f>
        <v>4223.2562403685479</v>
      </c>
      <c r="R27" s="22">
        <f>INDEX(Reykjavík!$A$124:$K$153,MATCH($M27,Reykjavík!$A$124:$A$153,0),MATCH(R$11,Reykjavík!$A$123:$K$123,0))</f>
        <v>4849.2270887634477</v>
      </c>
      <c r="S27" s="22">
        <f>INDEX(Reykjavík!$A$124:$K$153,MATCH($M27,Reykjavík!$A$124:$A$153,0),MATCH(S$11,Reykjavík!$A$123:$K$123,0))</f>
        <v>4515.1752796091441</v>
      </c>
      <c r="T27" s="22">
        <f>INDEX(Reykjavík!$A$124:$K$153,MATCH($M27,Reykjavík!$A$124:$A$153,0),MATCH(T$11,Reykjavík!$A$123:$K$123,0))</f>
        <v>14333.357085270658</v>
      </c>
      <c r="U27" s="22">
        <f>INDEX(Reykjavík!$A$124:$L$153,MATCH($M27,Reykjavík!$A$124:$A$153,0),MATCH(U$11,Reykjavík!$A$123:$L$123,0))</f>
        <v>23351.299726937574</v>
      </c>
      <c r="V27" s="22">
        <f>INDEX(Reykjavík!$A$124:$M$153,MATCH($M27,Reykjavík!$A$124:$A$153,0),MATCH(V$11,Reykjavík!$A$123:$M$123,0))</f>
        <v>27382.006926305781</v>
      </c>
      <c r="W27" s="229">
        <f t="shared" si="1"/>
        <v>23320.831059735847</v>
      </c>
      <c r="X27" s="719">
        <f t="shared" ref="X27:X42" si="6">W27/P27</f>
        <v>5.7423839365598797</v>
      </c>
      <c r="Y27" s="22"/>
      <c r="Z27" s="22"/>
      <c r="AA27" t="s">
        <v>290</v>
      </c>
      <c r="AD27" s="853"/>
      <c r="AE27" s="853"/>
      <c r="AF27" s="853"/>
      <c r="AG27" s="853"/>
      <c r="AH27" s="853"/>
      <c r="AI27" s="853"/>
      <c r="AJ27" s="853"/>
      <c r="AK27" s="853"/>
      <c r="AL27" s="853"/>
      <c r="AM27" s="853"/>
      <c r="AN27" s="853"/>
      <c r="AO27" s="853"/>
      <c r="AP27" s="853"/>
      <c r="AQ27" s="853"/>
    </row>
    <row r="28" spans="2:43" x14ac:dyDescent="0.25">
      <c r="B28" s="224" t="s">
        <v>264</v>
      </c>
      <c r="C28" s="229">
        <f>INDEX(Reykjavík!$A$2:$M$73,MATCH("Losun vegna brennslu",Reykjavík!$A$2:$A$73,0),MATCH($D$4,Reykjavík!$A$3:$M$3,0))</f>
        <v>3812.7857958115883</v>
      </c>
      <c r="M28" t="str">
        <f>Reykjavík!A136</f>
        <v>Meðhöndlun skólps</v>
      </c>
      <c r="N28"/>
      <c r="O28"/>
      <c r="P28" s="22">
        <f>INDEX(Reykjavík!$A$124:$K$153,MATCH($M28,Reykjavík!$A$124:$A$153,0),MATCH(P$11,Reykjavík!$A$123:$K$123,0))</f>
        <v>3233.1331220756274</v>
      </c>
      <c r="Q28" s="22">
        <f>INDEX(Reykjavík!$A$124:$K$153,MATCH($M28,Reykjavík!$A$124:$A$153,0),MATCH(Q$11,Reykjavík!$A$123:$K$123,0))</f>
        <v>3554.5231321062447</v>
      </c>
      <c r="R28" s="22">
        <f>INDEX(Reykjavík!$A$124:$K$153,MATCH($M28,Reykjavík!$A$124:$A$153,0),MATCH(R$11,Reykjavík!$A$123:$K$123,0))</f>
        <v>3591.7122246338686</v>
      </c>
      <c r="S28" s="22">
        <f>INDEX(Reykjavík!$A$124:$K$153,MATCH($M28,Reykjavík!$A$124:$A$153,0),MATCH(S$11,Reykjavík!$A$123:$K$123,0))</f>
        <v>3543.0234972090616</v>
      </c>
      <c r="T28" s="22">
        <f>INDEX(Reykjavík!$A$124:$K$153,MATCH($M28,Reykjavík!$A$124:$A$153,0),MATCH(T$11,Reykjavík!$A$123:$K$123,0))</f>
        <v>3567.6018648407253</v>
      </c>
      <c r="U28" s="22">
        <f>INDEX(Reykjavík!$A$124:$L$153,MATCH($M28,Reykjavík!$A$124:$A$153,0),MATCH(U$11,Reykjavík!$A$123:$L$123,0))</f>
        <v>3639.8632605251323</v>
      </c>
      <c r="V28" s="22">
        <f>INDEX(Reykjavík!$A$124:$M$153,MATCH($M28,Reykjavík!$A$124:$A$153,0),MATCH(V$11,Reykjavík!$A$123:$M$123,0))</f>
        <v>3679.2395876393066</v>
      </c>
      <c r="W28" s="229">
        <f t="shared" si="1"/>
        <v>446.10646556367919</v>
      </c>
      <c r="X28" s="719">
        <f t="shared" si="6"/>
        <v>0.13797961566063971</v>
      </c>
      <c r="Y28" s="22"/>
      <c r="Z28" s="22"/>
      <c r="AA28" t="s">
        <v>33</v>
      </c>
    </row>
    <row r="29" spans="2:43" ht="13.8" thickBot="1" x14ac:dyDescent="0.3">
      <c r="B29" s="224" t="s">
        <v>227</v>
      </c>
      <c r="C29" s="229">
        <f>INDEX(Reykjavík!$A$2:$M$73,MATCH("Losun vegna fráveitu",Reykjavík!$A$2:$A$73,0),MATCH($D$4,Reykjavík!$A$3:$M$3,0))</f>
        <v>3679.2395876393066</v>
      </c>
      <c r="M29" s="723" t="str">
        <f>Reykjavík!A137</f>
        <v>Úrgangur</v>
      </c>
      <c r="N29" s="723"/>
      <c r="O29" s="723"/>
      <c r="P29" s="725">
        <f>INDEX(Reykjavík!$A$124:$K$153,MATCH($M29,Reykjavík!$A$124:$A$153,0),MATCH(P$11,Reykjavík!$A$123:$K$123,0))</f>
        <v>53056.836599577196</v>
      </c>
      <c r="Q29" s="725">
        <f>INDEX(Reykjavík!$A$124:$K$153,MATCH($M29,Reykjavík!$A$124:$A$153,0),MATCH(Q$11,Reykjavík!$A$123:$K$123,0))</f>
        <v>69002.328539332855</v>
      </c>
      <c r="R29" s="725">
        <f>INDEX(Reykjavík!$A$124:$K$153,MATCH($M29,Reykjavík!$A$124:$A$153,0),MATCH(R$11,Reykjavík!$A$123:$K$123,0))</f>
        <v>73063.594417448272</v>
      </c>
      <c r="S29" s="725">
        <f>INDEX(Reykjavík!$A$124:$K$153,MATCH($M29,Reykjavík!$A$124:$A$153,0),MATCH(S$11,Reykjavík!$A$123:$K$123,0))</f>
        <v>77165.733614047786</v>
      </c>
      <c r="T29" s="725">
        <f>INDEX(Reykjavík!$A$124:$K$153,MATCH($M29,Reykjavík!$A$124:$A$153,0),MATCH(T$11,Reykjavík!$A$123:$K$123,0))</f>
        <v>79277.356794722858</v>
      </c>
      <c r="U29" s="725">
        <f>INDEX(Reykjavík!$A$124:$L$153,MATCH($M29,Reykjavík!$A$124:$A$153,0),MATCH(U$11,Reykjavík!$A$123:$L$123,0))</f>
        <v>82645.834813505004</v>
      </c>
      <c r="V29" s="725">
        <f>INDEX(Reykjavík!$A$124:$M$153,MATCH($M29,Reykjavík!$A$124:$A$153,0),MATCH(V$11,Reykjavík!$A$123:$M$123,0))</f>
        <v>80736.348080587733</v>
      </c>
      <c r="W29" s="726">
        <f t="shared" si="1"/>
        <v>27679.511481010537</v>
      </c>
      <c r="X29" s="724">
        <f t="shared" si="6"/>
        <v>0.52169547328856603</v>
      </c>
      <c r="Y29" s="725">
        <v>32100</v>
      </c>
      <c r="Z29" s="725">
        <v>13800</v>
      </c>
      <c r="AA29" s="723" t="s">
        <v>9</v>
      </c>
    </row>
    <row r="30" spans="2:43" ht="15" thickTop="1" thickBot="1" x14ac:dyDescent="0.3">
      <c r="B30" s="227" t="s">
        <v>265</v>
      </c>
      <c r="C30" s="228">
        <f>C31+C32+C33</f>
        <v>33231.810757164916</v>
      </c>
      <c r="D30" s="229">
        <f>C30</f>
        <v>33231.810757164916</v>
      </c>
      <c r="M30" t="str">
        <f>Reykjavík!A138</f>
        <v>Búfjárrækt</v>
      </c>
      <c r="N30"/>
      <c r="O30"/>
      <c r="P30" s="22">
        <f>INDEX(Reykjavík!$A$124:$K$153,MATCH($M30,Reykjavík!$A$124:$A$153,0),MATCH(P$11,Reykjavík!$A$123:$K$123,0))</f>
        <v>1710.0061987558634</v>
      </c>
      <c r="Q30" s="22">
        <f>INDEX(Reykjavík!$A$124:$K$153,MATCH($M30,Reykjavík!$A$124:$A$153,0),MATCH(Q$11,Reykjavík!$A$123:$K$123,0))</f>
        <v>2652.4245259230693</v>
      </c>
      <c r="R30" s="22">
        <f>INDEX(Reykjavík!$A$124:$K$153,MATCH($M30,Reykjavík!$A$124:$A$153,0),MATCH(R$11,Reykjavík!$A$123:$K$123,0))</f>
        <v>2654.0703045108339</v>
      </c>
      <c r="S30" s="22">
        <f>INDEX(Reykjavík!$A$124:$K$153,MATCH($M30,Reykjavík!$A$124:$A$153,0),MATCH(S$11,Reykjavík!$A$123:$K$123,0))</f>
        <v>2565.3120470227268</v>
      </c>
      <c r="T30" s="22">
        <f>INDEX(Reykjavík!$A$124:$K$153,MATCH($M30,Reykjavík!$A$124:$A$153,0),MATCH(T$11,Reykjavík!$A$123:$K$123,0))</f>
        <v>2225.7389972815336</v>
      </c>
      <c r="U30" s="22">
        <f>INDEX(Reykjavík!$A$124:$L$153,MATCH($M30,Reykjavík!$A$124:$A$153,0),MATCH(U$11,Reykjavík!$A$123:$L$123,0))</f>
        <v>2248.1210669607221</v>
      </c>
      <c r="V30" s="22">
        <f>INDEX(Reykjavík!$A$124:$M$153,MATCH($M30,Reykjavík!$A$124:$A$153,0),MATCH(V$11,Reykjavík!$A$123:$M$123,0))</f>
        <v>2199.0447206679287</v>
      </c>
      <c r="W30" s="229">
        <f t="shared" si="1"/>
        <v>489.03852191206533</v>
      </c>
      <c r="X30" s="719">
        <f t="shared" si="6"/>
        <v>0.28598640301296657</v>
      </c>
      <c r="Y30" s="22"/>
      <c r="Z30" s="22"/>
      <c r="AA30" t="s">
        <v>291</v>
      </c>
    </row>
    <row r="31" spans="2:43" ht="13.8" thickTop="1" x14ac:dyDescent="0.25">
      <c r="B31" s="224" t="s">
        <v>266</v>
      </c>
      <c r="C31" s="229">
        <f>INDEX(Reykjavík!$A$2:$M$73,MATCH("Losun vegna búfjárræktunar",Reykjavík!$A$2:$A$73,0),MATCH($D$4,Reykjavík!$A$3:$M$3,0))</f>
        <v>2199.0447206679287</v>
      </c>
      <c r="M31" t="str">
        <f>Reykjavík!A139</f>
        <v>Landnotkun</v>
      </c>
      <c r="N31"/>
      <c r="O31"/>
      <c r="P31" s="22">
        <f>INDEX(Reykjavík!$A$124:$K$153,MATCH($M31,Reykjavík!$A$124:$A$153,0),MATCH(P$11,Reykjavík!$A$123:$K$123,0))</f>
        <v>45775.147887150524</v>
      </c>
      <c r="Q31" s="22">
        <f>INDEX(Reykjavík!$A$124:$K$153,MATCH($M31,Reykjavík!$A$124:$A$153,0),MATCH(Q$11,Reykjavík!$A$123:$K$123,0))</f>
        <v>45775.147887150524</v>
      </c>
      <c r="R31" s="22">
        <f>INDEX(Reykjavík!$A$124:$K$153,MATCH($M31,Reykjavík!$A$124:$A$153,0),MATCH(R$11,Reykjavík!$A$123:$K$123,0))</f>
        <v>45775.147887150524</v>
      </c>
      <c r="S31" s="22">
        <f>INDEX(Reykjavík!$A$124:$K$153,MATCH($M31,Reykjavík!$A$124:$A$153,0),MATCH(S$11,Reykjavík!$A$123:$K$123,0))</f>
        <v>45775.147887150524</v>
      </c>
      <c r="T31" s="22">
        <f>INDEX(Reykjavík!$A$124:$K$153,MATCH($M31,Reykjavík!$A$124:$A$153,0),MATCH(T$11,Reykjavík!$A$123:$K$123,0))</f>
        <v>45775.147887150524</v>
      </c>
      <c r="U31" s="22">
        <f>INDEX(Reykjavík!$A$124:$L$153,MATCH($M31,Reykjavík!$A$124:$A$153,0),MATCH(U$11,Reykjavík!$A$123:$L$123,0))</f>
        <v>45775.147887150524</v>
      </c>
      <c r="V31" s="22">
        <f>INDEX(Reykjavík!$A$124:$M$153,MATCH($M31,Reykjavík!$A$124:$A$153,0),MATCH(V$11,Reykjavík!$A$123:$M$123,0))</f>
        <v>45775.147887150524</v>
      </c>
      <c r="W31" s="229">
        <f t="shared" si="1"/>
        <v>0</v>
      </c>
      <c r="X31" s="719">
        <f t="shared" si="6"/>
        <v>0</v>
      </c>
      <c r="Y31" s="22"/>
      <c r="Z31" s="22"/>
      <c r="AA31" t="s">
        <v>44</v>
      </c>
    </row>
    <row r="32" spans="2:43" ht="13.8" thickBot="1" x14ac:dyDescent="0.3">
      <c r="B32" s="224" t="s">
        <v>44</v>
      </c>
      <c r="C32" s="229">
        <f>INDEX(Reykjavík!$A$2:$M$73,MATCH("Losun vegna landnotkunar og skógræktar",Reykjavík!$A$2:$A$73,0),MATCH($D$4,Reykjavík!$A$3:$M$3,0))-INDEX(Reykjavík!$A$2:$M$73,MATCH("4A - Skóglendi",Reykjavík!$A$2:$A$73,0),MATCH($D$4,Reykjavík!$A$3:$M$3,0))</f>
        <v>45775.147887150531</v>
      </c>
      <c r="M32" s="723" t="str">
        <f>Reykjavík!A141</f>
        <v>Landbúnaður og landnotkun</v>
      </c>
      <c r="N32" s="723"/>
      <c r="O32" s="723"/>
      <c r="P32" s="725">
        <f>INDEX(Reykjavík!$A$124:$K$153,MATCH($M32,Reykjavík!$A$124:$A$153,0),MATCH(P$11,Reykjavík!$A$123:$K$123,0))</f>
        <v>32742.772235252847</v>
      </c>
      <c r="Q32" s="725">
        <f>INDEX(Reykjavík!$A$124:$K$153,MATCH($M32,Reykjavík!$A$124:$A$153,0),MATCH(Q$11,Reykjavík!$A$123:$K$123,0))</f>
        <v>33685.190562420044</v>
      </c>
      <c r="R32" s="725">
        <f>INDEX(Reykjavík!$A$124:$K$153,MATCH($M32,Reykjavík!$A$124:$A$153,0),MATCH(R$11,Reykjavík!$A$123:$K$123,0))</f>
        <v>33686.836341007816</v>
      </c>
      <c r="S32" s="725">
        <f>INDEX(Reykjavík!$A$124:$K$153,MATCH($M32,Reykjavík!$A$124:$A$153,0),MATCH(S$11,Reykjavík!$A$123:$K$123,0))</f>
        <v>33598.078083519707</v>
      </c>
      <c r="T32" s="725">
        <f>INDEX(Reykjavík!$A$124:$K$153,MATCH($M32,Reykjavík!$A$124:$A$153,0),MATCH(T$11,Reykjavík!$A$123:$K$123,0))</f>
        <v>33258.505033778521</v>
      </c>
      <c r="U32" s="725">
        <f>INDEX(Reykjavík!$A$124:$L$153,MATCH($M32,Reykjavík!$A$124:$A$153,0),MATCH(U$11,Reykjavík!$A$123:$L$123,0))</f>
        <v>33280.887103457702</v>
      </c>
      <c r="V32" s="725">
        <f>INDEX(Reykjavík!$A$124:$M$153,MATCH($M32,Reykjavík!$A$124:$A$153,0),MATCH(V$11,Reykjavík!$A$123:$M$123,0))</f>
        <v>33231.810757164916</v>
      </c>
      <c r="W32" s="726">
        <f t="shared" si="1"/>
        <v>489.03852191206897</v>
      </c>
      <c r="X32" s="724">
        <f t="shared" si="6"/>
        <v>1.493577020291338E-2</v>
      </c>
      <c r="Y32" s="725">
        <v>12600</v>
      </c>
      <c r="Z32" s="725">
        <v>9600</v>
      </c>
      <c r="AA32" s="723" t="s">
        <v>265</v>
      </c>
    </row>
    <row r="33" spans="2:27" ht="13.8" thickTop="1" x14ac:dyDescent="0.25">
      <c r="B33" s="224" t="s">
        <v>267</v>
      </c>
      <c r="C33" s="229">
        <f>INDEX(Reykjavík!$A$2:$M$73,MATCH("4A - Skóglendi",Reykjavík!$A$2:$A$73,0),MATCH($D$4,Reykjavík!$A$3:$M$3,0))</f>
        <v>-14742.381850653543</v>
      </c>
      <c r="M33" t="str">
        <f>Reykjavík!A142</f>
        <v>Efnanotkun</v>
      </c>
      <c r="N33"/>
      <c r="O33"/>
      <c r="P33" s="22">
        <f>INDEX(Reykjavík!$A$124:$K$153,MATCH($M33,Reykjavík!$A$124:$A$153,0),MATCH(P$11,Reykjavík!$A$123:$K$123,0))</f>
        <v>43855.389807955966</v>
      </c>
      <c r="Q33" s="22">
        <f>INDEX(Reykjavík!$A$124:$K$153,MATCH($M33,Reykjavík!$A$124:$A$153,0),MATCH(Q$11,Reykjavík!$A$123:$K$123,0))</f>
        <v>46145.783610908431</v>
      </c>
      <c r="R33" s="22">
        <f>INDEX(Reykjavík!$A$124:$K$153,MATCH($M33,Reykjavík!$A$124:$A$153,0),MATCH(R$11,Reykjavík!$A$123:$K$123,0))</f>
        <v>39168.965783100633</v>
      </c>
      <c r="S33" s="22">
        <f>INDEX(Reykjavík!$A$124:$K$153,MATCH($M33,Reykjavík!$A$124:$A$153,0),MATCH(S$11,Reykjavík!$A$123:$K$123,0))</f>
        <v>34504.151060621814</v>
      </c>
      <c r="T33" s="22">
        <f>INDEX(Reykjavík!$A$124:$K$153,MATCH($M33,Reykjavík!$A$124:$A$153,0),MATCH(T$11,Reykjavík!$A$123:$K$123,0))</f>
        <v>29495.398136066389</v>
      </c>
      <c r="U33" s="22">
        <f>INDEX(Reykjavík!$A$124:$L$153,MATCH($M33,Reykjavík!$A$124:$A$153,0),MATCH(U$11,Reykjavík!$A$123:$L$123,0))</f>
        <v>25677.455003312276</v>
      </c>
      <c r="V33" s="22">
        <f>INDEX(Reykjavík!$A$124:$M$153,MATCH($M33,Reykjavík!$A$124:$A$153,0),MATCH(V$11,Reykjavík!$A$123:$M$123,0))</f>
        <v>31944.836513010301</v>
      </c>
      <c r="W33" s="229">
        <f t="shared" si="1"/>
        <v>-11910.553294945665</v>
      </c>
      <c r="X33" s="719">
        <f t="shared" si="6"/>
        <v>-0.27158698958331751</v>
      </c>
      <c r="Y33" s="22"/>
      <c r="Z33" s="22"/>
      <c r="AA33" t="s">
        <v>25</v>
      </c>
    </row>
    <row r="34" spans="2:27" ht="14.4" thickBot="1" x14ac:dyDescent="0.3">
      <c r="B34" s="227" t="s">
        <v>268</v>
      </c>
      <c r="C34" s="228">
        <f>C35+C37+C36</f>
        <v>104772.70263874003</v>
      </c>
      <c r="D34" s="229">
        <f>C34-C36-C37</f>
        <v>31944.836513010297</v>
      </c>
      <c r="E34" s="231"/>
      <c r="F34" s="229">
        <f>C36+C37</f>
        <v>72827.866125729721</v>
      </c>
      <c r="M34" t="str">
        <f>Reykjavík!A145</f>
        <v>Byggingariðnaður - efni</v>
      </c>
      <c r="N34"/>
      <c r="O34"/>
      <c r="P34" s="22">
        <f>INDEX(Reykjavík!$A$124:$K$153,MATCH($M34,Reykjavík!$A$124:$A$153,0),MATCH(P$11,Reykjavík!$A$123:$K$123,0))</f>
        <v>50484.750419999997</v>
      </c>
      <c r="Q34" s="22">
        <f>INDEX(Reykjavík!$A$124:$K$153,MATCH($M34,Reykjavík!$A$124:$A$153,0),MATCH(Q$11,Reykjavík!$A$123:$K$123,0))</f>
        <v>60181.086309999999</v>
      </c>
      <c r="R34" s="22">
        <f>INDEX(Reykjavík!$A$124:$K$153,MATCH($M34,Reykjavík!$A$124:$A$153,0),MATCH(R$11,Reykjavík!$A$123:$K$123,0))</f>
        <v>68018.523260000002</v>
      </c>
      <c r="S34" s="22">
        <f>INDEX(Reykjavík!$A$124:$K$153,MATCH($M34,Reykjavík!$A$124:$A$153,0),MATCH(S$11,Reykjavík!$A$123:$K$123,0))</f>
        <v>75174.977429999984</v>
      </c>
      <c r="T34" s="22">
        <f>INDEX(Reykjavík!$A$124:$K$153,MATCH($M34,Reykjavík!$A$124:$A$153,0),MATCH(T$11,Reykjavík!$A$123:$K$123,0))</f>
        <v>76957.18912000001</v>
      </c>
      <c r="U34" s="22">
        <f>INDEX(Reykjavík!$A$124:$L$153,MATCH($M34,Reykjavík!$A$124:$A$153,0),MATCH(U$11,Reykjavík!$A$123:$L$123,0))</f>
        <v>70463.312789999996</v>
      </c>
      <c r="V34" s="22">
        <f>INDEX(Reykjavík!$A$124:$M$153,MATCH($M34,Reykjavík!$A$124:$A$153,0),MATCH(V$11,Reykjavík!$A$123:$M$123,0))</f>
        <v>67349.810440000001</v>
      </c>
      <c r="W34" s="229">
        <f t="shared" si="1"/>
        <v>16865.060020000004</v>
      </c>
      <c r="X34" s="719">
        <f t="shared" si="6"/>
        <v>0.33406246202454742</v>
      </c>
      <c r="Y34" s="22"/>
      <c r="Z34" s="22"/>
      <c r="AA34" t="s">
        <v>269</v>
      </c>
    </row>
    <row r="35" spans="2:27" ht="13.8" thickTop="1" x14ac:dyDescent="0.25">
      <c r="B35" s="478" t="s">
        <v>25</v>
      </c>
      <c r="C35" s="476">
        <f>INDEX(Reykjavík!$A$2:$M$157,MATCH("Samtals losun vegna efnanotkunar",Reykjavík!$A$2:$A$157,0),MATCH($D$4,Reykjavík!$A$3:$M$3,0))</f>
        <v>31944.836513010301</v>
      </c>
      <c r="D35" s="229"/>
      <c r="E35" s="231"/>
      <c r="F35" s="229"/>
      <c r="M35" t="str">
        <f>Reykjavík!A146</f>
        <v>Annar iðnaður</v>
      </c>
      <c r="N35"/>
      <c r="O35"/>
      <c r="P35" s="22">
        <f>INDEX(Reykjavík!$A$124:$K$153,MATCH($M35,Reykjavík!$A$124:$A$153,0),MATCH(P$11,Reykjavík!$A$123:$K$123,0))</f>
        <v>3695.582847335269</v>
      </c>
      <c r="Q35" s="22">
        <f>INDEX(Reykjavík!$A$124:$K$153,MATCH($M35,Reykjavík!$A$124:$A$153,0),MATCH(Q$11,Reykjavík!$A$123:$K$123,0))</f>
        <v>3808.7568069704744</v>
      </c>
      <c r="R35" s="22">
        <f>INDEX(Reykjavík!$A$124:$K$153,MATCH($M35,Reykjavík!$A$124:$A$153,0),MATCH(R$11,Reykjavík!$A$123:$K$123,0))</f>
        <v>3623.9860284982833</v>
      </c>
      <c r="S35" s="22">
        <f>INDEX(Reykjavík!$A$124:$K$153,MATCH($M35,Reykjavík!$A$124:$A$153,0),MATCH(S$11,Reykjavík!$A$123:$K$123,0))</f>
        <v>3418.9566873479939</v>
      </c>
      <c r="T35" s="22">
        <f>INDEX(Reykjavík!$A$124:$K$153,MATCH($M35,Reykjavík!$A$124:$A$153,0),MATCH(T$11,Reykjavík!$A$123:$K$123,0))</f>
        <v>2481.6131631724438</v>
      </c>
      <c r="U35" s="22">
        <f>INDEX(Reykjavík!$A$124:$L$153,MATCH($M35,Reykjavík!$A$124:$A$153,0),MATCH(U$11,Reykjavík!$A$123:$L$123,0))</f>
        <v>1787.79457272064</v>
      </c>
      <c r="V35" s="22">
        <f>INDEX(Reykjavík!$A$124:$M$153,MATCH($M35,Reykjavík!$A$124:$A$153,0),MATCH(V$11,Reykjavík!$A$123:$M$123,0))</f>
        <v>5478.055685729727</v>
      </c>
      <c r="W35" s="229">
        <f t="shared" si="1"/>
        <v>1782.472838394458</v>
      </c>
      <c r="X35" s="719">
        <f t="shared" si="6"/>
        <v>0.48232522771874131</v>
      </c>
      <c r="Y35" s="22"/>
      <c r="Z35" s="22"/>
      <c r="AA35" t="s">
        <v>292</v>
      </c>
    </row>
    <row r="36" spans="2:27" ht="13.8" thickBot="1" x14ac:dyDescent="0.3">
      <c r="B36" s="478" t="s">
        <v>269</v>
      </c>
      <c r="C36" s="476">
        <f>INDEX(Reykjavík!$A$2:$M$157,MATCH("byggingariðnaður - efni",Reykjavík!$A$2:$A$157,0),MATCH($D$4,Reykjavík!$A$3:$M$3,0))</f>
        <v>67349.810440000001</v>
      </c>
      <c r="F36" s="229"/>
      <c r="M36" s="723" t="str">
        <f>Reykjavík!A147</f>
        <v>Efnanotkun og iðnaður</v>
      </c>
      <c r="N36" s="723"/>
      <c r="O36" s="723"/>
      <c r="P36" s="725">
        <f>INDEX(Reykjavík!$A$124:$K$153,MATCH($M36,Reykjavík!$A$124:$A$153,0),MATCH(P$11,Reykjavík!$A$123:$K$123,0))</f>
        <v>98035.7230752912</v>
      </c>
      <c r="Q36" s="725">
        <f>INDEX(Reykjavík!$A$124:$K$153,MATCH($M36,Reykjavík!$A$124:$A$153,0),MATCH(Q$11,Reykjavík!$A$123:$K$123,0))</f>
        <v>110135.62672787892</v>
      </c>
      <c r="R36" s="725">
        <f>INDEX(Reykjavík!$A$124:$K$153,MATCH($M36,Reykjavík!$A$124:$A$153,0),MATCH(R$11,Reykjavík!$A$123:$K$123,0))</f>
        <v>110811.47507159892</v>
      </c>
      <c r="S36" s="725">
        <f>INDEX(Reykjavík!$A$124:$K$153,MATCH($M36,Reykjavík!$A$124:$A$153,0),MATCH(S$11,Reykjavík!$A$123:$K$123,0))</f>
        <v>113098.08517796978</v>
      </c>
      <c r="T36" s="725">
        <f>INDEX(Reykjavík!$A$124:$K$153,MATCH($M36,Reykjavík!$A$124:$A$153,0),MATCH(T$11,Reykjavík!$A$123:$K$123,0))</f>
        <v>108934.20041923884</v>
      </c>
      <c r="U36" s="725">
        <f>INDEX(Reykjavík!$A$124:$L$153,MATCH($M36,Reykjavík!$A$124:$A$153,0),MATCH(U$11,Reykjavík!$A$123:$L$123,0))</f>
        <v>97928.562366032915</v>
      </c>
      <c r="V36" s="725">
        <f>INDEX(Reykjavík!$A$124:$M$153,MATCH($M36,Reykjavík!$A$124:$A$153,0),MATCH(V$11,Reykjavík!$A$123:$M$123,0))</f>
        <v>104772.70263874003</v>
      </c>
      <c r="W36" s="726">
        <f t="shared" si="1"/>
        <v>6736.9795634488255</v>
      </c>
      <c r="X36" s="724">
        <f t="shared" si="6"/>
        <v>6.8719639659054088E-2</v>
      </c>
      <c r="Y36" s="725">
        <v>33800</v>
      </c>
      <c r="Z36" s="725">
        <v>21300</v>
      </c>
      <c r="AA36" s="723" t="s">
        <v>268</v>
      </c>
    </row>
    <row r="37" spans="2:27" ht="13.8" thickTop="1" x14ac:dyDescent="0.25">
      <c r="B37" s="478" t="s">
        <v>17</v>
      </c>
      <c r="C37" s="476">
        <f>INDEX(Reykjavík!$A$2:$M$157,MATCH("losun matvælaframleiðslu í RVK",Reykjavík!$A$2:$A$157,0),MATCH($D$4,Reykjavík!$A$3:$M$3,0))</f>
        <v>5478.055685729727</v>
      </c>
      <c r="F37" s="229"/>
      <c r="M37" s="237" t="str">
        <f>Reykjavík!A148</f>
        <v>BASIC</v>
      </c>
      <c r="N37" s="237"/>
      <c r="O37" s="237"/>
      <c r="P37" s="437">
        <f>INDEX(Reykjavík!$A$124:$K$153,MATCH($M37,Reykjavík!$A$124:$A$153,0),MATCH(P$11,Reykjavík!$A$123:$K$123,0))</f>
        <v>445821.98354376038</v>
      </c>
      <c r="Q37" s="437">
        <f>INDEX(Reykjavík!$A$124:$K$153,MATCH($M37,Reykjavík!$A$124:$A$153,0),MATCH(Q$11,Reykjavík!$A$123:$K$123,0))</f>
        <v>410897.19854802109</v>
      </c>
      <c r="R37" s="437">
        <f>INDEX(Reykjavík!$A$124:$K$153,MATCH($M37,Reykjavík!$A$124:$A$153,0),MATCH(R$11,Reykjavík!$A$123:$K$123,0))</f>
        <v>434506.95741438027</v>
      </c>
      <c r="S37" s="437">
        <f>INDEX(Reykjavík!$A$124:$K$153,MATCH($M37,Reykjavík!$A$124:$A$153,0),MATCH(S$11,Reykjavík!$A$123:$K$123,0))</f>
        <v>416292.90356580273</v>
      </c>
      <c r="T37" s="437">
        <f>INDEX(Reykjavík!$A$124:$K$153,MATCH($M37,Reykjavík!$A$124:$A$153,0),MATCH(T$11,Reykjavík!$A$123:$K$123,0))</f>
        <v>447478.44946677727</v>
      </c>
      <c r="U37" s="437">
        <f>INDEX(Reykjavík!$A$124:$L$153,MATCH($M37,Reykjavík!$A$124:$A$153,0),MATCH(U$11,Reykjavík!$A$123:$L$123,0))</f>
        <v>445882.79524029628</v>
      </c>
      <c r="V37" s="437">
        <f>INDEX(Reykjavík!$A$124:$M$153,MATCH($M37,Reykjavík!$A$124:$A$153,0),MATCH(V$11,Reykjavík!$A$123:$M$123,0))</f>
        <v>425641.28316233394</v>
      </c>
      <c r="W37" s="498">
        <f t="shared" si="1"/>
        <v>-20180.700381426432</v>
      </c>
      <c r="X37" s="722">
        <f t="shared" si="6"/>
        <v>-4.5266274715781402E-2</v>
      </c>
      <c r="Y37" s="437"/>
      <c r="Z37" s="437"/>
      <c r="AA37" s="237" t="s">
        <v>236</v>
      </c>
    </row>
    <row r="38" spans="2:27" ht="13.8" x14ac:dyDescent="0.25">
      <c r="B38" s="232" t="s">
        <v>3</v>
      </c>
      <c r="C38" s="498">
        <f>C30+C21+C16+C11+C34</f>
        <v>563886.28928729065</v>
      </c>
      <c r="D38" s="498">
        <f>SUM(D11:D36)</f>
        <v>448730.55345176515</v>
      </c>
      <c r="E38" s="498">
        <f>SUM(E11:E36)</f>
        <v>14705.370054438288</v>
      </c>
      <c r="F38" s="498">
        <f>SUM(F11:F36)</f>
        <v>100450.36578108721</v>
      </c>
      <c r="M38" s="237" t="str">
        <f>Reykjavík!A149</f>
        <v>BASIC+</v>
      </c>
      <c r="N38" s="237"/>
      <c r="O38" s="237"/>
      <c r="P38" s="437">
        <f>INDEX(Reykjavík!$A$124:$K$153,MATCH($M38,Reykjavík!$A$124:$A$153,0),MATCH(P$11,Reykjavík!$A$123:$K$123,0))</f>
        <v>522605.25108272373</v>
      </c>
      <c r="Q38" s="437">
        <f>INDEX(Reykjavík!$A$124:$K$153,MATCH($M38,Reykjavík!$A$124:$A$153,0),MATCH(Q$11,Reykjavík!$A$123:$K$123,0))</f>
        <v>490963.97520302155</v>
      </c>
      <c r="R38" s="437">
        <f>INDEX(Reykjavík!$A$124:$K$153,MATCH($M38,Reykjavík!$A$124:$A$153,0),MATCH(R$11,Reykjavík!$A$123:$K$123,0))</f>
        <v>507581.91122789454</v>
      </c>
      <c r="S38" s="437">
        <f>INDEX(Reykjavík!$A$124:$K$153,MATCH($M38,Reykjavík!$A$124:$A$153,0),MATCH(S$11,Reykjavík!$A$123:$K$123,0))</f>
        <v>484629.41996219428</v>
      </c>
      <c r="T38" s="437">
        <f>INDEX(Reykjavík!$A$124:$K$153,MATCH($M38,Reykjavík!$A$124:$A$153,0),MATCH(T$11,Reykjavík!$A$123:$K$123,0))</f>
        <v>510464.18710276426</v>
      </c>
      <c r="U38" s="437">
        <f>INDEX(Reykjavík!$A$124:$L$153,MATCH($M38,Reykjavík!$A$124:$A$153,0),MATCH(U$11,Reykjavík!$A$123:$L$123,0))</f>
        <v>505112.12943228381</v>
      </c>
      <c r="V38" s="437">
        <f>INDEX(Reykjavík!$A$124:$M$153,MATCH($M38,Reykjavík!$A$124:$A$153,0),MATCH(V$11,Reykjavík!$A$123:$M$123,0))</f>
        <v>491058.4231615609</v>
      </c>
      <c r="W38" s="498">
        <f t="shared" si="1"/>
        <v>-31546.827921162825</v>
      </c>
      <c r="X38" s="722">
        <f t="shared" si="6"/>
        <v>-6.0364544473682002E-2</v>
      </c>
      <c r="Y38" s="437"/>
      <c r="Z38" s="437"/>
      <c r="AA38" s="237" t="s">
        <v>244</v>
      </c>
    </row>
    <row r="39" spans="2:27" ht="13.8" thickBot="1" x14ac:dyDescent="0.3">
      <c r="B39" s="501" t="s">
        <v>270</v>
      </c>
      <c r="C39" s="499">
        <f>Reykjavík!O181</f>
        <v>4.0634010411847541</v>
      </c>
      <c r="D39" s="499">
        <f>Reykjavík!O182</f>
        <v>3.2335813669311184</v>
      </c>
      <c r="E39" s="500">
        <f>Reykjavík!O183</f>
        <v>0.10596784693193359</v>
      </c>
      <c r="F39" s="500">
        <f>Reykjavík!O184</f>
        <v>0.72385182732170195</v>
      </c>
      <c r="M39" s="723" t="str">
        <f>Reykjavík!A150</f>
        <v>BASIC+ S3</v>
      </c>
      <c r="N39" s="723"/>
      <c r="O39" s="723"/>
      <c r="P39" s="725">
        <f>INDEX(Reykjavík!$A$124:$K$153,MATCH($M39,Reykjavík!$A$124:$A$153,0),MATCH(P$11,Reykjavík!$A$123:$K$123,0))</f>
        <v>576785.58435005893</v>
      </c>
      <c r="Q39" s="725">
        <f>INDEX(Reykjavík!$A$124:$K$153,MATCH($M39,Reykjavík!$A$124:$A$153,0),MATCH(Q$11,Reykjavík!$A$123:$K$123,0))</f>
        <v>554953.81831999205</v>
      </c>
      <c r="R39" s="725">
        <f>INDEX(Reykjavík!$A$124:$K$153,MATCH($M39,Reykjavík!$A$124:$A$153,0),MATCH(R$11,Reykjavík!$A$123:$K$123,0))</f>
        <v>579224.4205163928</v>
      </c>
      <c r="S39" s="725">
        <f>INDEX(Reykjavík!$A$124:$K$153,MATCH($M39,Reykjavík!$A$124:$A$153,0),MATCH(S$11,Reykjavík!$A$123:$K$123,0))</f>
        <v>563223.35407954222</v>
      </c>
      <c r="T39" s="725">
        <f>INDEX(Reykjavík!$A$124:$K$153,MATCH($M39,Reykjavík!$A$124:$A$153,0),MATCH(T$11,Reykjavík!$A$123:$K$123,0))</f>
        <v>589902.98938593676</v>
      </c>
      <c r="U39" s="725">
        <f>INDEX(Reykjavík!$A$124:$L$153,MATCH($M39,Reykjavík!$A$124:$A$153,0),MATCH(U$11,Reykjavík!$A$123:$L$123,0))</f>
        <v>577363.23679500446</v>
      </c>
      <c r="V39" s="725">
        <f>INDEX(Reykjavík!$A$124:$M$153,MATCH($M39,Reykjavík!$A$124:$A$153,0),MATCH(V$11,Reykjavík!$A$123:$M$123,0))</f>
        <v>563886.28928729065</v>
      </c>
      <c r="W39" s="726">
        <f t="shared" si="1"/>
        <v>-12899.295062768273</v>
      </c>
      <c r="X39" s="724">
        <f t="shared" si="6"/>
        <v>-2.2364107933286206E-2</v>
      </c>
      <c r="Y39" s="725"/>
      <c r="Z39" s="725"/>
      <c r="AA39" s="723" t="s">
        <v>293</v>
      </c>
    </row>
    <row r="40" spans="2:27" ht="13.8" thickTop="1" x14ac:dyDescent="0.25">
      <c r="M40" s="727" t="str">
        <f>Reykjavík!A151</f>
        <v>Umfang 1</v>
      </c>
      <c r="N40" s="727"/>
      <c r="O40" s="727"/>
      <c r="P40" s="728">
        <f>INDEX(Reykjavík!$A$124:$K$153,MATCH($M40,Reykjavík!$A$124:$A$153,0),MATCH(P$11,Reykjavík!$A$123:$K$123,0))</f>
        <v>506964.46083041449</v>
      </c>
      <c r="Q40" s="728">
        <f>INDEX(Reykjavík!$A$124:$K$153,MATCH($M40,Reykjavík!$A$124:$A$153,0),MATCH(Q$11,Reykjavík!$A$123:$K$123,0))</f>
        <v>474558.45216301153</v>
      </c>
      <c r="R40" s="728">
        <f>INDEX(Reykjavík!$A$124:$K$153,MATCH($M40,Reykjavík!$A$124:$A$153,0),MATCH(R$11,Reykjavík!$A$123:$K$123,0))</f>
        <v>490868.91483320866</v>
      </c>
      <c r="S40" s="728">
        <f>INDEX(Reykjavík!$A$124:$K$153,MATCH($M40,Reykjavík!$A$124:$A$153,0),MATCH(S$11,Reykjavík!$A$123:$K$123,0))</f>
        <v>468117.94050638319</v>
      </c>
      <c r="T40" s="728">
        <f>INDEX(Reykjavík!$A$124:$K$153,MATCH($M40,Reykjavík!$A$124:$A$153,0),MATCH(T$11,Reykjavík!$A$123:$K$123,0))</f>
        <v>480327.83715194027</v>
      </c>
      <c r="U40" s="728">
        <f>INDEX(Reykjavík!$A$124:$L$153,MATCH($M40,Reykjavík!$A$124:$A$153,0),MATCH(U$11,Reykjavík!$A$123:$L$123,0))</f>
        <v>463518.9108829287</v>
      </c>
      <c r="V40" s="728">
        <f>INDEX(Reykjavík!$A$124:$M$153,MATCH($M40,Reykjavík!$A$124:$A$153,0),MATCH(V$11,Reykjavík!$A$123:$M$123,0))</f>
        <v>448730.55345176515</v>
      </c>
      <c r="W40" s="729">
        <f t="shared" si="1"/>
        <v>-58233.907378649339</v>
      </c>
      <c r="X40" s="730">
        <f t="shared" si="6"/>
        <v>-0.11486782975528784</v>
      </c>
      <c r="Y40" s="728"/>
      <c r="Z40" s="728"/>
      <c r="AA40" s="727" t="s">
        <v>248</v>
      </c>
    </row>
    <row r="41" spans="2:27" x14ac:dyDescent="0.25">
      <c r="B41" s="224" t="s">
        <v>236</v>
      </c>
      <c r="C41" s="229">
        <f>C12+C14+C17+C18+C20+C23+C25+C27+C28+C29+C15-C13</f>
        <v>425641.28316233389</v>
      </c>
      <c r="D41" s="229">
        <f>D11+D16+D21</f>
        <v>383553.90618158993</v>
      </c>
      <c r="E41" s="229">
        <f>E11</f>
        <v>14705.370054438288</v>
      </c>
      <c r="F41" s="229">
        <f>F21</f>
        <v>27382.006926305781</v>
      </c>
      <c r="M41" s="727" t="str">
        <f>Reykjavík!A152</f>
        <v>Umfang 2</v>
      </c>
      <c r="N41" s="731"/>
      <c r="O41" s="731"/>
      <c r="P41" s="728">
        <f>INDEX(Reykjavík!$A$124:$K$153,MATCH($M41,Reykjavík!$A$124:$A$153,0),MATCH(P$11,Reykjavík!$A$123:$K$123,0))</f>
        <v>15090.091737320003</v>
      </c>
      <c r="Q41" s="728">
        <f>INDEX(Reykjavík!$A$124:$K$153,MATCH($M41,Reykjavík!$A$124:$A$153,0),MATCH(Q$11,Reykjavík!$A$123:$K$123,0))</f>
        <v>15755.221124939999</v>
      </c>
      <c r="R41" s="728">
        <f>INDEX(Reykjavík!$A$124:$K$153,MATCH($M41,Reykjavík!$A$124:$A$153,0),MATCH(R$11,Reykjavík!$A$123:$K$123,0))</f>
        <v>15268.603645014891</v>
      </c>
      <c r="S41" s="728">
        <f>INDEX(Reykjavík!$A$124:$K$153,MATCH($M41,Reykjavík!$A$124:$A$153,0),MATCH(S$11,Reykjavík!$A$123:$K$123,0))</f>
        <v>15180.973611299998</v>
      </c>
      <c r="T41" s="728">
        <f>INDEX(Reykjavík!$A$124:$K$153,MATCH($M41,Reykjavík!$A$124:$A$153,0),MATCH(T$11,Reykjavík!$A$123:$K$123,0))</f>
        <v>15571.158399411279</v>
      </c>
      <c r="U41" s="728">
        <f>INDEX(Reykjavík!$A$124:$L$153,MATCH($M41,Reykjavík!$A$124:$A$153,0),MATCH(U$11,Reykjavík!$A$123:$L$123,0))</f>
        <v>17970.926737199999</v>
      </c>
      <c r="V41" s="728">
        <f>INDEX(Reykjavík!$A$124:$M$153,MATCH($M41,Reykjavík!$A$124:$A$153,0),MATCH(V$11,Reykjavík!$A$123:$M$123,0))</f>
        <v>14705.370054438288</v>
      </c>
      <c r="W41" s="729">
        <f t="shared" si="1"/>
        <v>-384.72168288171451</v>
      </c>
      <c r="X41" s="730">
        <f t="shared" si="6"/>
        <v>-2.5494986351225522E-2</v>
      </c>
      <c r="Y41" s="728"/>
      <c r="Z41" s="728"/>
      <c r="AA41" s="727" t="s">
        <v>249</v>
      </c>
    </row>
    <row r="42" spans="2:27" x14ac:dyDescent="0.25">
      <c r="B42" s="224" t="s">
        <v>237</v>
      </c>
      <c r="C42" s="229">
        <f>C41+C31+C32+C35+C13+C33</f>
        <v>491058.42316156084</v>
      </c>
      <c r="D42" s="229">
        <f>D41+D30+D34</f>
        <v>448730.55345176515</v>
      </c>
      <c r="E42" s="229">
        <f>E41</f>
        <v>14705.370054438288</v>
      </c>
      <c r="F42" s="229">
        <f>F41+F11</f>
        <v>27622.499655357493</v>
      </c>
      <c r="M42" s="727" t="str">
        <f>Reykjavík!A153</f>
        <v>Umfang 3</v>
      </c>
      <c r="N42" s="731"/>
      <c r="O42" s="731"/>
      <c r="P42" s="728">
        <f>INDEX(Reykjavík!$A$124:$K$153,MATCH($M42,Reykjavík!$A$124:$A$153,0),MATCH(P$11,Reykjavík!$A$123:$K$123,0))</f>
        <v>58426.614629659751</v>
      </c>
      <c r="Q42" s="728">
        <f>INDEX(Reykjavík!$A$124:$K$153,MATCH($M42,Reykjavík!$A$124:$A$153,0),MATCH(Q$11,Reykjavík!$A$123:$K$123,0))</f>
        <v>68448.90183901097</v>
      </c>
      <c r="R42" s="728">
        <f>INDEX(Reykjavík!$A$124:$K$153,MATCH($M42,Reykjavík!$A$124:$A$153,0),MATCH(R$11,Reykjavík!$A$123:$K$123,0))</f>
        <v>76710.88806666751</v>
      </c>
      <c r="S42" s="728">
        <f>INDEX(Reykjavík!$A$124:$K$153,MATCH($M42,Reykjavík!$A$124:$A$153,0),MATCH(S$11,Reykjavík!$A$123:$K$123,0))</f>
        <v>83343.396649207119</v>
      </c>
      <c r="T42" s="728">
        <f>INDEX(Reykjavík!$A$124:$K$153,MATCH($M42,Reykjavík!$A$124:$A$153,0),MATCH(T$11,Reykjavík!$A$123:$K$123,0))</f>
        <v>94003.993834585257</v>
      </c>
      <c r="U42" s="728">
        <f>INDEX(Reykjavík!$A$124:$L$153,MATCH($M42,Reykjavík!$A$124:$A$153,0),MATCH(U$11,Reykjavík!$A$123:$L$123,0))</f>
        <v>95873.399174875754</v>
      </c>
      <c r="V42" s="728">
        <f>INDEX(Reykjavík!$A$124:$M$153,MATCH($M42,Reykjavík!$A$124:$A$153,0),MATCH(V$11,Reykjavík!$A$123:$M$123,0))</f>
        <v>100450.36578108722</v>
      </c>
      <c r="W42" s="729">
        <f t="shared" si="1"/>
        <v>42023.751151427474</v>
      </c>
      <c r="X42" s="730">
        <f t="shared" si="6"/>
        <v>0.71925699302958568</v>
      </c>
      <c r="Y42" s="728"/>
      <c r="Z42" s="728"/>
      <c r="AA42" s="727" t="s">
        <v>250</v>
      </c>
    </row>
    <row r="43" spans="2:27" x14ac:dyDescent="0.25">
      <c r="B43" s="224" t="s">
        <v>238</v>
      </c>
      <c r="C43" s="229">
        <f>C42+C36+C37</f>
        <v>563886.28928729054</v>
      </c>
      <c r="D43" s="229">
        <f>D42</f>
        <v>448730.55345176515</v>
      </c>
      <c r="E43" s="229">
        <f>E42</f>
        <v>14705.370054438288</v>
      </c>
      <c r="F43" s="229">
        <f>F42+F34</f>
        <v>100450.36578108721</v>
      </c>
    </row>
    <row r="44" spans="2:27" x14ac:dyDescent="0.25">
      <c r="C44" s="229"/>
      <c r="D44" s="229"/>
      <c r="E44" s="229"/>
      <c r="F44" s="229"/>
    </row>
    <row r="45" spans="2:27" x14ac:dyDescent="0.25">
      <c r="C45" s="229"/>
      <c r="D45" s="229"/>
      <c r="N45" s="229"/>
      <c r="O45" s="229"/>
      <c r="P45" s="229"/>
      <c r="Q45" s="229"/>
      <c r="R45" s="229"/>
      <c r="S45" s="229"/>
    </row>
    <row r="46" spans="2:27" x14ac:dyDescent="0.25">
      <c r="B46" s="229"/>
      <c r="C46" s="229"/>
      <c r="D46" s="231"/>
    </row>
    <row r="47" spans="2:27" x14ac:dyDescent="0.25">
      <c r="C47" s="229"/>
      <c r="D47" s="231"/>
    </row>
    <row r="48" spans="2:27" x14ac:dyDescent="0.25">
      <c r="C48" s="229"/>
      <c r="D48" s="231"/>
    </row>
    <row r="49" spans="2:6" x14ac:dyDescent="0.25">
      <c r="C49" s="229"/>
      <c r="D49" s="229"/>
    </row>
    <row r="51" spans="2:6" x14ac:dyDescent="0.25">
      <c r="F51" s="229"/>
    </row>
    <row r="52" spans="2:6" x14ac:dyDescent="0.25">
      <c r="F52" s="229"/>
    </row>
    <row r="53" spans="2:6" x14ac:dyDescent="0.25">
      <c r="C53" s="229"/>
      <c r="F53" s="229"/>
    </row>
    <row r="54" spans="2:6" x14ac:dyDescent="0.25">
      <c r="F54" s="229"/>
    </row>
    <row r="55" spans="2:6" x14ac:dyDescent="0.25">
      <c r="F55" s="229"/>
    </row>
    <row r="56" spans="2:6" x14ac:dyDescent="0.25">
      <c r="F56" s="229"/>
    </row>
    <row r="57" spans="2:6" x14ac:dyDescent="0.25">
      <c r="F57" s="229"/>
    </row>
    <row r="58" spans="2:6" x14ac:dyDescent="0.25">
      <c r="F58" s="229"/>
    </row>
    <row r="59" spans="2:6" x14ac:dyDescent="0.25">
      <c r="F59" s="229"/>
    </row>
    <row r="60" spans="2:6" x14ac:dyDescent="0.25">
      <c r="F60" s="229"/>
    </row>
    <row r="64" spans="2:6" x14ac:dyDescent="0.25">
      <c r="B64" s="484" t="s">
        <v>271</v>
      </c>
      <c r="C64" s="484" t="s">
        <v>272</v>
      </c>
    </row>
    <row r="65" spans="2:8" ht="17.399999999999999" x14ac:dyDescent="0.3">
      <c r="B65" s="483" t="s">
        <v>273</v>
      </c>
      <c r="C65" s="483" t="s">
        <v>236</v>
      </c>
    </row>
    <row r="80" spans="2:8" ht="15" x14ac:dyDescent="0.25">
      <c r="G80" s="479">
        <f>Reykjavík!O148</f>
        <v>425641.28316233394</v>
      </c>
      <c r="H80" s="477" t="s">
        <v>274</v>
      </c>
    </row>
    <row r="81" spans="2:8" ht="15" x14ac:dyDescent="0.25">
      <c r="G81" s="480">
        <f>Reykjavík!O179</f>
        <v>3.0671985931047612</v>
      </c>
      <c r="H81" s="477" t="s">
        <v>275</v>
      </c>
    </row>
    <row r="88" spans="2:8" x14ac:dyDescent="0.25">
      <c r="B88" s="484" t="s">
        <v>271</v>
      </c>
      <c r="C88" s="484" t="s">
        <v>272</v>
      </c>
    </row>
    <row r="89" spans="2:8" ht="17.399999999999999" x14ac:dyDescent="0.3">
      <c r="B89" s="483" t="s">
        <v>273</v>
      </c>
      <c r="C89" s="483" t="s">
        <v>244</v>
      </c>
    </row>
    <row r="100" spans="7:8" ht="15" x14ac:dyDescent="0.25">
      <c r="G100" s="479">
        <f>Reykjavík!O149</f>
        <v>491058.4231615609</v>
      </c>
      <c r="H100" s="477" t="s">
        <v>274</v>
      </c>
    </row>
    <row r="101" spans="7:8" ht="15" x14ac:dyDescent="0.25">
      <c r="G101" s="480">
        <f>Reykjavík!O180</f>
        <v>3.5385987314556315</v>
      </c>
      <c r="H101" s="477" t="s">
        <v>275</v>
      </c>
    </row>
  </sheetData>
  <sheetProtection algorithmName="SHA-512" hashValue="u8BOXXhI1T0TsnthkRdOCipgwSVmlZULDPTtm/G1FAbUoZIT6zuNKPYXhLe9vRFPQXaJbImyNNjRKEKlGz09gg==" saltValue="XoMTSjc1Mfw+L14/WsscUA==" spinCount="100000" sheet="1" selectLockedCells="1"/>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4DC99A7-CBDE-400F-9B41-A03058C26593}">
          <x14:formula1>
            <xm:f>OFFSET(Reykjavík!$R$134,1,MATCH($B65,Reykjavík!$R$134:$W$134,0)-1,COUNTA(OFFSET(Reykjavík!$R$134,1,MATCH($B65,Reykjavík!$R$134:$W$134,0)-1,7,1)),1)</xm:f>
          </x14:formula1>
          <xm:sqref>C65 C89</xm:sqref>
        </x14:dataValidation>
        <x14:dataValidation type="list" allowBlank="1" showInputMessage="1" showErrorMessage="1" xr:uid="{30AB60D3-500B-4181-9A49-FFD070A3A08B}">
          <x14:formula1>
            <xm:f>Reykjavík!$R$134:$W$134</xm:f>
          </x14:formula1>
          <xm:sqref>B65 B89</xm:sqref>
        </x14:dataValidation>
        <x14:dataValidation type="list" allowBlank="1" showInputMessage="1" showErrorMessage="1" xr:uid="{BFABD0A3-4EC8-4653-98DA-EE373C07F0D4}">
          <x14:formula1>
            <xm:f>Reykjavík!$D$3:$M$3</xm:f>
          </x14:formula1>
          <xm:sqref>D4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474A4-8F4B-4B23-8AE5-D33F075DEAF2}">
  <dimension ref="A1:AR254"/>
  <sheetViews>
    <sheetView showGridLines="0" topLeftCell="G132" workbookViewId="0">
      <selection activeCell="S146" sqref="S146"/>
    </sheetView>
  </sheetViews>
  <sheetFormatPr defaultRowHeight="13.2" x14ac:dyDescent="0.25"/>
  <cols>
    <col min="1" max="1" width="31.44140625" customWidth="1"/>
    <col min="2" max="2" width="10.109375" customWidth="1"/>
    <col min="3" max="3" width="12.109375" customWidth="1"/>
    <col min="4" max="4" width="11.44140625" customWidth="1"/>
    <col min="5" max="5" width="16.109375" bestFit="1" customWidth="1"/>
    <col min="6" max="6" width="15.44140625" customWidth="1"/>
    <col min="7" max="7" width="16.109375" bestFit="1" customWidth="1"/>
    <col min="8" max="13" width="12.109375" customWidth="1"/>
    <col min="14" max="14" width="12.6640625" bestFit="1" customWidth="1"/>
    <col min="15" max="15" width="18.6640625" customWidth="1"/>
    <col min="17" max="17" width="10.109375" bestFit="1" customWidth="1"/>
    <col min="19" max="19" width="11.33203125" bestFit="1" customWidth="1"/>
    <col min="20" max="20" width="10.6640625" customWidth="1"/>
    <col min="22" max="22" width="11.33203125" bestFit="1" customWidth="1"/>
    <col min="23" max="23" width="12.44140625" bestFit="1" customWidth="1"/>
    <col min="24" max="24" width="11.33203125" bestFit="1" customWidth="1"/>
    <col min="27" max="27" width="10.88671875" bestFit="1" customWidth="1"/>
    <col min="30" max="30" width="22.6640625" customWidth="1"/>
  </cols>
  <sheetData>
    <row r="1" spans="1:44" ht="46.8" x14ac:dyDescent="0.25">
      <c r="A1" s="9" t="s">
        <v>294</v>
      </c>
      <c r="B1" s="7"/>
      <c r="C1" s="8"/>
      <c r="D1" s="8"/>
      <c r="E1" s="8"/>
      <c r="F1" s="8"/>
      <c r="G1" s="8"/>
      <c r="H1" s="8"/>
      <c r="I1" s="8"/>
      <c r="J1" s="8"/>
      <c r="K1" s="8"/>
      <c r="L1" s="8"/>
      <c r="M1" s="8"/>
      <c r="R1">
        <v>0.36776833919461094</v>
      </c>
      <c r="S1">
        <v>0.36580622998687262</v>
      </c>
      <c r="T1">
        <v>0.36243748251916502</v>
      </c>
      <c r="U1">
        <v>0.35986884211080034</v>
      </c>
      <c r="V1">
        <v>0.35871667792186979</v>
      </c>
      <c r="W1">
        <v>0.35744064263561948</v>
      </c>
      <c r="X1">
        <v>0.3589470217528426</v>
      </c>
      <c r="Y1">
        <v>0.35799373556178526</v>
      </c>
      <c r="Z1">
        <v>0.35791992921448329</v>
      </c>
      <c r="AA1">
        <v>0.35674934719044316</v>
      </c>
      <c r="AB1">
        <v>0.35633364488861041</v>
      </c>
    </row>
    <row r="2" spans="1:44" ht="18" x14ac:dyDescent="0.35">
      <c r="A2" s="715"/>
      <c r="B2" s="7"/>
      <c r="C2" s="8"/>
      <c r="D2" s="8"/>
      <c r="E2" s="8"/>
      <c r="F2" s="8"/>
      <c r="G2" s="8"/>
      <c r="H2" s="8"/>
      <c r="I2" s="8"/>
      <c r="J2" s="8"/>
      <c r="K2" s="8"/>
      <c r="L2" s="8"/>
      <c r="M2" s="8"/>
      <c r="AB2" s="664" t="s">
        <v>295</v>
      </c>
      <c r="AC2" s="663"/>
      <c r="AD2" s="663"/>
      <c r="AE2" s="663"/>
      <c r="AF2" s="663"/>
      <c r="AG2" s="663"/>
      <c r="AH2" s="663"/>
      <c r="AI2" s="663"/>
      <c r="AJ2" s="663"/>
      <c r="AK2" s="663"/>
      <c r="AL2" s="663"/>
      <c r="AM2" s="663"/>
      <c r="AN2" s="663"/>
    </row>
    <row r="3" spans="1:44" ht="21" customHeight="1" x14ac:dyDescent="0.25">
      <c r="A3" s="6" t="s">
        <v>296</v>
      </c>
      <c r="B3" s="6" t="s">
        <v>2</v>
      </c>
      <c r="C3" s="6">
        <v>2015</v>
      </c>
      <c r="D3" s="6">
        <v>2016</v>
      </c>
      <c r="E3" s="6">
        <v>2017</v>
      </c>
      <c r="F3" s="6">
        <v>2018</v>
      </c>
      <c r="G3" s="6">
        <v>2019</v>
      </c>
      <c r="H3" s="6">
        <v>2020</v>
      </c>
      <c r="I3" s="6">
        <v>2021</v>
      </c>
      <c r="J3" s="6">
        <v>2022</v>
      </c>
      <c r="K3" s="6">
        <v>2023</v>
      </c>
      <c r="L3" s="6">
        <v>2024</v>
      </c>
      <c r="M3" s="6">
        <v>2025</v>
      </c>
    </row>
    <row r="4" spans="1:44" ht="21" customHeight="1" x14ac:dyDescent="0.3">
      <c r="A4" s="10" t="s">
        <v>282</v>
      </c>
      <c r="B4" s="10"/>
      <c r="C4" s="10">
        <v>118798</v>
      </c>
      <c r="D4" s="10">
        <v>119266</v>
      </c>
      <c r="E4" s="10">
        <v>120513</v>
      </c>
      <c r="F4" s="10">
        <v>123141</v>
      </c>
      <c r="G4" s="10">
        <v>125360</v>
      </c>
      <c r="H4" s="10">
        <v>126549</v>
      </c>
      <c r="I4" s="10">
        <v>128610</v>
      </c>
      <c r="J4" s="10">
        <v>130638</v>
      </c>
      <c r="K4" s="10">
        <v>134298</v>
      </c>
      <c r="L4" s="28">
        <v>136894</v>
      </c>
      <c r="M4" s="28">
        <v>138772</v>
      </c>
      <c r="N4" s="17"/>
      <c r="O4" t="s">
        <v>297</v>
      </c>
      <c r="AB4" s="663"/>
      <c r="AC4" s="663"/>
      <c r="AD4" s="665" t="s">
        <v>298</v>
      </c>
      <c r="AE4" s="665" t="s">
        <v>299</v>
      </c>
      <c r="AF4" s="665" t="s">
        <v>300</v>
      </c>
      <c r="AG4" s="665" t="s">
        <v>301</v>
      </c>
      <c r="AH4" s="665" t="s">
        <v>302</v>
      </c>
      <c r="AI4" s="665" t="s">
        <v>303</v>
      </c>
      <c r="AJ4" s="665" t="s">
        <v>304</v>
      </c>
      <c r="AK4" s="665" t="s">
        <v>305</v>
      </c>
      <c r="AL4" s="665" t="s">
        <v>306</v>
      </c>
      <c r="AM4" s="665" t="s">
        <v>307</v>
      </c>
      <c r="AN4" s="665" t="s">
        <v>308</v>
      </c>
      <c r="AO4" s="665">
        <v>2025</v>
      </c>
    </row>
    <row r="5" spans="1:44" ht="21" customHeight="1" x14ac:dyDescent="0.3">
      <c r="A5" s="12" t="s">
        <v>309</v>
      </c>
      <c r="B5" s="12"/>
      <c r="C5" s="12">
        <v>206483</v>
      </c>
      <c r="D5" s="12">
        <v>208598</v>
      </c>
      <c r="E5" s="12">
        <v>212410</v>
      </c>
      <c r="F5" s="12">
        <v>217810</v>
      </c>
      <c r="G5" s="12">
        <v>222748</v>
      </c>
      <c r="H5" s="12">
        <v>225936</v>
      </c>
      <c r="I5" s="12">
        <v>229412</v>
      </c>
      <c r="J5" s="12">
        <v>233129</v>
      </c>
      <c r="K5" s="12">
        <v>239014</v>
      </c>
      <c r="L5" s="828">
        <v>243908</v>
      </c>
      <c r="M5" s="828">
        <v>248753</v>
      </c>
      <c r="N5" s="17"/>
      <c r="R5" s="23"/>
      <c r="S5" s="23"/>
      <c r="T5" s="23"/>
      <c r="U5" s="23"/>
      <c r="V5" s="23"/>
      <c r="W5" s="23"/>
      <c r="X5" s="23"/>
      <c r="Y5" s="23"/>
      <c r="Z5" s="23"/>
      <c r="AA5" s="23"/>
      <c r="AB5" s="663"/>
      <c r="AC5" s="663"/>
      <c r="AD5" s="665"/>
      <c r="AE5" s="665"/>
      <c r="AF5" s="665"/>
      <c r="AG5" s="665"/>
      <c r="AH5" s="665"/>
      <c r="AI5" s="665"/>
      <c r="AJ5" s="665"/>
      <c r="AK5" s="665"/>
      <c r="AL5" s="665"/>
      <c r="AM5" s="665"/>
      <c r="AN5" s="665"/>
    </row>
    <row r="6" spans="1:44" ht="21" customHeight="1" x14ac:dyDescent="0.3">
      <c r="A6" s="10" t="s">
        <v>310</v>
      </c>
      <c r="B6" s="10"/>
      <c r="C6" s="10">
        <f>C4/C5</f>
        <v>0.57534034278851043</v>
      </c>
      <c r="D6" s="10">
        <f t="shared" ref="D6:M6" si="0">D4/D5</f>
        <v>0.57175044823056786</v>
      </c>
      <c r="E6" s="10">
        <f t="shared" si="0"/>
        <v>0.56736029377147967</v>
      </c>
      <c r="F6" s="10">
        <f t="shared" si="0"/>
        <v>0.56535971718470224</v>
      </c>
      <c r="G6" s="10">
        <f t="shared" si="0"/>
        <v>0.56278844254493865</v>
      </c>
      <c r="H6" s="10">
        <f t="shared" si="0"/>
        <v>0.56010994263862335</v>
      </c>
      <c r="I6" s="10">
        <f t="shared" si="0"/>
        <v>0.56060711732603352</v>
      </c>
      <c r="J6" s="10">
        <f t="shared" si="0"/>
        <v>0.56036786500178015</v>
      </c>
      <c r="K6" s="10">
        <f t="shared" si="0"/>
        <v>0.56188340431941231</v>
      </c>
      <c r="L6" s="10">
        <f t="shared" si="0"/>
        <v>0.56125260344064154</v>
      </c>
      <c r="M6" s="10">
        <f t="shared" si="0"/>
        <v>0.55787065884632547</v>
      </c>
      <c r="O6" s="32"/>
      <c r="R6" s="23"/>
      <c r="S6" s="23"/>
      <c r="T6" s="23"/>
      <c r="U6" s="23"/>
      <c r="V6" s="23"/>
      <c r="W6" s="23"/>
      <c r="X6" s="23"/>
      <c r="Y6" s="23"/>
      <c r="Z6" s="23"/>
      <c r="AB6" s="665" t="s">
        <v>311</v>
      </c>
      <c r="AC6" s="665"/>
      <c r="AD6" s="634">
        <v>118192</v>
      </c>
      <c r="AE6" s="634">
        <v>118789</v>
      </c>
      <c r="AF6" s="634">
        <v>119266</v>
      </c>
      <c r="AG6" s="634">
        <v>120513</v>
      </c>
      <c r="AH6" s="634">
        <v>123141</v>
      </c>
      <c r="AI6" s="634">
        <v>125360</v>
      </c>
      <c r="AJ6" s="634">
        <v>126549</v>
      </c>
      <c r="AK6" s="634">
        <v>128610</v>
      </c>
      <c r="AL6" s="634">
        <v>130638</v>
      </c>
      <c r="AM6" s="634">
        <v>134298</v>
      </c>
      <c r="AN6" s="634">
        <v>136894</v>
      </c>
      <c r="AO6">
        <v>138772</v>
      </c>
      <c r="AQ6">
        <f>(AO6-AF6)/AF6</f>
        <v>0.16355038317709994</v>
      </c>
      <c r="AR6">
        <f>AO6/AE6</f>
        <v>1.1682226468780779</v>
      </c>
    </row>
    <row r="7" spans="1:44" ht="21" customHeight="1" x14ac:dyDescent="0.3">
      <c r="A7" s="10" t="s">
        <v>283</v>
      </c>
      <c r="B7" s="10"/>
      <c r="C7" s="10">
        <v>323024</v>
      </c>
      <c r="D7" s="10">
        <v>326036</v>
      </c>
      <c r="E7" s="10">
        <v>332507</v>
      </c>
      <c r="F7" s="10">
        <v>342183</v>
      </c>
      <c r="G7" s="10">
        <v>349468</v>
      </c>
      <c r="H7" s="10">
        <v>354042</v>
      </c>
      <c r="I7" s="10">
        <v>358298</v>
      </c>
      <c r="J7" s="10">
        <v>364917</v>
      </c>
      <c r="K7" s="10">
        <v>375218</v>
      </c>
      <c r="L7" s="28">
        <v>383726</v>
      </c>
      <c r="M7" s="28">
        <v>389444</v>
      </c>
      <c r="N7" s="17"/>
      <c r="R7" s="23"/>
      <c r="S7" s="23"/>
      <c r="T7" s="23"/>
      <c r="U7" s="23"/>
      <c r="V7" s="23"/>
      <c r="W7" s="23"/>
      <c r="X7" s="23"/>
      <c r="Y7" s="23"/>
      <c r="Z7" s="23"/>
      <c r="AB7" s="665" t="s">
        <v>312</v>
      </c>
      <c r="AC7" s="665"/>
      <c r="AD7" s="634">
        <v>31766</v>
      </c>
      <c r="AE7" s="634">
        <v>32621</v>
      </c>
      <c r="AF7" s="634">
        <v>33537</v>
      </c>
      <c r="AG7" s="634">
        <v>34661</v>
      </c>
      <c r="AH7" s="634">
        <v>35369</v>
      </c>
      <c r="AI7" s="634">
        <v>36295</v>
      </c>
      <c r="AJ7" s="634">
        <v>37036</v>
      </c>
      <c r="AK7" s="634">
        <v>37500</v>
      </c>
      <c r="AL7" s="634">
        <v>38056</v>
      </c>
      <c r="AM7" s="634">
        <v>38770</v>
      </c>
      <c r="AN7" s="634">
        <v>39335</v>
      </c>
      <c r="AO7">
        <v>40040</v>
      </c>
      <c r="AQ7">
        <f t="shared" ref="AQ7:AQ16" si="1">(AO7-AF7)/AF7</f>
        <v>0.19390523898977249</v>
      </c>
      <c r="AR7">
        <f t="shared" ref="AR7:AR16" si="2">AO7/AE7</f>
        <v>1.227430183010944</v>
      </c>
    </row>
    <row r="8" spans="1:44" ht="21" customHeight="1" x14ac:dyDescent="0.3">
      <c r="A8" s="10" t="s">
        <v>313</v>
      </c>
      <c r="B8" s="10"/>
      <c r="C8" s="10">
        <f t="shared" ref="C8:H8" si="3">C5/C7</f>
        <v>0.63921875773936299</v>
      </c>
      <c r="D8" s="10">
        <f t="shared" si="3"/>
        <v>0.63980051282680439</v>
      </c>
      <c r="E8" s="10">
        <f t="shared" si="3"/>
        <v>0.63881361896140532</v>
      </c>
      <c r="F8" s="10">
        <f t="shared" si="3"/>
        <v>0.6365307452445037</v>
      </c>
      <c r="G8" s="10">
        <f t="shared" si="3"/>
        <v>0.63739169251548067</v>
      </c>
      <c r="H8" s="10">
        <f t="shared" si="3"/>
        <v>0.63816157405053642</v>
      </c>
      <c r="I8" s="10">
        <f>I5/I7</f>
        <v>0.64028266973301551</v>
      </c>
      <c r="J8" s="10">
        <f>J5/J7</f>
        <v>0.63885486288662896</v>
      </c>
      <c r="K8" s="10">
        <f>K5/K7</f>
        <v>0.63700035712572423</v>
      </c>
      <c r="L8" s="10">
        <f>L5/L7</f>
        <v>0.63563063227407057</v>
      </c>
      <c r="M8" s="10">
        <f>M5/M7</f>
        <v>0.63873881739094707</v>
      </c>
      <c r="R8" s="23"/>
      <c r="S8" s="23"/>
      <c r="T8" s="23"/>
      <c r="U8" s="23"/>
      <c r="V8" s="23"/>
      <c r="W8" s="23"/>
      <c r="X8" s="23"/>
      <c r="Y8" s="23"/>
      <c r="Z8" s="23"/>
      <c r="AB8" s="665" t="s">
        <v>314</v>
      </c>
      <c r="AC8" s="665"/>
      <c r="AD8" s="634">
        <v>4294</v>
      </c>
      <c r="AE8" s="634">
        <v>4308</v>
      </c>
      <c r="AF8" s="634">
        <v>4319</v>
      </c>
      <c r="AG8" s="634">
        <v>4364</v>
      </c>
      <c r="AH8" s="634">
        <v>4486</v>
      </c>
      <c r="AI8" s="634">
        <v>4565</v>
      </c>
      <c r="AJ8" s="634">
        <v>4593</v>
      </c>
      <c r="AK8" s="634">
        <v>4590</v>
      </c>
      <c r="AL8" s="634">
        <v>4573</v>
      </c>
      <c r="AM8" s="634">
        <v>4540</v>
      </c>
      <c r="AN8" s="634">
        <v>4572</v>
      </c>
      <c r="AO8">
        <v>4585</v>
      </c>
      <c r="AQ8">
        <f t="shared" si="1"/>
        <v>6.1588330632090758E-2</v>
      </c>
      <c r="AR8">
        <f t="shared" si="2"/>
        <v>1.0642989786443826</v>
      </c>
    </row>
    <row r="9" spans="1:44" ht="21" customHeight="1" x14ac:dyDescent="0.3">
      <c r="A9" s="28" t="s">
        <v>310</v>
      </c>
      <c r="B9" s="28"/>
      <c r="C9" s="28">
        <f t="shared" ref="C9:H9" si="4">C4/C7</f>
        <v>0.36776833919461094</v>
      </c>
      <c r="D9" s="28">
        <f t="shared" si="4"/>
        <v>0.36580622998687262</v>
      </c>
      <c r="E9" s="28">
        <f t="shared" si="4"/>
        <v>0.36243748251916502</v>
      </c>
      <c r="F9" s="28">
        <f t="shared" si="4"/>
        <v>0.35986884211080034</v>
      </c>
      <c r="G9" s="28">
        <f t="shared" si="4"/>
        <v>0.35871667792186979</v>
      </c>
      <c r="H9" s="28">
        <f t="shared" si="4"/>
        <v>0.35744064263561948</v>
      </c>
      <c r="I9" s="28">
        <f>I4/I7</f>
        <v>0.3589470217528426</v>
      </c>
      <c r="J9" s="28">
        <f>J4/J7</f>
        <v>0.35799373556178526</v>
      </c>
      <c r="K9" s="28">
        <f>K4/K7</f>
        <v>0.35791992921448329</v>
      </c>
      <c r="L9" s="28">
        <f>L4/L7</f>
        <v>0.35674934719044316</v>
      </c>
      <c r="M9" s="28">
        <f>M4/M7</f>
        <v>0.35633364488861041</v>
      </c>
      <c r="O9" s="488">
        <f>M4*3.54</f>
        <v>491252.88</v>
      </c>
      <c r="R9" s="23"/>
      <c r="S9" s="23"/>
      <c r="T9" s="23"/>
      <c r="U9" s="23"/>
      <c r="V9" s="23"/>
      <c r="W9" s="23"/>
      <c r="X9" s="23"/>
      <c r="Y9" s="23"/>
      <c r="Z9" s="23"/>
      <c r="AB9" s="665" t="s">
        <v>315</v>
      </c>
      <c r="AC9" s="665"/>
      <c r="AD9" s="634">
        <v>13904</v>
      </c>
      <c r="AE9" s="634">
        <v>14213</v>
      </c>
      <c r="AF9" s="634">
        <v>14442</v>
      </c>
      <c r="AG9" s="634">
        <v>14965</v>
      </c>
      <c r="AH9" s="634">
        <v>15449</v>
      </c>
      <c r="AI9" s="634">
        <v>16015</v>
      </c>
      <c r="AJ9" s="634">
        <v>16624</v>
      </c>
      <c r="AK9" s="634">
        <v>17353</v>
      </c>
      <c r="AL9" s="634">
        <v>18047</v>
      </c>
      <c r="AM9" s="634">
        <v>18509</v>
      </c>
      <c r="AN9" s="634">
        <v>19088</v>
      </c>
      <c r="AO9">
        <v>20116</v>
      </c>
      <c r="AQ9">
        <f t="shared" si="1"/>
        <v>0.39288187231685362</v>
      </c>
      <c r="AR9">
        <f t="shared" si="2"/>
        <v>1.4153239991557025</v>
      </c>
    </row>
    <row r="10" spans="1:44" ht="21" customHeight="1" x14ac:dyDescent="0.3">
      <c r="A10" s="28" t="s">
        <v>316</v>
      </c>
      <c r="B10" s="28"/>
      <c r="C10" s="28">
        <v>17.7</v>
      </c>
      <c r="D10" s="28">
        <v>21.08</v>
      </c>
      <c r="E10" s="28">
        <v>25.06</v>
      </c>
      <c r="F10" s="28">
        <v>26.68</v>
      </c>
      <c r="G10" s="28">
        <v>24.99</v>
      </c>
      <c r="H10" s="28">
        <v>22.03</v>
      </c>
      <c r="I10" s="28">
        <v>26.23</v>
      </c>
      <c r="J10" s="28">
        <v>29.18</v>
      </c>
      <c r="K10" s="28">
        <v>31.7</v>
      </c>
      <c r="L10" s="28">
        <v>33.19</v>
      </c>
      <c r="M10" s="28">
        <v>38.58</v>
      </c>
      <c r="O10" s="488" t="s">
        <v>317</v>
      </c>
      <c r="R10" s="23"/>
      <c r="S10" s="23"/>
      <c r="T10" s="23"/>
      <c r="U10" s="23"/>
      <c r="V10" s="23"/>
      <c r="W10" s="23"/>
      <c r="X10" s="23"/>
      <c r="Y10" s="23"/>
      <c r="Z10" s="23"/>
      <c r="AB10" s="665"/>
      <c r="AC10" s="665"/>
      <c r="AD10" s="634"/>
      <c r="AE10" s="634"/>
      <c r="AF10" s="634"/>
      <c r="AG10" s="634"/>
      <c r="AH10" s="634"/>
      <c r="AI10" s="634"/>
      <c r="AJ10" s="634"/>
      <c r="AK10" s="634"/>
      <c r="AL10" s="634"/>
      <c r="AM10" s="634"/>
      <c r="AN10" s="634"/>
    </row>
    <row r="11" spans="1:44" ht="21" customHeight="1" x14ac:dyDescent="0.3">
      <c r="A11" s="28"/>
      <c r="B11" s="28"/>
      <c r="C11" s="28">
        <v>978867</v>
      </c>
      <c r="D11" s="28">
        <v>1100665</v>
      </c>
      <c r="E11" s="28">
        <v>1209857</v>
      </c>
      <c r="F11" s="28">
        <v>1306378</v>
      </c>
      <c r="G11" s="28">
        <v>1355357</v>
      </c>
      <c r="H11" s="28">
        <v>1333368</v>
      </c>
      <c r="I11" s="28">
        <v>1460489</v>
      </c>
      <c r="J11" s="28">
        <v>1683468</v>
      </c>
      <c r="K11" s="28">
        <v>1892279</v>
      </c>
      <c r="L11" s="28">
        <v>2025852</v>
      </c>
      <c r="M11" s="28">
        <v>2180811</v>
      </c>
      <c r="O11" s="916" t="s">
        <v>318</v>
      </c>
      <c r="R11" s="23"/>
      <c r="S11" s="23"/>
      <c r="T11" s="23"/>
      <c r="U11" s="23"/>
      <c r="V11" s="23"/>
      <c r="W11" s="23"/>
      <c r="X11" s="23"/>
      <c r="Y11" s="23"/>
      <c r="Z11" s="23"/>
      <c r="AB11" s="665"/>
      <c r="AC11" s="665"/>
      <c r="AD11" s="634"/>
      <c r="AE11" s="634"/>
      <c r="AF11" s="634"/>
      <c r="AG11" s="634"/>
      <c r="AH11" s="634"/>
      <c r="AI11" s="634"/>
      <c r="AJ11" s="634"/>
      <c r="AK11" s="634"/>
      <c r="AL11" s="634"/>
      <c r="AM11" s="634"/>
      <c r="AN11" s="634"/>
    </row>
    <row r="12" spans="1:44" ht="21" customHeight="1" x14ac:dyDescent="0.3">
      <c r="A12" s="28"/>
      <c r="B12" s="28"/>
      <c r="C12" s="28">
        <v>359005</v>
      </c>
      <c r="D12" s="28">
        <v>400148</v>
      </c>
      <c r="E12" s="28">
        <v>436577</v>
      </c>
      <c r="F12" s="28">
        <v>470963</v>
      </c>
      <c r="G12" s="28">
        <v>481791</v>
      </c>
      <c r="H12" s="28">
        <v>474554</v>
      </c>
      <c r="I12" s="28">
        <v>549825</v>
      </c>
      <c r="J12" s="28">
        <v>596551</v>
      </c>
      <c r="K12" s="28">
        <v>670969</v>
      </c>
      <c r="L12" s="28">
        <v>727532</v>
      </c>
      <c r="M12" s="28">
        <v>781740</v>
      </c>
      <c r="O12" s="488"/>
      <c r="R12" s="23"/>
      <c r="S12" s="23"/>
      <c r="T12" s="23"/>
      <c r="U12" s="23"/>
      <c r="V12" s="23"/>
      <c r="W12" s="23"/>
      <c r="X12" s="23"/>
      <c r="Y12" s="23"/>
      <c r="Z12" s="23"/>
      <c r="AB12" s="665"/>
      <c r="AC12" s="665"/>
      <c r="AD12" s="634"/>
      <c r="AE12" s="634"/>
      <c r="AF12" s="634"/>
      <c r="AG12" s="634"/>
      <c r="AH12" s="634"/>
      <c r="AI12" s="634"/>
      <c r="AJ12" s="634"/>
      <c r="AK12" s="634"/>
      <c r="AL12" s="634"/>
      <c r="AM12" s="634"/>
      <c r="AN12" s="634"/>
    </row>
    <row r="13" spans="1:44" ht="21" customHeight="1" x14ac:dyDescent="0.3">
      <c r="A13" s="46"/>
      <c r="B13" s="46"/>
      <c r="C13" s="917">
        <f t="shared" ref="C13:L13" si="5">C12/C11*C10</f>
        <v>6.4915749534921492</v>
      </c>
      <c r="D13" s="917">
        <f t="shared" si="5"/>
        <v>7.6636577341879679</v>
      </c>
      <c r="E13" s="917">
        <f t="shared" si="5"/>
        <v>9.042903103424619</v>
      </c>
      <c r="F13" s="917">
        <f t="shared" si="5"/>
        <v>9.618420426553417</v>
      </c>
      <c r="G13" s="917">
        <f t="shared" si="5"/>
        <v>8.883236733937995</v>
      </c>
      <c r="H13" s="917">
        <f t="shared" si="5"/>
        <v>7.8406146090201654</v>
      </c>
      <c r="I13" s="917">
        <f t="shared" si="5"/>
        <v>9.8747130241994299</v>
      </c>
      <c r="J13" s="917">
        <f t="shared" si="5"/>
        <v>10.340177645194323</v>
      </c>
      <c r="K13" s="917">
        <f t="shared" si="5"/>
        <v>11.240264939789533</v>
      </c>
      <c r="L13" s="917">
        <f t="shared" si="5"/>
        <v>11.919324353407848</v>
      </c>
      <c r="M13" s="917">
        <f>M12/M11*M10</f>
        <v>13.829501593673179</v>
      </c>
      <c r="O13" s="488">
        <f>M4*3.8</f>
        <v>527333.6</v>
      </c>
      <c r="P13" s="24"/>
      <c r="R13" s="23"/>
      <c r="S13" s="23"/>
      <c r="T13" s="23"/>
      <c r="U13" s="23"/>
      <c r="V13" s="23"/>
      <c r="W13" s="23"/>
      <c r="X13" s="23"/>
      <c r="Y13" s="23"/>
      <c r="Z13" s="23"/>
      <c r="AB13" s="665" t="s">
        <v>319</v>
      </c>
      <c r="AC13" s="665"/>
      <c r="AD13" s="634">
        <v>26891</v>
      </c>
      <c r="AE13" s="634">
        <v>27393</v>
      </c>
      <c r="AF13" s="634">
        <v>27696</v>
      </c>
      <c r="AG13" s="634">
        <v>28270</v>
      </c>
      <c r="AH13" s="634">
        <v>28965</v>
      </c>
      <c r="AI13" s="634">
        <v>29227</v>
      </c>
      <c r="AJ13" s="634">
        <v>29266</v>
      </c>
      <c r="AK13" s="634">
        <v>29018</v>
      </c>
      <c r="AL13" s="634">
        <v>29047</v>
      </c>
      <c r="AM13" s="634">
        <v>29806</v>
      </c>
      <c r="AN13" s="634">
        <v>30616</v>
      </c>
      <c r="AO13">
        <v>31525</v>
      </c>
      <c r="AQ13">
        <f t="shared" si="1"/>
        <v>0.13825101097631426</v>
      </c>
      <c r="AR13">
        <f t="shared" si="2"/>
        <v>1.1508414558463842</v>
      </c>
    </row>
    <row r="14" spans="1:44" ht="21" customHeight="1" x14ac:dyDescent="0.3">
      <c r="A14" s="46"/>
      <c r="B14" s="46"/>
      <c r="C14" s="46"/>
      <c r="D14" s="46"/>
      <c r="E14" s="46"/>
      <c r="F14" s="46"/>
      <c r="G14" s="46"/>
      <c r="H14" s="46"/>
      <c r="I14" s="46"/>
      <c r="J14" s="46"/>
      <c r="K14" s="46"/>
      <c r="L14" s="46"/>
      <c r="M14" s="46"/>
      <c r="P14" s="24"/>
      <c r="R14" s="23"/>
      <c r="S14" s="23"/>
      <c r="T14" s="23"/>
      <c r="U14" s="23"/>
      <c r="V14" s="23"/>
      <c r="W14" s="23"/>
      <c r="X14" s="23"/>
      <c r="Y14" s="23"/>
      <c r="Z14" s="23"/>
      <c r="AB14" s="665" t="s">
        <v>320</v>
      </c>
      <c r="AC14" s="665"/>
      <c r="AD14" s="634">
        <v>8955</v>
      </c>
      <c r="AE14" s="634">
        <v>9159</v>
      </c>
      <c r="AF14" s="634">
        <v>9338</v>
      </c>
      <c r="AG14" s="634">
        <v>9637</v>
      </c>
      <c r="AH14" s="634">
        <v>10400</v>
      </c>
      <c r="AI14" s="634">
        <v>11286</v>
      </c>
      <c r="AJ14" s="634">
        <v>11868</v>
      </c>
      <c r="AK14" s="634">
        <v>12341</v>
      </c>
      <c r="AL14" s="634">
        <v>12768</v>
      </c>
      <c r="AM14" s="634">
        <v>13091</v>
      </c>
      <c r="AN14" s="634">
        <v>13403</v>
      </c>
      <c r="AO14">
        <v>13715</v>
      </c>
      <c r="AQ14">
        <f t="shared" si="1"/>
        <v>0.46872992075390874</v>
      </c>
      <c r="AR14">
        <f t="shared" si="2"/>
        <v>1.4974342177093569</v>
      </c>
    </row>
    <row r="15" spans="1:44" ht="21" customHeight="1" x14ac:dyDescent="0.3">
      <c r="A15" s="6" t="s">
        <v>1</v>
      </c>
      <c r="B15" s="6" t="s">
        <v>2</v>
      </c>
      <c r="C15" s="6">
        <v>2015</v>
      </c>
      <c r="D15" s="6">
        <v>2016</v>
      </c>
      <c r="E15" s="6">
        <v>2017</v>
      </c>
      <c r="F15" s="6">
        <v>2018</v>
      </c>
      <c r="G15" s="6">
        <v>2019</v>
      </c>
      <c r="H15" s="6">
        <v>2020</v>
      </c>
      <c r="I15" s="6">
        <v>2021</v>
      </c>
      <c r="J15" s="6">
        <v>2022</v>
      </c>
      <c r="K15" s="6">
        <v>2023</v>
      </c>
      <c r="L15" s="6">
        <v>2024</v>
      </c>
      <c r="M15" s="6">
        <v>2025</v>
      </c>
      <c r="R15" s="23"/>
      <c r="S15" s="23"/>
      <c r="T15" s="23"/>
      <c r="U15" s="23"/>
      <c r="V15" s="23"/>
      <c r="W15" s="23"/>
      <c r="X15" s="23"/>
      <c r="Y15" s="23"/>
      <c r="Z15" s="23"/>
      <c r="AB15" s="665" t="s">
        <v>321</v>
      </c>
      <c r="AC15" s="665"/>
      <c r="AD15" s="634">
        <f t="shared" ref="AD15:AN15" si="6">SUM(AD6:AD14)</f>
        <v>204002</v>
      </c>
      <c r="AE15" s="634">
        <f t="shared" si="6"/>
        <v>206483</v>
      </c>
      <c r="AF15" s="634">
        <f t="shared" si="6"/>
        <v>208598</v>
      </c>
      <c r="AG15" s="634">
        <f t="shared" si="6"/>
        <v>212410</v>
      </c>
      <c r="AH15" s="634">
        <f t="shared" si="6"/>
        <v>217810</v>
      </c>
      <c r="AI15" s="634">
        <f t="shared" si="6"/>
        <v>222748</v>
      </c>
      <c r="AJ15" s="634">
        <f t="shared" si="6"/>
        <v>225936</v>
      </c>
      <c r="AK15" s="634">
        <f t="shared" si="6"/>
        <v>229412</v>
      </c>
      <c r="AL15" s="634">
        <f t="shared" si="6"/>
        <v>233129</v>
      </c>
      <c r="AM15" s="634">
        <f t="shared" si="6"/>
        <v>239014</v>
      </c>
      <c r="AN15" s="634">
        <f t="shared" si="6"/>
        <v>243908</v>
      </c>
      <c r="AO15" s="634">
        <f>SUM(AO6:AO14)</f>
        <v>248753</v>
      </c>
      <c r="AQ15">
        <f t="shared" si="1"/>
        <v>0.19249944870037106</v>
      </c>
      <c r="AR15">
        <f t="shared" si="2"/>
        <v>1.2047141895458706</v>
      </c>
    </row>
    <row r="16" spans="1:44" ht="21" customHeight="1" x14ac:dyDescent="0.3">
      <c r="A16" s="10" t="s">
        <v>3</v>
      </c>
      <c r="B16" s="10" t="s">
        <v>4</v>
      </c>
      <c r="C16" s="10">
        <f t="shared" ref="C16:L16" si="7">SUM(C17:C20)</f>
        <v>4734390</v>
      </c>
      <c r="D16" s="10">
        <f t="shared" si="7"/>
        <v>4687420</v>
      </c>
      <c r="E16" s="10">
        <f t="shared" si="7"/>
        <v>4769130</v>
      </c>
      <c r="F16" s="10">
        <f t="shared" si="7"/>
        <v>4828420</v>
      </c>
      <c r="G16" s="10">
        <f t="shared" si="7"/>
        <v>4688990</v>
      </c>
      <c r="H16" s="10">
        <f t="shared" si="7"/>
        <v>4495460</v>
      </c>
      <c r="I16" s="10">
        <f t="shared" si="7"/>
        <v>4631394</v>
      </c>
      <c r="J16" s="10">
        <f t="shared" si="7"/>
        <v>4666000</v>
      </c>
      <c r="K16" s="10">
        <f t="shared" si="7"/>
        <v>4644000</v>
      </c>
      <c r="L16" s="10">
        <f t="shared" si="7"/>
        <v>4779000</v>
      </c>
      <c r="M16" s="28"/>
      <c r="O16" s="497" t="s">
        <v>5</v>
      </c>
      <c r="Q16" s="24"/>
      <c r="R16" s="24"/>
      <c r="S16" s="24"/>
      <c r="T16" s="24"/>
      <c r="U16" s="24"/>
      <c r="AB16" s="665" t="s">
        <v>322</v>
      </c>
      <c r="AC16" s="665"/>
      <c r="AD16" s="634">
        <v>319718</v>
      </c>
      <c r="AE16" s="634">
        <v>323024</v>
      </c>
      <c r="AF16" s="634">
        <v>326036</v>
      </c>
      <c r="AG16" s="634">
        <v>332507</v>
      </c>
      <c r="AH16" s="634">
        <v>342183</v>
      </c>
      <c r="AI16" s="634">
        <v>349468</v>
      </c>
      <c r="AJ16" s="634">
        <v>354042</v>
      </c>
      <c r="AK16" s="634">
        <v>358298</v>
      </c>
      <c r="AL16" s="634">
        <v>364917</v>
      </c>
      <c r="AM16" s="634">
        <v>375218</v>
      </c>
      <c r="AN16" s="634">
        <v>383726</v>
      </c>
      <c r="AO16" s="634">
        <v>389444</v>
      </c>
      <c r="AQ16">
        <f t="shared" si="1"/>
        <v>0.19448159098995202</v>
      </c>
      <c r="AR16">
        <f t="shared" si="2"/>
        <v>1.2056193967011739</v>
      </c>
    </row>
    <row r="17" spans="1:21" ht="21" customHeight="1" x14ac:dyDescent="0.25">
      <c r="A17" s="12" t="s">
        <v>6</v>
      </c>
      <c r="B17" s="12" t="s">
        <v>4</v>
      </c>
      <c r="C17" s="12">
        <v>1853750</v>
      </c>
      <c r="D17" s="12">
        <v>1829010</v>
      </c>
      <c r="E17" s="12">
        <v>1870240</v>
      </c>
      <c r="F17" s="12">
        <v>1911170</v>
      </c>
      <c r="G17" s="12">
        <v>1853990</v>
      </c>
      <c r="H17" s="12">
        <v>1664620</v>
      </c>
      <c r="I17" s="12">
        <v>1764044</v>
      </c>
      <c r="J17" s="12">
        <v>1819340</v>
      </c>
      <c r="K17" s="12">
        <v>1782000</v>
      </c>
      <c r="L17" s="828">
        <v>1866000</v>
      </c>
      <c r="M17" s="828"/>
      <c r="O17" t="s">
        <v>323</v>
      </c>
      <c r="Q17" s="24"/>
      <c r="R17" s="24"/>
      <c r="S17" s="24"/>
      <c r="T17" s="24"/>
      <c r="U17" s="24"/>
    </row>
    <row r="18" spans="1:21" ht="21" customHeight="1" x14ac:dyDescent="0.25">
      <c r="A18" s="10" t="s">
        <v>7</v>
      </c>
      <c r="B18" s="10" t="s">
        <v>4</v>
      </c>
      <c r="C18" s="10">
        <v>1965740</v>
      </c>
      <c r="D18" s="10">
        <v>1947760</v>
      </c>
      <c r="E18" s="10">
        <v>1994090</v>
      </c>
      <c r="F18" s="10">
        <v>2035230</v>
      </c>
      <c r="G18" s="10">
        <v>2002070</v>
      </c>
      <c r="H18" s="10">
        <v>1977270</v>
      </c>
      <c r="I18" s="10">
        <v>2011920</v>
      </c>
      <c r="J18" s="10">
        <v>2016800</v>
      </c>
      <c r="K18" s="10">
        <v>1948000</v>
      </c>
      <c r="L18" s="28">
        <v>2008000</v>
      </c>
      <c r="M18" s="28"/>
      <c r="Q18" s="24"/>
      <c r="R18" s="24"/>
      <c r="S18" s="24"/>
      <c r="T18" s="24"/>
      <c r="U18" s="24"/>
    </row>
    <row r="19" spans="1:21" ht="21" customHeight="1" x14ac:dyDescent="0.25">
      <c r="A19" s="10" t="s">
        <v>8</v>
      </c>
      <c r="B19" s="10" t="s">
        <v>4</v>
      </c>
      <c r="C19" s="10">
        <v>650330</v>
      </c>
      <c r="D19" s="10">
        <v>650240</v>
      </c>
      <c r="E19" s="10">
        <v>651080</v>
      </c>
      <c r="F19" s="10">
        <v>628300</v>
      </c>
      <c r="G19" s="10">
        <v>610910</v>
      </c>
      <c r="H19" s="10">
        <v>609480</v>
      </c>
      <c r="I19" s="10">
        <v>612750</v>
      </c>
      <c r="J19" s="10">
        <v>596260</v>
      </c>
      <c r="K19" s="10">
        <v>660000</v>
      </c>
      <c r="L19" s="28">
        <v>662000</v>
      </c>
      <c r="M19" s="28"/>
      <c r="N19" s="580"/>
      <c r="Q19" s="24"/>
      <c r="R19" s="24"/>
      <c r="S19" s="24"/>
      <c r="T19" s="24"/>
      <c r="U19" s="24"/>
    </row>
    <row r="20" spans="1:21" ht="21" customHeight="1" x14ac:dyDescent="0.25">
      <c r="A20" s="10" t="s">
        <v>9</v>
      </c>
      <c r="B20" s="10" t="s">
        <v>4</v>
      </c>
      <c r="C20" s="10">
        <v>264570</v>
      </c>
      <c r="D20" s="10">
        <v>260410</v>
      </c>
      <c r="E20" s="10">
        <v>253720</v>
      </c>
      <c r="F20" s="10">
        <v>253720</v>
      </c>
      <c r="G20" s="10">
        <v>222020</v>
      </c>
      <c r="H20" s="10">
        <v>244090</v>
      </c>
      <c r="I20" s="10">
        <v>242680</v>
      </c>
      <c r="J20" s="10">
        <v>233600</v>
      </c>
      <c r="K20" s="10">
        <v>254000</v>
      </c>
      <c r="L20" s="28">
        <v>243000</v>
      </c>
      <c r="M20" s="28"/>
    </row>
    <row r="21" spans="1:21" ht="21" customHeight="1" x14ac:dyDescent="0.25">
      <c r="A21" s="28"/>
      <c r="B21" s="28"/>
      <c r="C21" s="28"/>
      <c r="D21" s="28"/>
      <c r="E21" s="28"/>
      <c r="F21" s="28"/>
      <c r="G21" s="28"/>
      <c r="H21" s="28"/>
      <c r="I21" s="28"/>
      <c r="J21" s="28"/>
      <c r="K21" s="28"/>
      <c r="L21" s="28"/>
      <c r="M21" s="28"/>
    </row>
    <row r="22" spans="1:21" ht="24.75" customHeight="1" x14ac:dyDescent="0.25">
      <c r="A22" s="709" t="s">
        <v>6</v>
      </c>
      <c r="B22" s="709" t="s">
        <v>2</v>
      </c>
      <c r="C22" s="709">
        <v>2015</v>
      </c>
      <c r="D22" s="709">
        <v>2016</v>
      </c>
      <c r="E22" s="709">
        <v>2017</v>
      </c>
      <c r="F22" s="709">
        <v>2018</v>
      </c>
      <c r="G22" s="709">
        <v>2019</v>
      </c>
      <c r="H22" s="709">
        <v>2020</v>
      </c>
      <c r="I22" s="709">
        <v>2021</v>
      </c>
      <c r="J22" s="709">
        <v>2022</v>
      </c>
      <c r="K22" s="709">
        <v>2023</v>
      </c>
      <c r="L22" s="709">
        <v>2024</v>
      </c>
      <c r="M22" s="709">
        <v>2025</v>
      </c>
    </row>
    <row r="23" spans="1:21" ht="15" customHeight="1" x14ac:dyDescent="0.25">
      <c r="A23" s="46" t="s">
        <v>252</v>
      </c>
      <c r="B23" s="46" t="s">
        <v>324</v>
      </c>
      <c r="C23" s="46"/>
      <c r="D23" s="46">
        <f>INDEX(Orka!$C$8:$J$12,MATCH(D$3,Orka!$C$8:$C$12,0),MATCH("Heildarorka [kwh]",Orka!$C$8:$J$8,0))</f>
        <v>983200000</v>
      </c>
      <c r="E23" s="46">
        <f>INDEX(Orka!$C$8:$J$12,MATCH(E$22,Orka!$C$8:$C$12,0),MATCH("Heildarorka [kwh]",Orka!$C$8:$J$8,0))</f>
        <v>1085400000</v>
      </c>
      <c r="F23" s="46">
        <f>INDEX(Orka!$C$14:$J$22,MATCH(F$22,Orka!$C$14:$C$22,0),MATCH("Heildarorka [kwh]",Orka!$C$8:$J$8,0))</f>
        <v>835181321.80246878</v>
      </c>
      <c r="G23" s="46">
        <f>INDEX(Orka!$C$14:$J$22,MATCH(G$22,Orka!$C$14:$C$22,0),MATCH("Heildarorka [kwh]",Orka!$C$8:$J$8,0))</f>
        <v>824597669.14894867</v>
      </c>
      <c r="H23" s="46">
        <f>INDEX(Orka!$C$14:$J$22,MATCH(H$22,Orka!$C$14:$C$22,0),MATCH("Heildarorka [kwh]",Orka!$C$8:$J$8,0))</f>
        <v>805254377.9028424</v>
      </c>
      <c r="I23" s="46">
        <f>IFERROR(INDEX(Orka!$C$14:$J$22,MATCH(I$22,Orka!$C$14:$C$22,0),MATCH("Heildarorka [kwh]",Orka!$C$8:$J$8,0)),820000000)</f>
        <v>811671438.76758826</v>
      </c>
      <c r="J23" s="46">
        <f>IFERROR(INDEX(Orka!$C$14:$J$22,MATCH(J$22,Orka!$C$14:$C$22,0),MATCH("Heildarorka [kwh]",Orka!$C$8:$J$8,0)),820000000)</f>
        <v>827369479</v>
      </c>
      <c r="K23" s="46">
        <f>IFERROR(INDEX(Orka!$C$14:$J$22,MATCH(K$22,Orka!$C$14:$C$22,0),MATCH("Heildarorka [kwh]",Orka!$C$8:$J$8,0)),820000000)</f>
        <v>829789357.89067149</v>
      </c>
      <c r="L23" s="46">
        <f>IFERROR(INDEX(Orka!$C$14:$J$22,MATCH(L$22,Orka!$C$14:$C$22,0),MATCH("Heildarorka [kwh]",Orka!$C$8:$J$8,0)),820000000)</f>
        <v>842824422.92199707</v>
      </c>
      <c r="M23" s="46">
        <f>IFERROR(INDEX(Orka!$C$14:$J$22,MATCH(M$22,Orka!$C$14:$C$22,0),MATCH("Heildarorka [kwh]",Orka!$C$8:$J$8,0)),820000000)</f>
        <v>853693619</v>
      </c>
      <c r="O23" t="s">
        <v>325</v>
      </c>
      <c r="P23" s="24"/>
      <c r="Q23" s="24"/>
      <c r="R23" s="24"/>
      <c r="S23" s="24"/>
      <c r="T23" s="24"/>
    </row>
    <row r="24" spans="1:21" ht="15" customHeight="1" x14ac:dyDescent="0.25">
      <c r="A24" s="46" t="s">
        <v>326</v>
      </c>
      <c r="B24" s="46" t="s">
        <v>327</v>
      </c>
      <c r="C24" s="914">
        <v>10.4</v>
      </c>
      <c r="D24" s="914">
        <f>INDEX(Orka!$C$8:$J$12,MATCH(D$22,Orka!$C$8:$C$12,0),MATCH("UOS Stuðull [g CO2 íg/kwh]",Orka!$C$8:$J$8,0))</f>
        <v>6.6</v>
      </c>
      <c r="E24" s="914">
        <f>INDEX(Orka!$C$8:$J$12,MATCH(E$22,Orka!$C$8:$C$12,0),MATCH("UOS Stuðull [g CO2 íg/kwh]",Orka!$C$8:$J$8,0))</f>
        <v>6.06</v>
      </c>
      <c r="F24" s="914">
        <f>INDEX(Orka!$C$14:$J$22,MATCH(F$22,Orka!$C$14:$C$22,0),MATCH("UOS Stuðull [g CO2 íg/kwh]",Orka!$C$14:$J$14,0))</f>
        <v>6.31</v>
      </c>
      <c r="G24" s="914">
        <f>INDEX(Orka!$C$14:$J$22,MATCH(G$22,Orka!$C$14:$C$22,0),MATCH("UOS Stuðull [g CO2 íg/kwh]",Orka!$C$14:$J$14,0))</f>
        <v>6.6099999999999994</v>
      </c>
      <c r="H24" s="914">
        <f>INDEX(Orka!$C$14:$J$22,MATCH(H$22,Orka!$C$14:$C$22,0),MATCH("UOS Stuðull [g CO2 íg/kwh]",Orka!$C$14:$J$14,0))</f>
        <v>6.67</v>
      </c>
      <c r="I24" s="914">
        <f>INDEX(Orka!$C$14:$J$22,MATCH(I$22,Orka!$C$14:$C$22,0),MATCH("UOS Stuðull [g CO2 íg/kwh]",Orka!$C$14:$J$14,0))</f>
        <v>6.1499999999999995</v>
      </c>
      <c r="J24" s="914">
        <f>INDEX(Orka!$C$14:$J$22,MATCH(J$22,Orka!$C$14:$C$22,0),MATCH("UOS Stuðull [g CO2 íg/kwh]",Orka!$C$14:$J$14,0))</f>
        <v>6.45</v>
      </c>
      <c r="K24" s="914">
        <f>INDEX(Orka!$C$14:$J$22,MATCH(K$22,Orka!$C$14:$C$22,0),MATCH("UOS Stuðull [g CO2 íg/kwh]",Orka!$C$14:$J$14,0))</f>
        <v>6.28</v>
      </c>
      <c r="L24" s="914">
        <f>INDEX(Orka!$C$14:$J$22,MATCH(L$22,Orka!$C$14:$C$22,0),MATCH("UOS Stuðull [g CO2 íg/kwh]",Orka!$C$14:$J$14,0))</f>
        <v>7.9799999999999995</v>
      </c>
      <c r="M24" s="914">
        <f>INDEX(Orka!$C$14:$J$22,MATCH(M$22,Orka!$C$14:$C$22,0),MATCH("UOS Stuðull [g CO2 íg/kwh]",Orka!$C$14:$J$14,0))</f>
        <v>6.71</v>
      </c>
      <c r="O24" t="s">
        <v>328</v>
      </c>
      <c r="P24" s="24"/>
      <c r="Q24" s="24"/>
      <c r="R24" s="24"/>
      <c r="S24" s="24"/>
      <c r="T24" s="24"/>
    </row>
    <row r="25" spans="1:21" ht="15" customHeight="1" x14ac:dyDescent="0.25">
      <c r="A25" s="716" t="s">
        <v>329</v>
      </c>
      <c r="B25" s="716" t="s">
        <v>4</v>
      </c>
      <c r="C25" s="716"/>
      <c r="D25" s="716">
        <f>INDEX(Orka!$C$8:$J$12,MATCH(D$22,Orka!$C$8:$C$12,0),MATCH("Losun [tCO2 íg]",Orka!$C$8:$J$8,0))</f>
        <v>6489.12</v>
      </c>
      <c r="E25" s="716">
        <f>INDEX(Orka!$C$8:$J$12,MATCH(E$22,Orka!$C$8:$C$12,0),MATCH("Losun [tCO2 íg]",Orka!$C$8:$J$8,0))</f>
        <v>6577.5240000000003</v>
      </c>
      <c r="F25" s="716">
        <f>INDEX(Orka!$C$14:$J$22,MATCH(F$22,Orka!$C$14:$C$22,0),MATCH("Losun [tCO2 íg]",Orka!$C$14:$J$14,0))</f>
        <v>5269.9941405735781</v>
      </c>
      <c r="G25" s="716">
        <f>INDEX(Orka!$C$14:$J$22,MATCH(G$22,Orka!$C$14:$C$22,0),MATCH("Losun [tCO2 íg]",Orka!$C$14:$J$14,0))</f>
        <v>5450.5905930745503</v>
      </c>
      <c r="H25" s="716">
        <f>INDEX(Orka!$C$14:$J$22,MATCH(H$22,Orka!$C$14:$C$22,0),MATCH("Losun [tCO2 íg]",Orka!$C$14:$J$14,0))</f>
        <v>5371.0467006119588</v>
      </c>
      <c r="I25" s="716">
        <f>INDEX(Orka!$C$14:$J$22,MATCH(I$22,Orka!$C$14:$C$22,0),MATCH("Losun [tCO2 íg]",Orka!$C$14:$J$14,0))</f>
        <v>4991.7793484206677</v>
      </c>
      <c r="J25" s="716">
        <f>INDEX(Orka!$C$14:$J$22,MATCH(J$22,Orka!$C$14:$C$22,0),MATCH("Losun [tCO2 íg]",Orka!$C$14:$J$14,0))</f>
        <v>5336.5331395499998</v>
      </c>
      <c r="K25" s="716">
        <f>INDEX(Orka!$C$14:$J$22,MATCH(K$22,Orka!$C$14:$C$22,0),MATCH("Losun [tCO2 íg]",Orka!$C$14:$J$14,0))</f>
        <v>5211.077167553417</v>
      </c>
      <c r="L25" s="716">
        <f>INDEX(Orka!$C$14:$J$22,MATCH(L$22,Orka!$C$14:$C$22,0),MATCH("Losun [tCO2 íg]",Orka!$C$14:$J$14,0))</f>
        <v>6725.7388949175356</v>
      </c>
      <c r="M25" s="716">
        <f>INDEX(Orka!$C$14:$J$22,MATCH(M$22,Orka!$C$14:$C$22,0),MATCH("Losun [tCO2 íg]",Orka!$C$14:$J$14,0))</f>
        <v>5728.28418349</v>
      </c>
      <c r="P25" s="24"/>
      <c r="Q25" s="24"/>
      <c r="R25" s="24"/>
      <c r="S25" s="24"/>
      <c r="T25" s="24"/>
    </row>
    <row r="26" spans="1:21" ht="15" customHeight="1" x14ac:dyDescent="0.25">
      <c r="A26" s="716" t="s">
        <v>330</v>
      </c>
      <c r="B26" s="716" t="s">
        <v>4</v>
      </c>
      <c r="C26" s="716"/>
      <c r="D26" s="716"/>
      <c r="E26" s="716"/>
      <c r="F26" s="716">
        <f>INDEX(Orka!$C$14:$M$22,MATCH(F$22,Orka!$C$14:$C$22,0),MATCH("Losun vegna dreifitapa",Orka!$C$14:$M$14,0))</f>
        <v>193.23603162357799</v>
      </c>
      <c r="G26" s="716">
        <f>INDEX(Orka!$C$14:$M$22,MATCH(G$22,Orka!$C$14:$C$22,0),MATCH("Losun vegna dreifitapa",Orka!$C$14:$M$14,0))</f>
        <v>185.10549575455099</v>
      </c>
      <c r="H26" s="716">
        <f>INDEX(Orka!$C$14:$M$22,MATCH(H$22,Orka!$C$14:$C$22,0),MATCH("Losun vegna dreifitapa",Orka!$C$14:$M$14,0))</f>
        <v>235.80248167195856</v>
      </c>
      <c r="I26" s="716">
        <f>INDEX(Orka!$C$14:$M$22,MATCH(I$22,Orka!$C$14:$C$22,0),MATCH("Losun vegna dreifitapa",Orka!$C$14:$M$14,0))</f>
        <v>219.15168940577522</v>
      </c>
      <c r="J26" s="716">
        <f>INDEX(Orka!$C$14:$M$22,MATCH(J$22,Orka!$C$14:$C$22,0),MATCH("Losun vegna dreifitapa",Orka!$C$14:$M$14,0))</f>
        <v>234.28725224999999</v>
      </c>
      <c r="K26" s="716">
        <f>INDEX(Orka!$C$14:$M$22,MATCH(K$22,Orka!$C$14:$C$22,0),MATCH("Losun vegna dreifitapa",Orka!$C$14:$M$14,0))</f>
        <v>231.83446614214117</v>
      </c>
      <c r="L26" s="716">
        <f>INDEX(Orka!$C$14:$M$22,MATCH(L$22,Orka!$C$14:$C$22,0),MATCH("Losun vegna dreifitapa",Orka!$C$14:$M$14,0))</f>
        <v>270.99208521753707</v>
      </c>
      <c r="M26" s="716">
        <f>INDEX(Orka!$C$14:$M$22,MATCH(M$22,Orka!$C$14:$C$22,0),MATCH("Losun vegna dreifitapa",Orka!$C$14:$M$14,0))</f>
        <v>240.49272905171307</v>
      </c>
      <c r="P26" s="24"/>
      <c r="Q26" s="24"/>
      <c r="R26" s="24"/>
      <c r="S26" s="24"/>
      <c r="T26" s="24"/>
    </row>
    <row r="27" spans="1:21" ht="15" customHeight="1" x14ac:dyDescent="0.25">
      <c r="A27" s="46" t="s">
        <v>331</v>
      </c>
      <c r="B27" s="46" t="s">
        <v>332</v>
      </c>
      <c r="C27" s="46"/>
      <c r="D27" s="46">
        <f>INDEX(Orka!$C$27:$J$39,MATCH(D$22,Orka!$C$27:$C$39,0),MATCH("Vatnsvinnsla hitaveitu í RVK [GL]",Orka!$C$27:$J$27,0))</f>
        <v>69.45</v>
      </c>
      <c r="E27" s="46">
        <f>INDEX(Orka!$C$27:$J$39,MATCH(E$22,Orka!$C$27:$C$39,0),MATCH("Vatnsvinnsla hitaveitu í RVK [GL]",Orka!$C$27:$J$27,0))</f>
        <v>72.64</v>
      </c>
      <c r="F27" s="46">
        <f>INDEX(Orka!$C$27:$J$39,MATCH(F$22,Orka!$C$27:$C$39,0),MATCH("Vatnsvinnsla hitaveitu í RVK [GL]",Orka!$C$27:$J$27,0))</f>
        <v>77.52</v>
      </c>
      <c r="G27" s="46">
        <f>INDEX(Orka!$C$27:$J$39,MATCH(G$22,Orka!$C$27:$C$39,0),MATCH("Vatnsvinnsla hitaveitu í RVK [GL]",Orka!$C$27:$J$27,0))</f>
        <v>75.430000000000007</v>
      </c>
      <c r="H27" s="46">
        <f>INDEX(Orka!$C$27:$J$39,MATCH(H$22,Orka!$C$27:$C$39,0),MATCH("Vatnsvinnsla hitaveitu í RVK [GL]",Orka!$C$27:$J$27,0))</f>
        <v>82.53</v>
      </c>
      <c r="I27" s="46">
        <f>INDEX(Orka!$C$27:$J$39,MATCH(I$22,Orka!$C$27:$C$39,0),MATCH("Vatnsvinnsla hitaveitu í RVK [GL]",Orka!$C$27:$J$27,0))</f>
        <v>80.510000000000005</v>
      </c>
      <c r="J27" s="46">
        <f>INDEX(Orka!$C$27:$J$39,MATCH(J$22,Orka!$C$27:$C$39,0),MATCH("Vatnsvinnsla hitaveitu í RVK [GL]",Orka!$C$27:$J$27,0))</f>
        <v>79.819999999999993</v>
      </c>
      <c r="K27" s="46">
        <f>INDEX(Orka!$C$27:$J$39,MATCH(K$22,Orka!$C$27:$C$39,0),MATCH("Vatnsvinnsla hitaveitu í RVK [GL]",Orka!$C$27:$J$27,0))</f>
        <v>84.98</v>
      </c>
      <c r="L27" s="46">
        <f>INDEX(Orka!$C$27:$J$39,MATCH(L$22,Orka!$C$27:$C$39,0),MATCH("Vatnsvinnsla hitaveitu í RVK [GL]",Orka!$C$27:$J$27,0))</f>
        <v>92.935000000000002</v>
      </c>
      <c r="M27" s="46">
        <f>INDEX(Orka!$C$27:$J$39,MATCH(M$22,Orka!$C$27:$C$39,0),MATCH("Vatnsvinnsla hitaveitu í RVK [GL]",Orka!$C$27:$J$27,0))</f>
        <v>87.6</v>
      </c>
      <c r="P27" s="24"/>
      <c r="Q27" s="24"/>
      <c r="R27" s="24"/>
      <c r="S27" s="24"/>
      <c r="T27" s="24"/>
    </row>
    <row r="28" spans="1:21" ht="15" customHeight="1" x14ac:dyDescent="0.25">
      <c r="A28" s="46" t="s">
        <v>333</v>
      </c>
      <c r="B28" s="716"/>
      <c r="C28" s="46" t="s">
        <v>334</v>
      </c>
      <c r="D28" s="915">
        <v>0.60299999999999998</v>
      </c>
      <c r="E28" s="915">
        <v>0.60299999999999998</v>
      </c>
      <c r="F28" s="915">
        <v>0.60299999999999998</v>
      </c>
      <c r="G28" s="915">
        <v>0.60299999999999998</v>
      </c>
      <c r="H28" s="915">
        <v>0.60299999999999998</v>
      </c>
      <c r="I28" s="915">
        <v>0.60299999999999998</v>
      </c>
      <c r="J28" s="915">
        <v>0.60299999999999998</v>
      </c>
      <c r="K28" s="915">
        <v>0.60299999999999998</v>
      </c>
      <c r="L28" s="915">
        <v>0.60299999999999998</v>
      </c>
      <c r="M28" s="915">
        <v>0.60299999999999998</v>
      </c>
      <c r="P28" s="24"/>
      <c r="Q28" s="24"/>
      <c r="R28" s="24"/>
      <c r="S28" s="24"/>
      <c r="T28" s="24"/>
    </row>
    <row r="29" spans="1:21" ht="15" customHeight="1" x14ac:dyDescent="0.25">
      <c r="A29" s="46" t="s">
        <v>335</v>
      </c>
      <c r="B29" s="46" t="s">
        <v>332</v>
      </c>
      <c r="D29">
        <f>D28*D27</f>
        <v>41.878349999999998</v>
      </c>
      <c r="E29">
        <f t="shared" ref="E29:M29" si="8">E28*E27</f>
        <v>43.801919999999996</v>
      </c>
      <c r="F29">
        <f t="shared" si="8"/>
        <v>46.744559999999993</v>
      </c>
      <c r="G29">
        <f t="shared" si="8"/>
        <v>45.484290000000001</v>
      </c>
      <c r="H29">
        <f t="shared" si="8"/>
        <v>49.765589999999996</v>
      </c>
      <c r="I29">
        <f t="shared" si="8"/>
        <v>48.547530000000002</v>
      </c>
      <c r="J29">
        <f t="shared" si="8"/>
        <v>48.131459999999997</v>
      </c>
      <c r="K29">
        <f t="shared" si="8"/>
        <v>51.242939999999997</v>
      </c>
      <c r="L29">
        <f t="shared" si="8"/>
        <v>56.039805000000001</v>
      </c>
      <c r="M29">
        <f t="shared" si="8"/>
        <v>52.822799999999994</v>
      </c>
      <c r="N29" s="580"/>
      <c r="O29" s="496" t="s">
        <v>336</v>
      </c>
      <c r="P29" s="24"/>
      <c r="Q29" s="24"/>
      <c r="R29" s="24"/>
      <c r="S29" s="24"/>
      <c r="T29" s="24"/>
    </row>
    <row r="30" spans="1:21" ht="15" customHeight="1" x14ac:dyDescent="0.25">
      <c r="A30" s="46" t="s">
        <v>326</v>
      </c>
      <c r="B30" s="46" t="s">
        <v>337</v>
      </c>
      <c r="C30" s="46"/>
      <c r="D30" s="46">
        <f>INDEX(Orka!$C$27:$J$39,MATCH(D$22,Orka!$C$27:$C$39,0),MATCH("Stuðull [g CO2 íg/m3]",Orka!$C$27:$J$27,0))</f>
        <v>220.4</v>
      </c>
      <c r="E30" s="46">
        <f>INDEX(Orka!$C$27:$J$39,MATCH(E$22,Orka!$C$27:$C$39,0),MATCH("Stuðull [g CO2 íg/m3]",Orka!$C$27:$J$27,0))</f>
        <v>203</v>
      </c>
      <c r="F30" s="46">
        <f>INDEX(Orka!$C$27:$J$39,MATCH(F$22,Orka!$C$27:$C$39,0),MATCH("Stuðull [g CO2 íg/m3]",Orka!$C$27:$J$27,0))</f>
        <v>207.6</v>
      </c>
      <c r="G30" s="46">
        <f>INDEX(Orka!$C$27:$J$39,MATCH(G$22,Orka!$C$27:$C$39,0),MATCH("Stuðull [g CO2 íg/m3]",Orka!$C$27:$J$27,0))</f>
        <v>216</v>
      </c>
      <c r="H30" s="46">
        <f>INDEX(Orka!$C$27:$J$39,MATCH(H$22,Orka!$C$27:$C$39,0),MATCH("Stuðull [g CO2 íg/m3]",Orka!$C$27:$J$27,0))</f>
        <v>213.4</v>
      </c>
      <c r="I30" s="46">
        <f>INDEX(Orka!$C$27:$J$39,MATCH(I$22,Orka!$C$27:$C$39,0),MATCH("Stuðull [g CO2 íg/m3]",Orka!$C$27:$J$27,0))</f>
        <v>216.2</v>
      </c>
      <c r="J30" s="46">
        <f>INDEX(Orka!$C$27:$J$39,MATCH(J$22,Orka!$C$27:$C$39,0),MATCH("Stuðull [g CO2 íg/m3]",Orka!$C$27:$J$27,0))</f>
        <v>209.4</v>
      </c>
      <c r="K30" s="46">
        <f>INDEX(Orka!$C$27:$J$39,MATCH(K$22,Orka!$C$27:$C$39,0),MATCH("Stuðull [g CO2 íg/m3]",Orka!$C$27:$J$27,0))</f>
        <v>206.7</v>
      </c>
      <c r="L30" s="46">
        <f>INDEX(Orka!$C$27:$J$39,MATCH(L$22,Orka!$C$27:$C$39,0),MATCH("Stuðull [g CO2 íg/m3]",Orka!$C$27:$J$27,0))</f>
        <v>205.5</v>
      </c>
      <c r="M30" s="46">
        <f>INDEX(Orka!$C$27:$J$39,MATCH(M$22,Orka!$C$27:$C$39,0),MATCH("Stuðull [g CO2 íg/m3]",Orka!$C$27:$J$27,0))</f>
        <v>174.5</v>
      </c>
      <c r="P30" s="24"/>
      <c r="Q30" s="24"/>
      <c r="R30" s="24"/>
      <c r="S30" s="24"/>
      <c r="T30" s="24"/>
    </row>
    <row r="31" spans="1:21" ht="15" customHeight="1" x14ac:dyDescent="0.25">
      <c r="A31" s="716" t="s">
        <v>338</v>
      </c>
      <c r="B31" s="716" t="s">
        <v>4</v>
      </c>
      <c r="C31" s="716"/>
      <c r="D31" s="716">
        <f>INDEX(Orka!$C$27:$J$39,MATCH(D$22,Orka!$C$27:$C$39,0),MATCH("Losun [tCO2 íg]",Orka!$C$27:$J$27,0))*D28</f>
        <v>9229.9883399999999</v>
      </c>
      <c r="E31" s="716">
        <f>INDEX(Orka!$C$27:$J$39,MATCH(E$22,Orka!$C$27:$C$39,0),MATCH("Losun [tCO2 íg]",Orka!$C$27:$J$27,0))*E28</f>
        <v>8891.7897599999997</v>
      </c>
      <c r="F31" s="716">
        <f>INDEX(Orka!$C$27:$J$39,MATCH(F$22,Orka!$C$27:$C$39,0),MATCH("Losun [tCO2 íg]",Orka!$C$27:$J$27,0))*F28</f>
        <v>9704.1706560000002</v>
      </c>
      <c r="G31" s="716">
        <f>INDEX(Orka!$C$27:$J$39,MATCH(G$22,Orka!$C$27:$C$39,0),MATCH("Losun [tCO2 íg]",Orka!$C$27:$J$27,0))*G28</f>
        <v>9824.6066400000018</v>
      </c>
      <c r="H31" s="716">
        <f>INDEX(Orka!$C$27:$J$39,MATCH(H$22,Orka!$C$27:$C$39,0),MATCH("Losun [tCO2 íg]",Orka!$C$27:$J$27,0))*H28</f>
        <v>10619.976906</v>
      </c>
      <c r="I31" s="716">
        <f>INDEX(Orka!$C$27:$J$39,MATCH(I$22,Orka!$C$27:$C$39,0),MATCH("Losun [tCO2 íg]",Orka!$C$27:$J$27,0))*I28</f>
        <v>10495.975985999999</v>
      </c>
      <c r="J31" s="716">
        <f>INDEX(Orka!$C$27:$J$39,MATCH(J$22,Orka!$C$27:$C$39,0),MATCH("Losun [tCO2 íg]",Orka!$C$27:$J$27,0))*J28</f>
        <v>10078.727723999998</v>
      </c>
      <c r="K31" s="716">
        <f>INDEX(Orka!$C$27:$J$39,MATCH(K$22,Orka!$C$27:$C$39,0),MATCH("Losun [tCO2 íg]",Orka!$C$27:$J$27,0))*K28</f>
        <v>10591.915697999999</v>
      </c>
      <c r="L31" s="716">
        <f>INDEX(Orka!$C$27:$J$39,MATCH(L$22,Orka!$C$27:$C$39,0),MATCH("Losun [tCO2 íg]",Orka!$C$27:$J$27,0))*L28</f>
        <v>11516.179927500001</v>
      </c>
      <c r="M31" s="716">
        <f>INDEX(Orka!$C$27:$J$39,MATCH(M$22,Orka!$C$27:$C$39,0),MATCH("Losun [tCO2 íg]",Orka!$C$27:$J$27,0))*M28</f>
        <v>9217.5785999999989</v>
      </c>
      <c r="N31" s="580"/>
      <c r="P31" s="24"/>
      <c r="Q31" s="24"/>
      <c r="R31" s="24"/>
      <c r="S31" s="24"/>
      <c r="T31" s="24"/>
    </row>
    <row r="32" spans="1:21" ht="15" customHeight="1" x14ac:dyDescent="0.25">
      <c r="A32" s="46"/>
      <c r="B32" s="46"/>
      <c r="C32" s="46"/>
      <c r="D32" s="46">
        <f>D30*D29</f>
        <v>9229.9883399999999</v>
      </c>
      <c r="E32" s="46">
        <f t="shared" ref="E32:M32" si="9">E30*E29</f>
        <v>8891.7897599999997</v>
      </c>
      <c r="F32" s="46">
        <f t="shared" si="9"/>
        <v>9704.1706559999984</v>
      </c>
      <c r="G32" s="46">
        <f t="shared" si="9"/>
        <v>9824.60664</v>
      </c>
      <c r="H32" s="46">
        <f t="shared" si="9"/>
        <v>10619.976906</v>
      </c>
      <c r="I32" s="46">
        <f t="shared" si="9"/>
        <v>10495.975985999999</v>
      </c>
      <c r="J32" s="46">
        <f t="shared" si="9"/>
        <v>10078.727724</v>
      </c>
      <c r="K32" s="46">
        <f t="shared" si="9"/>
        <v>10591.915697999999</v>
      </c>
      <c r="L32" s="46">
        <f t="shared" si="9"/>
        <v>11516.179927499999</v>
      </c>
      <c r="M32" s="46">
        <f t="shared" si="9"/>
        <v>9217.5785999999989</v>
      </c>
      <c r="P32" s="24"/>
      <c r="Q32" s="24"/>
      <c r="R32" s="24"/>
      <c r="S32" s="24"/>
      <c r="T32" s="24"/>
    </row>
    <row r="33" spans="1:21" ht="24.75" customHeight="1" x14ac:dyDescent="0.25">
      <c r="A33" s="708" t="s">
        <v>256</v>
      </c>
      <c r="B33" s="708"/>
      <c r="C33" s="708">
        <v>2015</v>
      </c>
      <c r="D33" s="708">
        <v>2016</v>
      </c>
      <c r="E33" s="708">
        <v>2017</v>
      </c>
      <c r="F33" s="708">
        <v>2018</v>
      </c>
      <c r="G33" s="708">
        <v>2019</v>
      </c>
      <c r="H33" s="708">
        <v>2020</v>
      </c>
      <c r="I33" s="708">
        <v>2021</v>
      </c>
      <c r="J33" s="708">
        <v>2022</v>
      </c>
      <c r="K33" s="708">
        <v>2023</v>
      </c>
      <c r="L33" s="708">
        <v>2024</v>
      </c>
      <c r="M33" s="708">
        <v>2025</v>
      </c>
    </row>
    <row r="34" spans="1:21" ht="15" customHeight="1" x14ac:dyDescent="0.25">
      <c r="A34" s="46" t="s">
        <v>339</v>
      </c>
      <c r="B34" s="46" t="s">
        <v>340</v>
      </c>
      <c r="C34" s="46">
        <f>_xlfn.XLOOKUP(Reykjavík!C33,Götuumferð!$S$18:$S$29,Götuumferð!$AF$18:$AF$29,0,0,1)</f>
        <v>922.86404358873665</v>
      </c>
      <c r="D34" s="46">
        <f>_xlfn.XLOOKUP(Reykjavík!D33,Götuumferð!$S$18:$S$29,Götuumferð!$AF$18:$AF$29,0,0,1)</f>
        <v>989.35440532397354</v>
      </c>
      <c r="E34" s="46">
        <f>_xlfn.XLOOKUP(Reykjavík!E33,Götuumferð!$S$18:$S$29,Götuumferð!$AF$18:$AF$29,0,0,1)</f>
        <v>1068.5297575278464</v>
      </c>
      <c r="F34" s="46">
        <f>_xlfn.XLOOKUP(Reykjavík!F33,Götuumferð!$S$18:$S$29,Götuumferð!$AF$18:$AF$29,0,0,1)</f>
        <v>1098.4939914592933</v>
      </c>
      <c r="G34" s="46">
        <f>_xlfn.XLOOKUP(Reykjavík!G33,Götuumferð!$S$18:$S$29,Götuumferð!$AF$18:$AF$29,0,0,1)</f>
        <v>1110.6731317499998</v>
      </c>
      <c r="H34" s="46">
        <f>_xlfn.XLOOKUP(Reykjavík!H33,Götuumferð!$S$18:$S$29,Götuumferð!$AF$18:$AF$29,0,0,1)</f>
        <v>987.07449233537261</v>
      </c>
      <c r="I34" s="46">
        <f>_xlfn.XLOOKUP(Reykjavík!I33,Götuumferð!$S$18:$S$29,Götuumferð!$AF$18:$AF$29,0,0,1)</f>
        <v>1075.3646293622842</v>
      </c>
      <c r="J34" s="46">
        <f>_xlfn.XLOOKUP(Reykjavík!J33,Götuumferð!$S$18:$S$29,Götuumferð!$AF$18:$AF$29,0,0,1)</f>
        <v>1083.755307454747</v>
      </c>
      <c r="K34" s="46">
        <f>_xlfn.XLOOKUP(Reykjavík!K33,Götuumferð!$S$18:$S$29,Götuumferð!$AF$18:$AF$29,0,0,1)</f>
        <v>1137.840123935149</v>
      </c>
      <c r="L34" s="46">
        <f>_xlfn.XLOOKUP(Reykjavík!L33,Götuumferð!$S$18:$S$64,Götuumferð!$AF$18:$AF$64,0,0,1)</f>
        <v>1158.6417479033025</v>
      </c>
      <c r="M34" s="46">
        <f>_xlfn.XLOOKUP(Reykjavík!M33,Götuumferð!$S$18:$S$64,Götuumferð!$AF$18:$AF$64,0,0,1)</f>
        <v>1155.0236798343487</v>
      </c>
      <c r="N34" s="580">
        <f>K34/J34</f>
        <v>1.0499050072542877</v>
      </c>
      <c r="O34" t="s">
        <v>341</v>
      </c>
      <c r="Q34" s="24"/>
      <c r="R34" s="919" t="s">
        <v>342</v>
      </c>
      <c r="S34" s="24"/>
      <c r="T34" s="24"/>
      <c r="U34" s="24"/>
    </row>
    <row r="35" spans="1:21" ht="15" customHeight="1" x14ac:dyDescent="0.25">
      <c r="A35" s="716" t="s">
        <v>343</v>
      </c>
      <c r="B35" s="716" t="s">
        <v>4</v>
      </c>
      <c r="C35" s="716"/>
      <c r="D35" s="716">
        <f t="shared" ref="D35:L35" si="10">SUM(D36:D38)</f>
        <v>275088.97737766476</v>
      </c>
      <c r="E35" s="716">
        <f t="shared" si="10"/>
        <v>297103.6028284381</v>
      </c>
      <c r="F35" s="716">
        <f t="shared" si="10"/>
        <v>305435.12733143719</v>
      </c>
      <c r="G35" s="716">
        <f t="shared" si="10"/>
        <v>315453.94589657709</v>
      </c>
      <c r="H35" s="716">
        <f t="shared" si="10"/>
        <v>277197.37191233994</v>
      </c>
      <c r="I35" s="716">
        <f t="shared" si="10"/>
        <v>299193.28086075408</v>
      </c>
      <c r="J35" s="716">
        <f t="shared" si="10"/>
        <v>262145.19157468458</v>
      </c>
      <c r="K35" s="716">
        <f t="shared" si="10"/>
        <v>282125.59829145751</v>
      </c>
      <c r="L35" s="716">
        <f t="shared" si="10"/>
        <v>275111.76781046018</v>
      </c>
      <c r="M35" s="716">
        <f>SUM(M36:M38)</f>
        <v>267348.79204361769</v>
      </c>
      <c r="N35" s="717">
        <f>0.2*K35</f>
        <v>56425.119658291507</v>
      </c>
      <c r="O35" s="627" t="s">
        <v>344</v>
      </c>
      <c r="U35" s="24"/>
    </row>
    <row r="36" spans="1:21" ht="15" customHeight="1" x14ac:dyDescent="0.25">
      <c r="A36" s="46" t="s">
        <v>285</v>
      </c>
      <c r="B36" s="46" t="s">
        <v>4</v>
      </c>
      <c r="C36" s="46"/>
      <c r="D36" s="46">
        <f>INDEX(Götuumferð!$OQ$11:$OT$24,MATCH($A36,Götuumferð!$OQ$11:$OQ$24,0),MATCH($R$34,Götuumferð!$OQ$11:$OT$11,0))</f>
        <v>190906.58767379029</v>
      </c>
      <c r="E36" s="46">
        <f>INDEX(Götuumferð!$OL$11:$OO$24,MATCH($A36,Götuumferð!$OL$11:$OL$24,0),MATCH($R$34,Götuumferð!$OL$11:$OO$11,0))</f>
        <v>206184.32458563262</v>
      </c>
      <c r="F36" s="46">
        <f>INDEX(Götuumferð!$OG$11:$OJ$24,MATCH($A36,Götuumferð!$OG$11:$OG$24,0),MATCH($R$34,Götuumferð!$OG$11:$OJ$11,0))</f>
        <v>211966.24623204052</v>
      </c>
      <c r="G36" s="46">
        <f>INDEX(Götuumferð!$MQ$11:$MT$24,MATCH($A36,Götuumferð!$MQ$11:$MQ$24,0),MATCH($R$34,Götuumferð!$MQ$11:$MT$11,0))</f>
        <v>219170.78903907636</v>
      </c>
      <c r="H36" s="46">
        <f>INDEX(Götuumferð!$LA$11:$LD$24,MATCH($A36,Götuumferð!$LA$11:$LA$24,0),MATCH($R$34,Götuumferð!$LA$11:$LD$11,0))</f>
        <v>193663.40007202598</v>
      </c>
      <c r="I36" s="46">
        <f>INDEX(Götuumferð!$JJ$11:$JM$24,MATCH($A36,Götuumferð!$JJ$11:$JJ$24,0),MATCH($R$34,Götuumferð!$JJ$11:$JM$11,0))</f>
        <v>202765.45022866575</v>
      </c>
      <c r="J36" s="46">
        <f>INDEX(Götuumferð!$HT$65:$HU$79,MATCH($A36,Götuumferð!$HT$65:$HT$79,0),MATCH($R$34,Götuumferð!$HT$65:$HU$65,0))</f>
        <v>174864.49908137057</v>
      </c>
      <c r="K36" s="46">
        <f>INDEX(Götuumferð!$FY$67:$GB$80,MATCH($A36,Götuumferð!$FY$67:$FY$80,0),MATCH($R$34,Götuumferð!$FY$67:$GB$67,0))</f>
        <v>188905.90072786019</v>
      </c>
      <c r="L36" s="46">
        <f>INDEX(Götuumferð!$EA$46:$ED$59,MATCH($A36,Götuumferð!$EA$46:$EA$59,0),MATCH($R$34,Götuumferð!$EA$46:$ED$46,0))</f>
        <v>178623.4057922067</v>
      </c>
      <c r="M36" s="46">
        <f>INDEX(Götuumferð!$CC$46:$CF$59,MATCH($A36,Götuumferð!$CC$46:$CC$59,0),MATCH($R$34,Götuumferð!$CC$46:$CF$46,0))</f>
        <v>168292.77399932733</v>
      </c>
      <c r="O36" t="s">
        <v>345</v>
      </c>
      <c r="U36" s="24"/>
    </row>
    <row r="37" spans="1:21" ht="15" customHeight="1" x14ac:dyDescent="0.25">
      <c r="A37" s="46" t="s">
        <v>346</v>
      </c>
      <c r="B37" s="46" t="s">
        <v>4</v>
      </c>
      <c r="C37" s="46"/>
      <c r="D37" s="46">
        <f>INDEX(Götuumferð!$OQ$11:$OT$24,MATCH($A37,Götuumferð!$OQ$11:$OQ$24,0),MATCH($R$34,Götuumferð!$OQ$11:$OT$11,0))</f>
        <v>14239.58374032641</v>
      </c>
      <c r="E37" s="46">
        <f>INDEX(Götuumferð!$OL$11:$OO$24,MATCH($A37,Götuumferð!$OL$11:$OL$24,0),MATCH($R$34,Götuumferð!$OL$11:$OO$11,0))</f>
        <v>15379.139042056431</v>
      </c>
      <c r="F37" s="46">
        <f>INDEX(Götuumferð!$OG$11:$OJ$24,MATCH($A37,Götuumferð!$OG$11:$OG$24,0),MATCH($R$34,Götuumferð!$OG$11:$OJ$11,0))</f>
        <v>15810.408378894168</v>
      </c>
      <c r="G37" s="46">
        <f>INDEX(Götuumferð!$MQ$11:$MT$24,MATCH($A37,Götuumferð!$MQ$11:$MQ$24,0),MATCH($R$34,Götuumferð!$MQ$11:$MT$11,0))</f>
        <v>16084.187993359437</v>
      </c>
      <c r="H37" s="46">
        <f>INDEX(Götuumferð!$LA$11:$LD$24,MATCH($A37,Götuumferð!$LA$11:$LA$24,0),MATCH($R$34,Götuumferð!$LA$11:$LD$11,0))</f>
        <v>12467.432570562598</v>
      </c>
      <c r="I37" s="46">
        <f>INDEX(Götuumferð!$JJ$11:$JM$24,MATCH($A37,Götuumferð!$JJ$11:$JJ$24,0),MATCH($R$34,Götuumferð!$JJ$11:$JM$11,0))</f>
        <v>10766.747558784729</v>
      </c>
      <c r="J37" s="46">
        <f>INDEX(Götuumferð!$HT$65:$HU$79,MATCH($A37,Götuumferð!$HT$65:$HT$79,0),MATCH($R$34,Götuumferð!$HT$65:$HU$65,0))</f>
        <v>14312.838005175754</v>
      </c>
      <c r="K37" s="46">
        <f>INDEX(Götuumferð!$FY$67:$GB$80,MATCH($A37,Götuumferð!$FY$67:$FY$80,0),MATCH($R$34,Götuumferð!$FY$67:$GB$67,0))</f>
        <v>20658.314550446357</v>
      </c>
      <c r="L37" s="46">
        <f>INDEX(Götuumferð!$EA$46:$ED$59,MATCH($A37,Götuumferð!$EA$46:$EA$59,0),MATCH($R$34,Götuumferð!$EA$46:$ED$46,0))</f>
        <v>20577.222585386964</v>
      </c>
      <c r="M37" s="46">
        <f>INDEX(Götuumferð!$CC$46:$CF$59,MATCH($A37,Götuumferð!$CC$46:$CC$59,0),MATCH($R$34,Götuumferð!$CC$46:$CF$46,0))</f>
        <v>20641.09091548514</v>
      </c>
      <c r="O37" t="s">
        <v>347</v>
      </c>
      <c r="U37" s="24"/>
    </row>
    <row r="38" spans="1:21" ht="15" customHeight="1" x14ac:dyDescent="0.25">
      <c r="A38" s="46" t="s">
        <v>288</v>
      </c>
      <c r="B38" s="46" t="s">
        <v>4</v>
      </c>
      <c r="C38" s="46"/>
      <c r="D38" s="46">
        <f>INDEX(Götuumferð!$OQ$11:$OT$24,MATCH($A38,Götuumferð!$OQ$11:$OQ$24,0),MATCH($R$34,Götuumferð!$OQ$11:$OT$11,0))</f>
        <v>69942.805963548089</v>
      </c>
      <c r="E38" s="46">
        <f>INDEX(Götuumferð!$OL$11:$OO$24,MATCH($A38,Götuumferð!$OL$11:$OL$24,0),MATCH($R$34,Götuumferð!$OL$11:$OO$11,0))</f>
        <v>75540.13920074905</v>
      </c>
      <c r="F38" s="46">
        <f>INDEX(Götuumferð!$OG$11:$OJ$24,MATCH($A38,Götuumferð!$OG$11:$OG$24,0),MATCH($R$34,Götuumferð!$OG$11:$OJ$11,0))</f>
        <v>77658.472720502526</v>
      </c>
      <c r="G38" s="46">
        <f>INDEX(Götuumferð!$MQ$11:$MT$24,MATCH($A38,Götuumferð!$MQ$11:$MQ$24,0),MATCH($R$34,Götuumferð!$MQ$11:$MT$11,0))</f>
        <v>80198.968864141279</v>
      </c>
      <c r="H38" s="46">
        <f>INDEX(Götuumferð!$LA$11:$LD$24,MATCH($A38,Götuumferð!$LA$11:$LA$24,0),MATCH($R$34,Götuumferð!$LA$11:$LD$11,0))</f>
        <v>71066.539269751345</v>
      </c>
      <c r="I38" s="46">
        <f>INDEX(Götuumferð!$JJ$11:$JM$24,MATCH($A38,Götuumferð!$JJ$11:$JJ$24,0),MATCH($R$34,Götuumferð!$JJ$11:$JM$11,0))</f>
        <v>85661.083073303598</v>
      </c>
      <c r="J38" s="46">
        <f>INDEX(Götuumferð!$HT$65:$HU$79,MATCH($A38,Götuumferð!$HT$65:$HT$79,0),MATCH($R$34,Götuumferð!$HT$65:$HU$65,0))</f>
        <v>72967.854488138226</v>
      </c>
      <c r="K38" s="46">
        <f>INDEX(Götuumferð!$FY$67:$GB$80,MATCH($A38,Götuumferð!$FY$67:$FY$80,0),MATCH($R$34,Götuumferð!$FY$67:$GB$67,0))</f>
        <v>72561.38301315096</v>
      </c>
      <c r="L38" s="46">
        <f>INDEX(Götuumferð!$EA$46:$ED$59,MATCH($A38,Götuumferð!$EA$46:$EA$59,0),MATCH($R$34,Götuumferð!$EA$46:$ED$46,0))</f>
        <v>75911.139432866505</v>
      </c>
      <c r="M38" s="46">
        <f>INDEX(Götuumferð!$CC$46:$CF$59,MATCH($A38,Götuumferð!$CC$46:$CC$59,0),MATCH($R$34,Götuumferð!$CC$46:$CF$46,0))</f>
        <v>78414.927128805197</v>
      </c>
      <c r="U38" s="24"/>
    </row>
    <row r="39" spans="1:21" ht="15" customHeight="1" x14ac:dyDescent="0.25">
      <c r="A39" s="46" t="s">
        <v>348</v>
      </c>
      <c r="B39" s="46"/>
      <c r="C39" s="46" t="e">
        <f>HLOOKUP(Skip!$AL$8,Skip!$AF$8:$AL$73,MATCH(C$33,Skip!$B$8:$B$73,0),FALSE)</f>
        <v>#N/A</v>
      </c>
      <c r="D39" s="46">
        <f>_xlfn.XLOOKUP(D$33,Skip!$B$8:$B$173,Skip!$AL$8:$AL$173,0,0,1)</f>
        <v>6943</v>
      </c>
      <c r="E39" s="46">
        <f>_xlfn.XLOOKUP(E$33,Skip!$B$8:$B$173,Skip!$AL$8:$AL$173,0,0,1)</f>
        <v>6621</v>
      </c>
      <c r="F39" s="46">
        <f>_xlfn.XLOOKUP(F$33,Skip!$B$8:$B$173,Skip!$AL$8:$AL$173,0,0,1)</f>
        <v>5815</v>
      </c>
      <c r="G39" s="46">
        <f>_xlfn.XLOOKUP(G$33,Skip!$B$8:$B$173,Skip!$AL$8:$AL$173,0,0,1)</f>
        <v>6765</v>
      </c>
      <c r="H39" s="46">
        <f>_xlfn.XLOOKUP(H$33,Skip!$B$8:$B$173,Skip!$AL$8:$AL$173,0,0,1)</f>
        <v>2653</v>
      </c>
      <c r="I39" s="46">
        <f>_xlfn.XLOOKUP(I$33,Skip!$B$8:$B$173,Skip!$AL$8:$AL$173,0,0,1)</f>
        <v>3476</v>
      </c>
      <c r="J39" s="46">
        <f>_xlfn.XLOOKUP(J$33,Skip!$B$8:$B$173,Skip!$AL$8:$AL$173,0,0,1)</f>
        <v>5171</v>
      </c>
      <c r="K39" s="46">
        <f>_xlfn.XLOOKUP(K$33,Skip!$B$8:$B$173,Skip!$AL$8:$AL$173,0,0,1)</f>
        <v>5695</v>
      </c>
      <c r="L39" s="46">
        <f>_xlfn.XLOOKUP(L$33,Skip!$B$8:$B$173,Skip!$AL$8:$AL$173,0,0,1)</f>
        <v>5823</v>
      </c>
      <c r="M39" s="46">
        <f>_xlfn.XLOOKUP(M$33,Skip!$B$8:$B$173,Skip!$AL$8:$AL$173,0,0,1)</f>
        <v>5664</v>
      </c>
      <c r="O39" t="s">
        <v>349</v>
      </c>
      <c r="P39" s="23"/>
      <c r="Q39" s="23"/>
      <c r="R39" s="23"/>
      <c r="S39" s="23"/>
      <c r="T39" s="23"/>
      <c r="U39" s="24"/>
    </row>
    <row r="40" spans="1:21" ht="15" customHeight="1" x14ac:dyDescent="0.25">
      <c r="A40" s="716" t="s">
        <v>350</v>
      </c>
      <c r="B40" s="716" t="s">
        <v>4</v>
      </c>
      <c r="C40" s="716" t="e">
        <f>HLOOKUP(Skip!$AJ$8,Skip!$AF$8:$AL$73,MATCH(C$33,Skip!$B$8:$B$73,0),FALSE)</f>
        <v>#N/A</v>
      </c>
      <c r="D40" s="716" cm="1">
        <f t="array" ref="D40">_xlfn.XLOOKUP(D$33,Skip!$AG$166:'Skip'!$AG$177,Skip!$AJ$166:'Skip'!$AJ$177)</f>
        <v>30820</v>
      </c>
      <c r="E40" s="716" cm="1">
        <f t="array" ref="E40">_xlfn.XLOOKUP(E$33,Skip!$AG$166:'Skip'!$AG$177,Skip!$AJ$166:'Skip'!$AJ$177)</f>
        <v>34710</v>
      </c>
      <c r="F40" s="716" cm="1">
        <f t="array" ref="F40">_xlfn.XLOOKUP(F$33,Skip!$AG$166:'Skip'!$AG$177,Skip!$AJ$166:'Skip'!$AJ$177)</f>
        <v>40260</v>
      </c>
      <c r="G40" s="716" cm="1">
        <f t="array" ref="G40">_xlfn.XLOOKUP(G$33,Skip!$AG$166:'Skip'!$AG$177,Skip!$AJ$166:'Skip'!$AJ$177)</f>
        <v>47600</v>
      </c>
      <c r="H40" s="716" cm="1">
        <f t="array" ref="H40">_xlfn.XLOOKUP(H$33,Skip!$AG$166:'Skip'!$AG$177,Skip!$AJ$166:'Skip'!$AJ$177)</f>
        <v>35240</v>
      </c>
      <c r="I40" s="716" cm="1">
        <f t="array" ref="I40">_xlfn.XLOOKUP(I$33,Skip!$AG$166:'Skip'!$AG$177,Skip!$AJ$166:'Skip'!$AJ$177)</f>
        <v>29930</v>
      </c>
      <c r="J40" s="716" cm="1">
        <f t="array" ref="J40">_xlfn.XLOOKUP(J$33,Skip!$AG$166:'Skip'!$AG$177,Skip!$AJ$166:'Skip'!$AJ$177)</f>
        <v>44420</v>
      </c>
      <c r="K40" s="716" cm="1">
        <f t="array" ref="K40">_xlfn.XLOOKUP(K$33,Skip!$AG$166:'Skip'!$AG$177,Skip!$AJ$166:'Skip'!$AJ$177)</f>
        <v>52390</v>
      </c>
      <c r="L40" s="716" cm="1">
        <f t="array" ref="L40">_xlfn.XLOOKUP(L$33,Skip!$AG$166:'Skip'!$AG$177,Skip!$AJ$166:'Skip'!$AJ$177)</f>
        <v>53090</v>
      </c>
      <c r="M40" s="716" cm="1">
        <f t="array" ref="M40">_xlfn.XLOOKUP(M$33,Skip!$AG$166:'Skip'!$AG$177,Skip!$AJ$166:'Skip'!$AJ$177)</f>
        <v>48360</v>
      </c>
      <c r="Q40" s="24"/>
      <c r="R40" s="24"/>
      <c r="S40" s="24"/>
      <c r="T40" s="24"/>
      <c r="U40" s="24"/>
    </row>
    <row r="41" spans="1:21" ht="15" customHeight="1" x14ac:dyDescent="0.25">
      <c r="A41" s="46" t="s">
        <v>351</v>
      </c>
      <c r="B41" s="46" t="s">
        <v>4</v>
      </c>
      <c r="C41" s="46"/>
      <c r="D41" s="716" cm="1">
        <f t="array" ref="D41">_xlfn.XLOOKUP(D$33,Skip!$AG$166:'Skip'!$AG$177,Skip!$AH$166:'Skip'!$AH$177)</f>
        <v>37920</v>
      </c>
      <c r="E41" s="716" cm="1">
        <f t="array" ref="E41">_xlfn.XLOOKUP(E$33,Skip!$AG$166:'Skip'!$AG$177,Skip!$AH$166:'Skip'!$AH$177)</f>
        <v>42600</v>
      </c>
      <c r="F41" s="716" cm="1">
        <f t="array" ref="F41">_xlfn.XLOOKUP(F$33,Skip!$AG$166:'Skip'!$AG$177,Skip!$AH$166:'Skip'!$AH$177)</f>
        <v>49460</v>
      </c>
      <c r="G41" s="716" cm="1">
        <f t="array" ref="G41">_xlfn.XLOOKUP(G$33,Skip!$AG$166:'Skip'!$AG$177,Skip!$AH$166:'Skip'!$AH$177)</f>
        <v>58440</v>
      </c>
      <c r="H41" s="716" cm="1">
        <f t="array" ref="H41">_xlfn.XLOOKUP(H$33,Skip!$AG$166:'Skip'!$AG$177,Skip!$AH$166:'Skip'!$AH$177)</f>
        <v>43590</v>
      </c>
      <c r="I41" s="716" cm="1">
        <f t="array" ref="I41">_xlfn.XLOOKUP(I$33,Skip!$AG$166:'Skip'!$AG$177,Skip!$AH$166:'Skip'!$AH$177)</f>
        <v>36810</v>
      </c>
      <c r="J41" s="716" cm="1">
        <f t="array" ref="J41">_xlfn.XLOOKUP(J$33,Skip!$AG$166:'Skip'!$AG$177,Skip!$AH$166:'Skip'!$AH$177)</f>
        <v>54290</v>
      </c>
      <c r="K41" s="716" cm="1">
        <f t="array" ref="K41">_xlfn.XLOOKUP(K$33,Skip!$AG$166:'Skip'!$AG$177,Skip!$AH$166:'Skip'!$AH$177)</f>
        <v>63990</v>
      </c>
      <c r="L41" s="716" cm="1">
        <f t="array" ref="L41">_xlfn.XLOOKUP(L$33,Skip!$AG$166:'Skip'!$AG$177,Skip!$AH$166:'Skip'!$AH$177)</f>
        <v>64890</v>
      </c>
      <c r="M41" s="716" cm="1">
        <f t="array" ref="M41">_xlfn.XLOOKUP(M$33,Skip!$AG$166:'Skip'!$AG$177,Skip!$AH$166:'Skip'!$AH$177)</f>
        <v>59050</v>
      </c>
      <c r="O41" s="488">
        <f>K41-K40</f>
        <v>11600</v>
      </c>
      <c r="Q41" s="24"/>
      <c r="R41" s="24"/>
      <c r="S41" s="24"/>
      <c r="T41" s="24"/>
      <c r="U41" s="24"/>
    </row>
    <row r="42" spans="1:21" ht="15" customHeight="1" x14ac:dyDescent="0.25">
      <c r="A42" s="46" t="s">
        <v>352</v>
      </c>
      <c r="B42" s="46"/>
      <c r="C42" s="46"/>
      <c r="D42" s="46">
        <f>HLOOKUP(Flug!$AY$9,Flug!$AW$9:$BA$105,MATCH(D$33,Flug!$AX$9:$AX$105,0),FALSE)</f>
        <v>63732</v>
      </c>
      <c r="E42" s="46">
        <f>HLOOKUP(Flug!$AY$9,Flug!$AW$9:$BA$105,MATCH(E$33,Flug!$AX$9:$AX$105,0),FALSE)</f>
        <v>64656</v>
      </c>
      <c r="F42" s="46">
        <f>HLOOKUP(Flug!$AY$9,Flug!$AW$9:$BA$105,MATCH(F$33,Flug!$AX$9:$AX$105,0),FALSE)</f>
        <v>64190</v>
      </c>
      <c r="G42" s="46">
        <f>HLOOKUP(Flug!$AY$9,Flug!$AW$9:$BA$105,MATCH(G$33,Flug!$AX$9:$AX$105,0),FALSE)</f>
        <v>59689</v>
      </c>
      <c r="H42" s="46">
        <f>HLOOKUP(Flug!$AY$9,Flug!$AW$9:$BA$105,MATCH(H$33,Flug!$AX$9:$AX$105,0),FALSE)</f>
        <v>40561</v>
      </c>
      <c r="I42" s="46">
        <f>HLOOKUP(Flug!$AY$9,Flug!$AW$9:$BA$105,MATCH(I$33,Flug!$AX$9:$AX$105,0),FALSE)</f>
        <v>49012</v>
      </c>
      <c r="J42" s="46">
        <f>HLOOKUP(Flug!$AY$9,Flug!$AW$9:$BA$105,MATCH(J$33,Flug!$AX$9:$AX$105,0),FALSE)</f>
        <v>42772</v>
      </c>
      <c r="K42" s="46">
        <f>Flug!AY98</f>
        <v>44569</v>
      </c>
      <c r="L42" s="46">
        <f>Flug!AY109</f>
        <v>41537</v>
      </c>
      <c r="M42" s="46">
        <f>Flug!AY120</f>
        <v>36062</v>
      </c>
      <c r="O42" s="497" t="s">
        <v>353</v>
      </c>
      <c r="Q42" s="24"/>
      <c r="R42" s="24"/>
      <c r="S42" s="24"/>
      <c r="T42" s="24"/>
      <c r="U42" s="24"/>
    </row>
    <row r="43" spans="1:21" ht="15" customHeight="1" x14ac:dyDescent="0.25">
      <c r="A43" s="716" t="s">
        <v>354</v>
      </c>
      <c r="B43" s="716" t="s">
        <v>4</v>
      </c>
      <c r="C43" s="716"/>
      <c r="D43" s="716">
        <f>HLOOKUP(Flug!$BA$9,Flug!$AW$9:$BA$105,MATCH(D$33,Flug!$AX$9:$AX$105,0),FALSE)</f>
        <v>5400.7160188601574</v>
      </c>
      <c r="E43" s="716">
        <f>HLOOKUP(Flug!$BA$9,Flug!$AW$9:$BA$105,MATCH(E$33,Flug!$AX$9:$AX$105,0),FALSE)</f>
        <v>4792.3453956006551</v>
      </c>
      <c r="F43" s="716">
        <f>HLOOKUP(Flug!$BA$9,Flug!$AW$9:$BA$105,MATCH(F$33,Flug!$AX$9:$AX$105,0),FALSE)</f>
        <v>7325.3866733465939</v>
      </c>
      <c r="G43" s="716">
        <f>HLOOKUP(Flug!$BA$9,Flug!$AW$9:$BA$105,MATCH(G$33,Flug!$AX$9:$AX$105,0),FALSE)</f>
        <v>6937.1982702861123</v>
      </c>
      <c r="H43" s="716">
        <f>HLOOKUP(Flug!$BA$9,Flug!$AW$9:$BA$105,MATCH(H$33,Flug!$AX$9:$AX$105,0),FALSE)</f>
        <v>4542.5582514083553</v>
      </c>
      <c r="I43" s="716">
        <f>HLOOKUP(Flug!$BA$9,Flug!$AW$9:$BA$105,MATCH(I$33,Flug!$AX$9:$AX$105,0),FALSE)</f>
        <v>6698.8813711630573</v>
      </c>
      <c r="J43" s="716">
        <f>HLOOKUP(Flug!$BA$9,Flug!$AW$9:$BA$105,MATCH(J$33,Flug!$AX$9:$AX$105,0),FALSE)</f>
        <v>5939.1766057704244</v>
      </c>
      <c r="K43" s="716">
        <f>Flug!BA98</f>
        <v>6401.2505411855846</v>
      </c>
      <c r="L43" s="716">
        <f>Flug!BA109</f>
        <v>6339.5653991310719</v>
      </c>
      <c r="M43" s="716">
        <f>Flug!BA120</f>
        <v>4239.9557036902197</v>
      </c>
      <c r="Q43" s="24"/>
      <c r="R43" s="24"/>
      <c r="S43" s="24"/>
      <c r="T43" s="24"/>
      <c r="U43" s="24"/>
    </row>
    <row r="44" spans="1:21" ht="13.5" customHeight="1" x14ac:dyDescent="0.25">
      <c r="A44" s="1"/>
      <c r="B44" s="1"/>
      <c r="C44" s="1"/>
      <c r="D44" s="1"/>
      <c r="E44" s="1"/>
      <c r="F44" s="1"/>
      <c r="G44" s="1"/>
      <c r="H44" s="1"/>
      <c r="I44" s="1"/>
      <c r="J44" s="1"/>
      <c r="K44" s="1"/>
      <c r="L44" s="1"/>
      <c r="M44" s="1"/>
    </row>
    <row r="45" spans="1:21" ht="24.75" customHeight="1" x14ac:dyDescent="0.25">
      <c r="A45" s="710" t="s">
        <v>355</v>
      </c>
      <c r="B45" s="710" t="s">
        <v>2</v>
      </c>
      <c r="C45" s="710">
        <v>2015</v>
      </c>
      <c r="D45" s="710">
        <v>2016</v>
      </c>
      <c r="E45" s="710">
        <v>2017</v>
      </c>
      <c r="F45" s="710">
        <v>2018</v>
      </c>
      <c r="G45" s="710">
        <v>2019</v>
      </c>
      <c r="H45" s="710">
        <v>2020</v>
      </c>
      <c r="I45" s="710">
        <v>2021</v>
      </c>
      <c r="J45" s="710">
        <v>2022</v>
      </c>
      <c r="K45" s="710">
        <v>2023</v>
      </c>
      <c r="L45" s="710">
        <v>2024</v>
      </c>
      <c r="M45" s="710">
        <v>2025</v>
      </c>
      <c r="N45" s="580"/>
    </row>
    <row r="46" spans="1:21" ht="15" customHeight="1" x14ac:dyDescent="0.25">
      <c r="A46" s="46" t="s">
        <v>356</v>
      </c>
      <c r="B46" s="46" t="s">
        <v>357</v>
      </c>
      <c r="C46" s="46">
        <f>_xlfn.XLOOKUP(C$45,Úrgangur!$W$11:$W$45,Úrgangur!$X$11:$X$45,0,0,1)*1000</f>
        <v>111738.162</v>
      </c>
      <c r="D46" s="46">
        <f>_xlfn.XLOOKUP(D$45,Úrgangur!$W$11:$W$45,Úrgangur!$X$11:$X$45,0,0,1)*1000</f>
        <v>122551.49899999998</v>
      </c>
      <c r="E46" s="46">
        <f>_xlfn.XLOOKUP(E$45,Úrgangur!$W$11:$W$45,Úrgangur!$X$11:$X$45,0,0,1)*1000</f>
        <v>141925.35500000001</v>
      </c>
      <c r="F46" s="46">
        <f>_xlfn.XLOOKUP(F$45,Úrgangur!$W$11:$W$45,Úrgangur!$X$11:$X$45,0,0,1)*1000</f>
        <v>147361.95300000001</v>
      </c>
      <c r="G46" s="46">
        <f>_xlfn.XLOOKUP(G$45,Úrgangur!$W$11:$W$45,Úrgangur!$X$11:$X$45,0,0,1)*1000</f>
        <v>130971.52300000002</v>
      </c>
      <c r="H46" s="46">
        <f>_xlfn.XLOOKUP(H$45,Úrgangur!$W$11:$W$45,Úrgangur!$X$11:$X$45,0,0,1)*1000</f>
        <v>105254.98999999999</v>
      </c>
      <c r="I46" s="46">
        <f>_xlfn.XLOOKUP(I$45,Úrgangur!$W$11:$W$45,Úrgangur!$X$11:$X$45,0,0,1)*1000</f>
        <v>96272.450000000012</v>
      </c>
      <c r="J46" s="46">
        <f>_xlfn.XLOOKUP(J$45,Úrgangur!$W$11:$W$45,Úrgangur!$X$11:$X$45,0,0,1)*1000</f>
        <v>67470.67</v>
      </c>
      <c r="K46" s="46">
        <f>_xlfn.XLOOKUP(K$45,Úrgangur!$W$11:$W$45,Úrgangur!$X$11:$X$45,0,0,1)*1000</f>
        <v>71217.95</v>
      </c>
      <c r="L46" s="46">
        <f>_xlfn.XLOOKUP(L$45,Úrgangur!$W$11:$W$45,Úrgangur!$X$11:$X$45,0,0,1)*1000</f>
        <v>15879.49</v>
      </c>
      <c r="M46" s="46">
        <f>_xlfn.XLOOKUP(M$45,Úrgangur!$W$11:$W$450,Úrgangur!$X$11:$X$450,0,0,1)*1000</f>
        <v>28946</v>
      </c>
      <c r="N46" s="718">
        <f>K46/F46</f>
        <v>0.48328587230382319</v>
      </c>
      <c r="O46" s="497" t="s">
        <v>358</v>
      </c>
      <c r="Q46" s="24"/>
      <c r="R46" s="24"/>
      <c r="S46" s="24"/>
      <c r="T46" s="24"/>
      <c r="U46" s="24"/>
    </row>
    <row r="47" spans="1:21" ht="15" customHeight="1" x14ac:dyDescent="0.25">
      <c r="A47" s="46" t="s">
        <v>359</v>
      </c>
      <c r="B47" s="46" t="s">
        <v>357</v>
      </c>
      <c r="C47" s="46">
        <f>_xlfn.XLOOKUP(C$45,Úrgangur!$W$11:$W$45,Úrgangur!$AF$11:$AF$45,0,0,1)</f>
        <v>64287.472427638109</v>
      </c>
      <c r="D47" s="46">
        <f>_xlfn.XLOOKUP(D$45,Úrgangur!$W$11:$W$45,Úrgangur!$AF$11:$AF$45,0,0,1)</f>
        <v>70068.874484577973</v>
      </c>
      <c r="E47" s="46">
        <f>_xlfn.XLOOKUP(E$45,Úrgangur!$W$11:$W$45,Úrgangur!$AF$11:$AF$45,0,0,1)</f>
        <v>80522.811106421563</v>
      </c>
      <c r="F47" s="46">
        <f>_xlfn.XLOOKUP(F$45,Úrgangur!$W$11:$W$45,Úrgangur!$AF$11:$AF$45,0,0,1)</f>
        <v>83312.512071865378</v>
      </c>
      <c r="G47" s="46">
        <f>_xlfn.XLOOKUP(G$45,Úrgangur!$W$11:$W$45,Úrgangur!$AF$11:$AF$45,0,0,1)</f>
        <v>73709.259446908618</v>
      </c>
      <c r="H47" s="46">
        <f>_xlfn.XLOOKUP(H$45,Úrgangur!$W$11:$W$45,Úrgangur!$AF$11:$AF$45,0,0,1)</f>
        <v>58954.366411328869</v>
      </c>
      <c r="I47" s="46">
        <f>_xlfn.XLOOKUP(I$45,Úrgangur!$W$11:$W$45,Úrgangur!$AF$11:$AF$45,0,0,1)</f>
        <v>53971.020672414699</v>
      </c>
      <c r="J47" s="46">
        <f>_xlfn.XLOOKUP(J$45,Úrgangur!$W$11:$W$45,Úrgangur!$AF$11:$AF$45,0,0,1)</f>
        <v>37808.395298139658</v>
      </c>
      <c r="K47" s="46">
        <f>_xlfn.XLOOKUP(K$45,Úrgangur!$W$11:$W$45,Úrgangur!$AF$11:$AF$45,0,0,1)</f>
        <v>40016.184194649686</v>
      </c>
      <c r="L47" s="46">
        <f>_xlfn.XLOOKUP(L$45,Úrgangur!$W$11:$W$45,Úrgangur!$AF$11:$AF$45,0,0,1)</f>
        <v>8912.4051038096331</v>
      </c>
      <c r="M47" s="46">
        <f>_xlfn.XLOOKUP(M$45,Úrgangur!$W$11:$W$450,Úrgangur!$AF$11:$AF$450,0,0,1)</f>
        <v>16148.124090965737</v>
      </c>
      <c r="N47" s="718">
        <f>L46/F46</f>
        <v>0.10775841169803171</v>
      </c>
      <c r="O47" s="497"/>
      <c r="Q47" s="24"/>
      <c r="R47" s="24"/>
      <c r="S47" s="24"/>
      <c r="T47" s="24"/>
      <c r="U47" s="24"/>
    </row>
    <row r="48" spans="1:21" ht="15" customHeight="1" x14ac:dyDescent="0.25">
      <c r="A48" s="46" t="s">
        <v>360</v>
      </c>
      <c r="B48" s="46" t="s">
        <v>4</v>
      </c>
      <c r="C48" s="46">
        <f>_xlfn.XLOOKUP(C$45,Úrgangur!$W$11:$W$45,Úrgangur!$AE$11:$AE$45,0,0,1)</f>
        <v>101618.2042412498</v>
      </c>
      <c r="D48" s="46">
        <f>_xlfn.XLOOKUP(D$45,Úrgangur!$W$11:$W$45,Úrgangur!$AE$11:$AE$45,0,0,1)</f>
        <v>103972.79453288078</v>
      </c>
      <c r="E48" s="46">
        <f>_xlfn.XLOOKUP(E$45,Úrgangur!$W$11:$W$45,Úrgangur!$AE$11:$AE$45,0,0,1)</f>
        <v>104850.03517874557</v>
      </c>
      <c r="F48" s="46">
        <f>_xlfn.XLOOKUP(F$45,Úrgangur!$W$11:$W$45,Úrgangur!$AE$11:$AE$45,0,0,1)</f>
        <v>104977.39802284515</v>
      </c>
      <c r="G48" s="46">
        <f>_xlfn.XLOOKUP(G$45,Úrgangur!$W$11:$W$45,Úrgangur!$AE$11:$AE$45,0,0,1)</f>
        <v>81313.907947350031</v>
      </c>
      <c r="H48" s="46">
        <f>_xlfn.XLOOKUP(H$45,Úrgangur!$W$11:$W$45,Úrgangur!$AE$11:$AE$45,0,0,1)</f>
        <v>108873.392047849</v>
      </c>
      <c r="I48" s="46">
        <f>_xlfn.XLOOKUP(I$45,Úrgangur!$W$11:$W$45,Úrgangur!$AE$11:$AE$45,0,0,1)</f>
        <v>111546.62695537311</v>
      </c>
      <c r="J48" s="46">
        <f>_xlfn.XLOOKUP(J$45,Úrgangur!$W$11:$W$45,Úrgangur!$AE$11:$AE$45,0,0,1)</f>
        <v>117757.82759941592</v>
      </c>
      <c r="K48" s="46">
        <f>_xlfn.XLOOKUP(K$45,Úrgangur!$W$11:$W$45,Úrgangur!$AE$11:$AE$45,0,0,1)</f>
        <v>103074.8774832534</v>
      </c>
      <c r="L48" s="46">
        <f>_xlfn.XLOOKUP(L$45,Úrgangur!$W$11:$W$45,Úrgangur!$AE$11:$AE$45,0,0,1)</f>
        <v>95186.310823807653</v>
      </c>
      <c r="M48" s="46">
        <f>_xlfn.XLOOKUP(M$45,Úrgangur!$W$11:$W$450,Úrgangur!$AE$11:$AE$450,0,0,1)</f>
        <v>85028.940418953818</v>
      </c>
      <c r="O48" t="s">
        <v>361</v>
      </c>
      <c r="Q48" s="24"/>
      <c r="R48" s="24"/>
      <c r="S48" s="24"/>
      <c r="T48" s="24"/>
      <c r="U48" s="24"/>
    </row>
    <row r="49" spans="1:30" ht="15" customHeight="1" x14ac:dyDescent="0.25">
      <c r="A49" s="46" t="s">
        <v>362</v>
      </c>
      <c r="B49" s="46" t="s">
        <v>4</v>
      </c>
      <c r="C49" s="46">
        <f>_xlfn.XLOOKUP(C$45,Úrgangur!$W$11:$W$45,Úrgangur!$AG$11:$AG$45,0,0,1)</f>
        <v>58465.052461713523</v>
      </c>
      <c r="D49" s="46">
        <f>_xlfn.XLOOKUP(D$45,Úrgangur!$W$11:$W$45,Úrgangur!$AG$11:$AG$45,0,0,1)</f>
        <v>59446.491877959321</v>
      </c>
      <c r="E49" s="46">
        <f>_xlfn.XLOOKUP(E$45,Úrgangur!$W$11:$W$45,Úrgangur!$AG$11:$AG$45,0,0,1)</f>
        <v>59487.746760963069</v>
      </c>
      <c r="F49" s="46">
        <f>_xlfn.XLOOKUP(F$45,Úrgangur!$W$11:$W$45,Úrgangur!$AG$11:$AG$45,0,0,1)</f>
        <v>59349.992056981653</v>
      </c>
      <c r="G49" s="46">
        <f>_xlfn.XLOOKUP(G$45,Úrgangur!$W$11:$W$45,Úrgangur!$AG$11:$AG$45,0,0,1)</f>
        <v>45762.527610931633</v>
      </c>
      <c r="H49" s="46">
        <f>_xlfn.XLOOKUP(H$45,Úrgangur!$W$11:$W$45,Úrgangur!$AG$11:$AG$45,0,0,1)</f>
        <v>60981.069374793056</v>
      </c>
      <c r="I49" s="46">
        <f>_xlfn.XLOOKUP(I$45,Úrgangur!$W$11:$W$45,Úrgangur!$AG$11:$AG$45,0,0,1)</f>
        <v>62533.83298489415</v>
      </c>
      <c r="J49" s="46">
        <f>_xlfn.XLOOKUP(J$45,Úrgangur!$W$11:$W$45,Úrgangur!$AG$11:$AG$45,0,0,1)</f>
        <v>65987.702439132394</v>
      </c>
      <c r="K49" s="46">
        <f>_xlfn.XLOOKUP(K$45,Úrgangur!$W$11:$W$45,Úrgangur!$AG$11:$AG$45,0,0,1)</f>
        <v>57916.063060096756</v>
      </c>
      <c r="L49" s="46">
        <f>_xlfn.XLOOKUP(L$45,Úrgangur!$W$11:$W$45,Úrgangur!$AG$11:$AG$45,0,0,1)</f>
        <v>53423.564761772162</v>
      </c>
      <c r="M49" s="46">
        <f>_xlfn.XLOOKUP(M$45,Úrgangur!$W$11:$W$450,Úrgangur!$AG$11:$AG$450,0,0,1)</f>
        <v>47435.151012526723</v>
      </c>
      <c r="O49" s="713"/>
      <c r="Q49" s="24"/>
      <c r="R49" s="24"/>
      <c r="S49" s="24"/>
      <c r="T49" s="24"/>
      <c r="U49" s="24">
        <v>111738.162</v>
      </c>
      <c r="V49">
        <v>122551.49899999998</v>
      </c>
      <c r="W49">
        <v>141925.35500000001</v>
      </c>
      <c r="X49">
        <v>147361.95300000001</v>
      </c>
      <c r="Y49">
        <v>130971.52300000002</v>
      </c>
      <c r="AA49">
        <v>105254.98999999999</v>
      </c>
      <c r="AB49">
        <v>96272.450000000012</v>
      </c>
      <c r="AC49">
        <v>67470.67</v>
      </c>
      <c r="AD49">
        <v>53841.210000000014</v>
      </c>
    </row>
    <row r="50" spans="1:30" ht="15" customHeight="1" x14ac:dyDescent="0.25">
      <c r="A50" s="46" t="s">
        <v>363</v>
      </c>
      <c r="B50" s="46" t="s">
        <v>357</v>
      </c>
      <c r="C50" s="46">
        <f>_xlfn.XLOOKUP(C$45,Úrgangur!$W$11:$W$45,Úrgangur!$AN$11:$AN$45,0,0,1)</f>
        <v>0</v>
      </c>
      <c r="D50" s="46">
        <f>_xlfn.XLOOKUP(D$45,Úrgangur!$W$11:$W$45,Úrgangur!$AN$11:$AN$45,0,0,1)</f>
        <v>0</v>
      </c>
      <c r="E50" s="46">
        <f>_xlfn.XLOOKUP(E$45,Úrgangur!$W$11:$W$45,Úrgangur!$AN$11:$AN$45,0,0,1)</f>
        <v>0</v>
      </c>
      <c r="F50" s="46">
        <f>_xlfn.XLOOKUP(F$45,Úrgangur!$W$11:$W$45,Úrgangur!$AN$11:$AN$45,0,0,1)</f>
        <v>0</v>
      </c>
      <c r="G50" s="46">
        <f>_xlfn.XLOOKUP(G$45,Úrgangur!$W$11:$W$45,Úrgangur!$AN$11:$AN$45,0,0,1)</f>
        <v>0</v>
      </c>
      <c r="H50" s="46">
        <f>_xlfn.XLOOKUP(H$45,Úrgangur!$W$11:$W$45,Úrgangur!$AN$11:$AN$45,0,0,1)</f>
        <v>2100</v>
      </c>
      <c r="I50" s="46">
        <f>_xlfn.XLOOKUP(I$45,Úrgangur!$W$11:$W$45,Úrgangur!$AN$11:$AN$45,0,0,1)</f>
        <v>18000</v>
      </c>
      <c r="J50" s="46">
        <f>_xlfn.XLOOKUP(J$45,Úrgangur!$W$11:$W$45,Úrgangur!$AN$11:$AN$45,0,0,1)</f>
        <v>26896</v>
      </c>
      <c r="K50" s="46">
        <f>_xlfn.XLOOKUP(K$45,Úrgangur!$W$11:$W$45,Úrgangur!$AN$11:$AN$45,0,0,1)</f>
        <v>29751</v>
      </c>
      <c r="L50" s="46">
        <f>_xlfn.XLOOKUP(L$45,Úrgangur!$W$11:$W$45,Úrgangur!$AN$11:$AN$45,0,0,1)</f>
        <v>19204</v>
      </c>
      <c r="M50" s="46">
        <f>_xlfn.XLOOKUP(M$45,Úrgangur!$W$11:$W$450,Úrgangur!$AN$11:$AN$450,0,0,1)</f>
        <v>19397</v>
      </c>
      <c r="N50">
        <f>L50*L8</f>
        <v>12206.65066219125</v>
      </c>
      <c r="O50" s="713"/>
      <c r="Q50" s="24"/>
      <c r="R50" s="24"/>
      <c r="S50" s="24"/>
      <c r="T50" s="24"/>
      <c r="U50" s="24"/>
    </row>
    <row r="51" spans="1:30" ht="15" customHeight="1" x14ac:dyDescent="0.25">
      <c r="A51" s="46" t="s">
        <v>364</v>
      </c>
      <c r="B51" s="46" t="s">
        <v>4</v>
      </c>
      <c r="C51" s="46">
        <f>_xlfn.XLOOKUP(C$45,Úrgangur!$W$11:$W$45,Úrgangur!$AQ$11:$AQ$45,0,0,1)</f>
        <v>0</v>
      </c>
      <c r="D51" s="46">
        <f>_xlfn.XLOOKUP(D$45,Úrgangur!$W$11:$W$45,Úrgangur!$AQ$11:$AQ$45,0,0,1)</f>
        <v>0</v>
      </c>
      <c r="E51" s="46">
        <f>_xlfn.XLOOKUP(E$45,Úrgangur!$W$11:$W$45,Úrgangur!$AQ$11:$AQ$45,0,0,1)</f>
        <v>0</v>
      </c>
      <c r="F51" s="46">
        <f>_xlfn.XLOOKUP(F$45,Úrgangur!$W$11:$W$45,Úrgangur!$AQ$11:$AQ$45,0,0,1)</f>
        <v>0</v>
      </c>
      <c r="G51" s="46">
        <f>_xlfn.XLOOKUP(G$45,Úrgangur!$W$11:$W$45,Úrgangur!$AQ$11:$AQ$45,0,0,1)</f>
        <v>0</v>
      </c>
      <c r="H51" s="46">
        <f>_xlfn.XLOOKUP(H$45,Úrgangur!$W$11:$W$45,Úrgangur!$AQ$11:$AQ$45,0,0,1)</f>
        <v>434.7</v>
      </c>
      <c r="I51" s="46">
        <f>_xlfn.XLOOKUP(I$45,Úrgangur!$W$11:$W$45,Úrgangur!$AQ$11:$AQ$45,0,0,1)</f>
        <v>3726</v>
      </c>
      <c r="J51" s="46">
        <f>_xlfn.XLOOKUP(J$45,Úrgangur!$W$11:$W$45,Úrgangur!$AQ$11:$AQ$45,0,0,1)</f>
        <v>5567.4719999999998</v>
      </c>
      <c r="K51" s="46">
        <f>_xlfn.XLOOKUP(K$45,Úrgangur!$W$11:$W$45,Úrgangur!$AQ$11:$AQ$45,0,0,1)</f>
        <v>6158.4569999999994</v>
      </c>
      <c r="L51" s="46">
        <f>_xlfn.XLOOKUP(L$45,Úrgangur!$W$11:$W$45,Úrgangur!$AQ$11:$AQ$45,0,0,1)</f>
        <v>3975.2279999999996</v>
      </c>
      <c r="M51" s="46">
        <f>_xlfn.XLOOKUP(M$45,Úrgangur!$W$11:$W$450,Úrgangur!$AQ$11:$AQ$450,0,0,1)</f>
        <v>4015.1789999999996</v>
      </c>
      <c r="O51" s="488"/>
      <c r="Q51" s="24"/>
      <c r="R51" s="24"/>
      <c r="S51" s="24"/>
      <c r="T51" s="24"/>
      <c r="U51" s="24"/>
    </row>
    <row r="52" spans="1:30" ht="15" customHeight="1" x14ac:dyDescent="0.25">
      <c r="A52" s="46" t="s">
        <v>365</v>
      </c>
      <c r="B52" s="46" t="s">
        <v>4</v>
      </c>
      <c r="C52" s="46">
        <f>_xlfn.XLOOKUP(C$45,Úrgangur!$W$11:$W$45,Úrgangur!$AR$11:$AR$45,0,0,1)</f>
        <v>0</v>
      </c>
      <c r="D52" s="46">
        <f>_xlfn.XLOOKUP(D$45,Úrgangur!$W$11:$W$45,Úrgangur!$AR$11:$AR$45,0,0,1)</f>
        <v>0</v>
      </c>
      <c r="E52" s="46">
        <f>_xlfn.XLOOKUP(E$45,Úrgangur!$W$11:$W$45,Úrgangur!$AR$11:$AR$45,0,0,1)</f>
        <v>0</v>
      </c>
      <c r="F52" s="46">
        <f>_xlfn.XLOOKUP(F$45,Úrgangur!$W$11:$W$45,Úrgangur!$AR$11:$AR$45,0,0,1)</f>
        <v>0</v>
      </c>
      <c r="G52" s="46">
        <f>_xlfn.XLOOKUP(G$45,Úrgangur!$W$11:$W$45,Úrgangur!$AR$11:$AR$45,0,0,1)</f>
        <v>0</v>
      </c>
      <c r="H52" s="46">
        <f>_xlfn.XLOOKUP(H$45,Úrgangur!$W$11:$W$45,Úrgangur!$AR$11:$AR$45,0,0,1)</f>
        <v>243.47979206500958</v>
      </c>
      <c r="I52" s="46">
        <f>_xlfn.XLOOKUP(I$45,Úrgangur!$W$11:$W$45,Úrgangur!$AR$11:$AR$45,0,0,1)</f>
        <v>2088.8221191568009</v>
      </c>
      <c r="J52" s="46">
        <f>_xlfn.XLOOKUP(J$45,Úrgangur!$W$11:$W$45,Úrgangur!$AR$11:$AR$45,0,0,1)</f>
        <v>3119.8323980971909</v>
      </c>
      <c r="K52" s="46">
        <f>_xlfn.XLOOKUP(K$45,Úrgangur!$W$11:$W$45,Úrgangur!$AR$11:$AR$45,0,0,1)</f>
        <v>3460.334784514715</v>
      </c>
      <c r="L52" s="46">
        <f>_xlfn.XLOOKUP(L$45,Úrgangur!$W$11:$W$45,Úrgangur!$AR$11:$AR$45,0,0,1)</f>
        <v>2231.1070642701343</v>
      </c>
      <c r="M52" s="46">
        <f>_xlfn.XLOOKUP(M$45,Úrgangur!$W$11:$W$450,Úrgangur!$AR$11:$AR$450,0,0,1)</f>
        <v>2239.9505541159301</v>
      </c>
      <c r="O52" s="488"/>
      <c r="Q52" s="24"/>
      <c r="R52" s="24"/>
      <c r="S52" s="24"/>
      <c r="T52" s="24"/>
      <c r="U52" s="24"/>
    </row>
    <row r="53" spans="1:30" ht="15" customHeight="1" x14ac:dyDescent="0.25">
      <c r="A53" s="46" t="s">
        <v>366</v>
      </c>
      <c r="B53" s="46" t="s">
        <v>357</v>
      </c>
      <c r="C53" s="46">
        <f>_xlfn.XLOOKUP(C$45,Úrgangur!$W$11:$W$45,Úrgangur!$AY$11:$AY$45,0,0,1)</f>
        <v>0</v>
      </c>
      <c r="D53" s="46">
        <f>_xlfn.XLOOKUP(D$45,Úrgangur!$W$11:$W$45,Úrgangur!$AY$11:$AY$45,0,0,1)</f>
        <v>0</v>
      </c>
      <c r="E53" s="46">
        <f>_xlfn.XLOOKUP(E$45,Úrgangur!$W$11:$W$45,Úrgangur!$AY$11:$AY$45,0,0,1)</f>
        <v>0</v>
      </c>
      <c r="F53" s="46">
        <f>_xlfn.XLOOKUP(F$45,Úrgangur!$W$11:$W$45,Úrgangur!$AY$11:$AY$45,0,0,1)</f>
        <v>0</v>
      </c>
      <c r="G53" s="46">
        <f>_xlfn.XLOOKUP(G$45,Úrgangur!$W$11:$W$45,Úrgangur!$AY$11:$AY$45,0,0,1)</f>
        <v>0</v>
      </c>
      <c r="H53" s="46">
        <f>_xlfn.XLOOKUP(H$45,Úrgangur!$W$11:$W$45,Úrgangur!$AY$11:$AY$45,0,0,1)</f>
        <v>13340</v>
      </c>
      <c r="I53" s="46">
        <f>_xlfn.XLOOKUP(I$45,Úrgangur!$W$11:$W$45,Úrgangur!$AY$11:$AY$45,0,0,1)</f>
        <v>12790</v>
      </c>
      <c r="J53" s="46">
        <f>_xlfn.XLOOKUP(J$45,Úrgangur!$W$11:$W$45,Úrgangur!$AY$11:$AY$45,0,0,1)</f>
        <v>11680</v>
      </c>
      <c r="K53" s="46">
        <f>_xlfn.XLOOKUP(K$45,Úrgangur!$W$11:$W$45,Úrgangur!$AY$11:$AY$45,0,0,1)</f>
        <v>37792.762999999999</v>
      </c>
      <c r="L53" s="46">
        <f>_xlfn.XLOOKUP(L$45,Úrgangur!$W$11:$W$45,Úrgangur!$AY$11:$AY$45,0,0,1)</f>
        <v>80700</v>
      </c>
      <c r="M53" s="46">
        <f>_xlfn.XLOOKUP(M$45,Úrgangur!$W$11:$W$450,Úrgangur!$AY$11:$AY$450,0,0,1)</f>
        <v>133523.20713112154</v>
      </c>
      <c r="Q53" s="24"/>
      <c r="R53" s="24"/>
      <c r="S53" s="24"/>
      <c r="T53" s="24"/>
      <c r="U53" s="24"/>
    </row>
    <row r="54" spans="1:30" ht="15" customHeight="1" x14ac:dyDescent="0.25">
      <c r="A54" s="46" t="s">
        <v>367</v>
      </c>
      <c r="B54" s="46" t="s">
        <v>4</v>
      </c>
      <c r="C54" s="46">
        <f>_xlfn.XLOOKUP(C$45,Úrgangur!$W$11:$W$45,Úrgangur!$BA$11:$BA$45,0,0,1)</f>
        <v>0</v>
      </c>
      <c r="D54" s="46">
        <f>_xlfn.XLOOKUP(D$45,Úrgangur!$W$11:$W$45,Úrgangur!$BA$11:$BA$45,0,0,1)</f>
        <v>0</v>
      </c>
      <c r="E54" s="46">
        <f>_xlfn.XLOOKUP(E$45,Úrgangur!$W$11:$W$45,Úrgangur!$BA$11:$BA$45,0,0,1)</f>
        <v>0</v>
      </c>
      <c r="F54" s="46">
        <f>_xlfn.XLOOKUP(F$45,Úrgangur!$W$11:$W$45,Úrgangur!$BA$11:$BA$45,0,0,1)</f>
        <v>0</v>
      </c>
      <c r="G54" s="46">
        <f>_xlfn.XLOOKUP(G$45,Úrgangur!$W$11:$W$45,Úrgangur!$BA$11:$BA$45,0,0,1)</f>
        <v>0</v>
      </c>
      <c r="H54" s="46">
        <f>_xlfn.XLOOKUP(H$45,Úrgangur!$W$11:$W$45,Úrgangur!$BA$11:$BA$45,0,0,1)</f>
        <v>9124.5600000000013</v>
      </c>
      <c r="I54" s="46">
        <f>_xlfn.XLOOKUP(I$45,Úrgangur!$W$11:$W$45,Úrgangur!$BA$11:$BA$45,0,0,1)</f>
        <v>8748.36</v>
      </c>
      <c r="J54" s="46">
        <f>_xlfn.XLOOKUP(J$45,Úrgangur!$W$11:$W$45,Úrgangur!$BA$11:$BA$45,0,0,1)</f>
        <v>7989.1200000000008</v>
      </c>
      <c r="K54" s="46">
        <f>_xlfn.XLOOKUP(K$45,Úrgangur!$W$11:$W$45,Úrgangur!$BA$11:$BA$45,0,0,1)</f>
        <v>25850.249892</v>
      </c>
      <c r="L54" s="46">
        <f>_xlfn.XLOOKUP(L$45,Úrgangur!$W$11:$W$45,Úrgangur!$BA$11:$BA$45,0,0,1)</f>
        <v>42448.200000000004</v>
      </c>
      <c r="M54" s="46">
        <f>_xlfn.XLOOKUP(M$45,Úrgangur!$W$11:$W$4500,Úrgangur!$BA$11:$BA$4500,0,0,1)</f>
        <v>70233.206950969936</v>
      </c>
      <c r="O54" s="713"/>
      <c r="Q54" s="24"/>
      <c r="R54" s="24"/>
      <c r="S54" s="24"/>
      <c r="T54" s="24"/>
      <c r="U54" s="24"/>
    </row>
    <row r="55" spans="1:30" ht="15" customHeight="1" x14ac:dyDescent="0.25">
      <c r="A55" s="46" t="s">
        <v>368</v>
      </c>
      <c r="B55" s="46" t="s">
        <v>4</v>
      </c>
      <c r="C55" s="46">
        <f>_xlfn.XLOOKUP(C$45,Úrgangur!$W$11:$W$45,Úrgangur!$BC$11:$BC$45,0,0,1)</f>
        <v>0</v>
      </c>
      <c r="D55" s="46">
        <f>_xlfn.XLOOKUP(D$45,Úrgangur!$W$11:$W$45,Úrgangur!$BC$11:$BC$45,0,0,1)</f>
        <v>0</v>
      </c>
      <c r="E55" s="46">
        <f>_xlfn.XLOOKUP(E$45,Úrgangur!$W$11:$W$45,Úrgangur!$BC$11:$BC$45,0,0,1)</f>
        <v>0</v>
      </c>
      <c r="F55" s="46">
        <f>_xlfn.XLOOKUP(F$45,Úrgangur!$W$11:$W$45,Úrgangur!$BC$11:$BC$45,0,0,1)</f>
        <v>0</v>
      </c>
      <c r="G55" s="46">
        <f>_xlfn.XLOOKUP(G$45,Úrgangur!$W$11:$W$45,Úrgangur!$BC$11:$BC$45,0,0,1)</f>
        <v>0</v>
      </c>
      <c r="H55" s="46">
        <f>_xlfn.XLOOKUP(H$45,Úrgangur!$W$11:$W$45,Úrgangur!$BC$11:$BC$45,0,0,1)</f>
        <v>3261.4885901672687</v>
      </c>
      <c r="I55" s="46">
        <f>_xlfn.XLOOKUP(I$45,Úrgangur!$W$11:$W$45,Úrgangur!$BC$11:$BC$45,0,0,1)</f>
        <v>3140.1977672216985</v>
      </c>
      <c r="J55" s="46">
        <f>_xlfn.XLOOKUP(J$45,Úrgangur!$W$11:$W$45,Úrgangur!$BC$11:$BC$45,0,0,1)</f>
        <v>2860.0549126513702</v>
      </c>
      <c r="K55" s="46">
        <f>_xlfn.XLOOKUP(K$45,Úrgangur!$W$11:$W$45,Úrgangur!$BC$11:$BC$45,0,0,1)</f>
        <v>9905.8956619230721</v>
      </c>
      <c r="L55" s="46">
        <f>_xlfn.XLOOKUP(L$45,Úrgangur!$W$11:$W$45,Úrgangur!$BC$11:$BC$45,0,0,1)</f>
        <v>19768.822289276359</v>
      </c>
      <c r="M55" s="46">
        <f>_xlfn.XLOOKUP(M$45,Úrgangur!$W$11:$W$450,Úrgangur!$BC$11:$BC$450,0,0,1)</f>
        <v>23569.221130494192</v>
      </c>
      <c r="O55" s="488"/>
      <c r="P55" s="488"/>
      <c r="Q55" s="24"/>
      <c r="R55" s="24"/>
      <c r="S55" s="24"/>
      <c r="T55" s="24"/>
      <c r="U55" s="24"/>
    </row>
    <row r="56" spans="1:30" ht="15" customHeight="1" x14ac:dyDescent="0.25">
      <c r="A56" s="46" t="s">
        <v>369</v>
      </c>
      <c r="B56" s="46" t="s">
        <v>357</v>
      </c>
      <c r="C56" s="46">
        <f>_xlfn.XLOOKUP(C$45,Úrgangur!$W$11:$W$45,Úrgangur!$BE$11:$BE$45,0,0,1)</f>
        <v>0</v>
      </c>
      <c r="D56" s="46">
        <f>_xlfn.XLOOKUP(D$45,Úrgangur!$W$11:$W$45,Úrgangur!$BE$11:$BE$45,0,0,1)</f>
        <v>11019.04</v>
      </c>
      <c r="E56" s="46">
        <f>_xlfn.XLOOKUP(E$45,Úrgangur!$W$11:$W$45,Úrgangur!$BE$11:$BE$45,0,0,1)</f>
        <v>11529.789000000001</v>
      </c>
      <c r="F56" s="46">
        <f>_xlfn.XLOOKUP(F$45,Úrgangur!$W$11:$W$45,Úrgangur!$BE$11:$BE$45,0,0,1)</f>
        <v>11479.101000000001</v>
      </c>
      <c r="G56" s="46">
        <f>_xlfn.XLOOKUP(G$45,Úrgangur!$W$11:$W$45,Úrgangur!$BE$11:$BE$45,0,0,1)</f>
        <v>10549.953</v>
      </c>
      <c r="H56" s="46">
        <f>_xlfn.XLOOKUP(H$45,Úrgangur!$W$11:$W$45,Úrgangur!$BE$11:$BE$45,0,0,1)</f>
        <v>11023.463</v>
      </c>
      <c r="I56" s="46">
        <f>_xlfn.XLOOKUP(I$45,Úrgangur!$W$11:$W$45,Úrgangur!$BE$11:$BE$45,0,0,1)</f>
        <v>12646.135</v>
      </c>
      <c r="J56" s="46">
        <f>_xlfn.XLOOKUP(J$45,Úrgangur!$W$11:$W$45,Úrgangur!$BE$11:$BE$45,0,0,1)</f>
        <v>11780</v>
      </c>
      <c r="K56" s="46">
        <f>_xlfn.XLOOKUP(K$45,Úrgangur!$W$11:$W$45,Úrgangur!$BE$11:$BE$45,0,0,1)</f>
        <v>11520</v>
      </c>
      <c r="L56" s="46">
        <f>_xlfn.XLOOKUP(L$45,Úrgangur!$W$11:$W$45,Úrgangur!$BE$11:$BE$45,0,0,1)</f>
        <v>12134.987999999999</v>
      </c>
      <c r="M56" s="46">
        <f>_xlfn.XLOOKUP(M$45,Úrgangur!$W$11:$W$450,Úrgangur!$BE$11:$BE$450,0,0,1)</f>
        <v>12993.41</v>
      </c>
      <c r="U56" s="24"/>
    </row>
    <row r="57" spans="1:30" ht="15" customHeight="1" x14ac:dyDescent="0.25">
      <c r="A57" s="46" t="s">
        <v>370</v>
      </c>
      <c r="B57" s="46" t="s">
        <v>357</v>
      </c>
      <c r="C57" s="46">
        <f>_xlfn.XLOOKUP(C$45,Úrgangur!$W$11:$W$45,Úrgangur!$BF$11:$BF$45,0,0,1)</f>
        <v>0</v>
      </c>
      <c r="D57" s="46">
        <f>_xlfn.XLOOKUP(D$45,Úrgangur!$W$11:$W$45,Úrgangur!$BF$11:$BF$45,0,0,1)</f>
        <v>6300.1410590705573</v>
      </c>
      <c r="E57" s="46">
        <f>_xlfn.XLOOKUP(E$45,Úrgangur!$W$11:$W$45,Úrgangur!$BF$11:$BF$45,0,0,1)</f>
        <v>6541.5444741631754</v>
      </c>
      <c r="F57" s="46">
        <f>_xlfn.XLOOKUP(F$45,Úrgangur!$W$11:$W$45,Úrgangur!$BF$11:$BF$45,0,0,1)</f>
        <v>6489.821294894633</v>
      </c>
      <c r="G57" s="46">
        <f>_xlfn.XLOOKUP(G$45,Úrgangur!$W$11:$W$45,Úrgangur!$BF$11:$BF$45,0,0,1)</f>
        <v>5937.3916177923029</v>
      </c>
      <c r="H57" s="46">
        <f>_xlfn.XLOOKUP(H$45,Úrgangur!$W$11:$W$45,Úrgangur!$BF$11:$BF$45,0,0,1)</f>
        <v>6174.3512286089863</v>
      </c>
      <c r="I57" s="46">
        <f>_xlfn.XLOOKUP(I$45,Úrgangur!$W$11:$W$45,Úrgangur!$BF$11:$BF$45,0,0,1)</f>
        <v>7089.513287665859</v>
      </c>
      <c r="J57" s="46">
        <f>_xlfn.XLOOKUP(J$45,Úrgangur!$W$11:$W$45,Úrgangur!$BF$11:$BF$45,0,0,1)</f>
        <v>6601.13344972097</v>
      </c>
      <c r="K57" s="46">
        <f>_xlfn.XLOOKUP(K$45,Úrgangur!$W$11:$W$45,Úrgangur!$BF$11:$BF$45,0,0,1)</f>
        <v>6472.8968177596298</v>
      </c>
      <c r="L57" s="46">
        <f>_xlfn.XLOOKUP(L$45,Úrgangur!$W$11:$W$45,Úrgangur!$BF$11:$BF$45,0,0,1)</f>
        <v>6810.7936077209433</v>
      </c>
      <c r="M57" s="46">
        <f>_xlfn.XLOOKUP(M$45,Úrgangur!$W$11:$W$450,Úrgangur!$BF$11:$BF$450,0,0,1)</f>
        <v>7248.6421973604338</v>
      </c>
      <c r="U57" s="24"/>
    </row>
    <row r="58" spans="1:30" ht="15" customHeight="1" x14ac:dyDescent="0.25">
      <c r="A58" s="46" t="s">
        <v>371</v>
      </c>
      <c r="B58" s="46" t="s">
        <v>4</v>
      </c>
      <c r="C58" s="46"/>
      <c r="D58" s="46">
        <f>HLOOKUP(""&amp;D$45,tblBrennsla[#All],MATCH(Úrgangur!$BJ$31,tblBrennsla[[#All],[Tímabil]],0),FALSE)</f>
        <v>4309.2964844042608</v>
      </c>
      <c r="E58" s="46">
        <f>HLOOKUP(""&amp;E$45,tblBrennsla[#All],MATCH(Úrgangur!$BJ$31,tblBrennsla[[#All],[Tímabil]],0),FALSE)</f>
        <v>4474.4164203276123</v>
      </c>
      <c r="F58" s="46">
        <f>HLOOKUP(""&amp;F$45,tblBrennsla[#All],MATCH(Úrgangur!$BJ$31,tblBrennsla[[#All],[Tímabil]],0),FALSE)</f>
        <v>4439.0377657079298</v>
      </c>
      <c r="G58" s="46">
        <f>HLOOKUP(""&amp;G$45,tblBrennsla[#All],MATCH(Úrgangur!$BJ$31,tblBrennsla[[#All],[Tímabil]],0),FALSE)</f>
        <v>4061.1758665699354</v>
      </c>
      <c r="H58" s="46">
        <f>HLOOKUP(""&amp;H$45,tblBrennsla[#All],MATCH(Úrgangur!$BJ$31,tblBrennsla[[#All],[Tímabil]],0),FALSE)</f>
        <v>4223.2562403685479</v>
      </c>
      <c r="I58" s="46">
        <f>HLOOKUP(""&amp;I$45,tblBrennsla[#All],MATCH(Úrgangur!$BJ$31,tblBrennsla[[#All],[Tímabil]],0),FALSE)</f>
        <v>4849.2270887634477</v>
      </c>
      <c r="J58" s="46">
        <f>HLOOKUP(""&amp;J$45,tblBrennsla[#All],MATCH(Úrgangur!$BJ$31,tblBrennsla[[#All],[Tímabil]],0),FALSE)</f>
        <v>4515.1752796091441</v>
      </c>
      <c r="K58" s="46">
        <f>HLOOKUP(""&amp;K$45,tblBrennsla[#All],MATCH(Úrgangur!$BJ$31,tblBrennsla[[#All],[Tímabil]],0),FALSE)</f>
        <v>4427.4614233475868</v>
      </c>
      <c r="L58" s="46">
        <f>_xlfn.XLOOKUP(L$45,Úrgangur!$W$11:$W$45,Úrgangur!$BH$11:$BH$45,0,0,1)</f>
        <v>3582.4774376612163</v>
      </c>
      <c r="M58" s="46">
        <f>_xlfn.XLOOKUP(M$45,Úrgangur!$W$11:$W$450,Úrgangur!$BH$11:$BH$450,0,0,1)</f>
        <v>3812.7857958115883</v>
      </c>
      <c r="P58" s="23"/>
      <c r="Q58" s="23"/>
      <c r="R58" s="23"/>
      <c r="S58" s="23"/>
      <c r="T58" s="23"/>
      <c r="U58" s="24"/>
    </row>
    <row r="59" spans="1:30" ht="15" customHeight="1" x14ac:dyDescent="0.25">
      <c r="A59" s="46" t="s">
        <v>372</v>
      </c>
      <c r="B59" s="46" t="s">
        <v>4</v>
      </c>
      <c r="C59" s="46">
        <f>Fráveita!C26*0</f>
        <v>0</v>
      </c>
      <c r="D59" s="46">
        <f>Fráveita!D26*0</f>
        <v>0</v>
      </c>
      <c r="E59" s="46">
        <f>Fráveita!E26*0</f>
        <v>0</v>
      </c>
      <c r="F59" s="46">
        <f>Fráveita!F26*0</f>
        <v>0</v>
      </c>
      <c r="G59" s="46">
        <f>Fráveita!G26*0</f>
        <v>0</v>
      </c>
      <c r="H59" s="46">
        <f>Fráveita!H26*0</f>
        <v>0</v>
      </c>
      <c r="I59" s="46">
        <f>Fráveita!I26*0</f>
        <v>0</v>
      </c>
      <c r="J59" s="46">
        <f>Fráveita!J26*0</f>
        <v>0</v>
      </c>
      <c r="K59" s="46">
        <f>Fráveita!K26*0</f>
        <v>0</v>
      </c>
      <c r="L59" s="46">
        <f>Fráveita!L26*0</f>
        <v>0</v>
      </c>
      <c r="M59" s="46">
        <f>Fráveita!M26*0</f>
        <v>0</v>
      </c>
      <c r="O59" t="s">
        <v>373</v>
      </c>
      <c r="P59" s="23"/>
      <c r="Q59" s="23"/>
      <c r="R59" s="23"/>
      <c r="S59" s="23"/>
      <c r="T59" s="23"/>
      <c r="U59" s="24"/>
    </row>
    <row r="60" spans="1:30" ht="15" customHeight="1" x14ac:dyDescent="0.25">
      <c r="A60" s="46" t="s">
        <v>374</v>
      </c>
      <c r="B60" s="46" t="s">
        <v>4</v>
      </c>
      <c r="C60" s="46">
        <f>Fráveita!C36</f>
        <v>1798.2858875904626</v>
      </c>
      <c r="D60" s="46">
        <f>Fráveita!D36</f>
        <v>1805.3701633812368</v>
      </c>
      <c r="E60" s="46">
        <f>Fráveita!E36</f>
        <v>1824.2464281485334</v>
      </c>
      <c r="F60" s="46">
        <f>Fráveita!F36</f>
        <v>1864.0273614351859</v>
      </c>
      <c r="G60" s="46">
        <f>Fráveita!G36</f>
        <v>1897.6171220756278</v>
      </c>
      <c r="H60" s="46">
        <f>Fráveita!H36</f>
        <v>1915.6154210397945</v>
      </c>
      <c r="I60" s="46">
        <f>Fráveita!I36</f>
        <v>1946.8134817337786</v>
      </c>
      <c r="J60" s="46">
        <f>Fráveita!J36</f>
        <v>1977.5120101604648</v>
      </c>
      <c r="K60" s="46">
        <f>Fráveita!K36</f>
        <v>2032.9146798062593</v>
      </c>
      <c r="L60" s="46">
        <f>Fráveita!L36</f>
        <v>2066.9778815006639</v>
      </c>
      <c r="M60" s="46">
        <f>Fráveita!M36</f>
        <v>2090.0556120307406</v>
      </c>
      <c r="P60" s="23"/>
      <c r="Q60" s="23"/>
      <c r="R60" s="23"/>
      <c r="S60" s="23"/>
      <c r="T60" s="23"/>
      <c r="U60" s="24"/>
    </row>
    <row r="61" spans="1:30" ht="15" customHeight="1" x14ac:dyDescent="0.25">
      <c r="A61" s="46" t="s">
        <v>375</v>
      </c>
      <c r="B61" s="46" t="s">
        <v>4</v>
      </c>
      <c r="C61" s="46">
        <f>Fráveita!C43</f>
        <v>1851.9774</v>
      </c>
      <c r="D61" s="46">
        <f>Fráveita!D43</f>
        <v>1719.354</v>
      </c>
      <c r="E61" s="46">
        <f>Fráveita!E43</f>
        <v>1544.3428000000001</v>
      </c>
      <c r="F61" s="46">
        <f>Fráveita!F43</f>
        <v>1692.7092000000002</v>
      </c>
      <c r="G61" s="46">
        <f>Fráveita!G43</f>
        <v>1335.5159999999998</v>
      </c>
      <c r="H61" s="46">
        <f>Fráveita!H43</f>
        <v>1638.9077110664502</v>
      </c>
      <c r="I61" s="46">
        <f>Fráveita!I43</f>
        <v>1644.8987429000899</v>
      </c>
      <c r="J61" s="46">
        <f>Fráveita!J43</f>
        <v>1565.5114870485968</v>
      </c>
      <c r="K61" s="46">
        <f>Fráveita!K43</f>
        <v>1534.687185034466</v>
      </c>
      <c r="L61" s="46">
        <f>Fráveita!L43</f>
        <v>1572.8853790244686</v>
      </c>
      <c r="M61" s="46">
        <f>Fráveita!M43</f>
        <v>1589.183975608566</v>
      </c>
      <c r="P61" s="23"/>
      <c r="Q61" s="23"/>
      <c r="R61" s="23"/>
      <c r="S61" s="23"/>
      <c r="T61" s="23"/>
      <c r="U61" s="24"/>
    </row>
    <row r="62" spans="1:30" ht="15" customHeight="1" x14ac:dyDescent="0.25">
      <c r="A62" s="46" t="s">
        <v>376</v>
      </c>
      <c r="B62" s="46" t="s">
        <v>4</v>
      </c>
      <c r="C62" s="46">
        <f t="shared" ref="C62:L62" si="11">SUM(C59:C61)</f>
        <v>3650.2632875904628</v>
      </c>
      <c r="D62" s="46">
        <f t="shared" si="11"/>
        <v>3524.7241633812368</v>
      </c>
      <c r="E62" s="46">
        <f t="shared" si="11"/>
        <v>3368.5892281485335</v>
      </c>
      <c r="F62" s="46">
        <f t="shared" si="11"/>
        <v>3556.7365614351861</v>
      </c>
      <c r="G62" s="46">
        <f t="shared" si="11"/>
        <v>3233.1331220756274</v>
      </c>
      <c r="H62" s="46">
        <f t="shared" si="11"/>
        <v>3554.5231321062447</v>
      </c>
      <c r="I62" s="46">
        <f t="shared" si="11"/>
        <v>3591.7122246338686</v>
      </c>
      <c r="J62" s="46">
        <f t="shared" si="11"/>
        <v>3543.0234972090616</v>
      </c>
      <c r="K62" s="46">
        <f t="shared" si="11"/>
        <v>3567.6018648407253</v>
      </c>
      <c r="L62" s="46">
        <f t="shared" si="11"/>
        <v>3639.8632605251323</v>
      </c>
      <c r="M62" s="46">
        <f t="shared" ref="M62" si="12">SUM(M59:M61)</f>
        <v>3679.2395876393066</v>
      </c>
      <c r="P62" s="23"/>
      <c r="Q62" s="23"/>
      <c r="R62" s="23"/>
      <c r="S62" s="23"/>
      <c r="T62" s="23"/>
      <c r="U62" s="24"/>
    </row>
    <row r="63" spans="1:30" ht="15" customHeight="1" x14ac:dyDescent="0.25">
      <c r="A63" s="46" t="s">
        <v>377</v>
      </c>
      <c r="B63" s="46" t="s">
        <v>4</v>
      </c>
      <c r="C63" s="46">
        <f t="shared" ref="C63:J63" si="13">C62+C58+C52+C49</f>
        <v>62115.315749303983</v>
      </c>
      <c r="D63" s="46">
        <f t="shared" si="13"/>
        <v>67280.512525744824</v>
      </c>
      <c r="E63" s="46">
        <f t="shared" si="13"/>
        <v>67330.752409439214</v>
      </c>
      <c r="F63" s="46">
        <f t="shared" si="13"/>
        <v>67345.76638412477</v>
      </c>
      <c r="G63" s="46">
        <f t="shared" si="13"/>
        <v>53056.836599577196</v>
      </c>
      <c r="H63" s="46">
        <f t="shared" si="13"/>
        <v>69002.328539332855</v>
      </c>
      <c r="I63" s="46">
        <f t="shared" si="13"/>
        <v>73063.594417448272</v>
      </c>
      <c r="J63" s="46">
        <f t="shared" si="13"/>
        <v>77165.733614047786</v>
      </c>
      <c r="K63" s="46">
        <f>K62+K58+K52+K49+K55</f>
        <v>79277.356794722858</v>
      </c>
      <c r="L63" s="46">
        <f>L62+L58+L52+L49+L55</f>
        <v>82645.834813505004</v>
      </c>
      <c r="M63" s="46">
        <f>M62+M58+M52+M49+M55</f>
        <v>80736.348080587733</v>
      </c>
      <c r="P63" s="23"/>
      <c r="Q63" s="23"/>
      <c r="R63" s="23"/>
      <c r="S63" s="23"/>
      <c r="T63" s="23"/>
      <c r="U63" s="24"/>
    </row>
    <row r="64" spans="1:30" ht="15" customHeight="1" x14ac:dyDescent="0.25">
      <c r="A64" s="46"/>
      <c r="B64" s="46"/>
      <c r="C64" s="46"/>
      <c r="D64" s="46"/>
      <c r="E64" s="46"/>
      <c r="F64" s="46"/>
      <c r="G64" s="46"/>
      <c r="H64" s="46"/>
      <c r="I64" s="46"/>
      <c r="J64" s="46"/>
      <c r="K64" s="46"/>
      <c r="L64" s="46"/>
      <c r="M64" s="46"/>
      <c r="O64" s="31"/>
      <c r="P64" s="31"/>
      <c r="Q64" s="24"/>
      <c r="R64" s="24"/>
      <c r="S64" s="24"/>
      <c r="T64" s="24"/>
      <c r="U64" s="24"/>
    </row>
    <row r="65" spans="1:42" ht="24.75" customHeight="1" x14ac:dyDescent="0.25">
      <c r="A65" s="711" t="s">
        <v>265</v>
      </c>
      <c r="B65" s="711" t="s">
        <v>2</v>
      </c>
      <c r="C65" s="711">
        <v>2015</v>
      </c>
      <c r="D65" s="711">
        <v>2016</v>
      </c>
      <c r="E65" s="711">
        <v>2017</v>
      </c>
      <c r="F65" s="711">
        <v>2018</v>
      </c>
      <c r="G65" s="711">
        <v>2019</v>
      </c>
      <c r="H65" s="711">
        <v>2020</v>
      </c>
      <c r="I65" s="711">
        <v>2021</v>
      </c>
      <c r="J65" s="711">
        <v>2022</v>
      </c>
      <c r="K65" s="711">
        <v>2023</v>
      </c>
      <c r="L65" s="711">
        <v>2024</v>
      </c>
      <c r="M65" s="711">
        <v>2025</v>
      </c>
    </row>
    <row r="66" spans="1:42" ht="15" customHeight="1" x14ac:dyDescent="0.25">
      <c r="A66" s="46" t="s">
        <v>378</v>
      </c>
      <c r="B66" s="46" t="s">
        <v>4</v>
      </c>
      <c r="C66" s="46"/>
      <c r="D66" s="46">
        <f>SUM(D67:D70)</f>
        <v>31032.766036496989</v>
      </c>
      <c r="E66" s="46">
        <f t="shared" ref="E66:M66" si="14">SUM(E67:E70)</f>
        <v>31032.766036496989</v>
      </c>
      <c r="F66" s="46">
        <f t="shared" si="14"/>
        <v>31032.766036496989</v>
      </c>
      <c r="G66" s="46">
        <f t="shared" si="14"/>
        <v>31032.766036496989</v>
      </c>
      <c r="H66" s="46">
        <f t="shared" si="14"/>
        <v>31032.766036496989</v>
      </c>
      <c r="I66" s="46">
        <f t="shared" si="14"/>
        <v>31032.766036496989</v>
      </c>
      <c r="J66" s="46">
        <f t="shared" si="14"/>
        <v>31032.766036496989</v>
      </c>
      <c r="K66" s="46">
        <f t="shared" si="14"/>
        <v>31032.766036496989</v>
      </c>
      <c r="L66" s="46">
        <f t="shared" si="14"/>
        <v>31032.766036496989</v>
      </c>
      <c r="M66" s="46">
        <f t="shared" si="14"/>
        <v>31032.766036496989</v>
      </c>
      <c r="N66" s="580"/>
      <c r="O66" s="497" t="s">
        <v>379</v>
      </c>
      <c r="Q66" s="24"/>
      <c r="R66" s="24"/>
      <c r="S66" s="24"/>
      <c r="T66" s="24"/>
      <c r="U66" s="24"/>
    </row>
    <row r="67" spans="1:42" ht="15" customHeight="1" x14ac:dyDescent="0.25">
      <c r="A67" s="46" t="s">
        <v>380</v>
      </c>
      <c r="B67" s="46" t="s">
        <v>4</v>
      </c>
      <c r="C67" s="46"/>
      <c r="D67" s="46">
        <f>'Landbúnaður og landnotkun'!$BK$162</f>
        <v>-14742.381850653543</v>
      </c>
      <c r="E67" s="46">
        <f>'Landbúnaður og landnotkun'!$BK$162</f>
        <v>-14742.381850653543</v>
      </c>
      <c r="F67" s="46">
        <f>'Landbúnaður og landnotkun'!$BK$162</f>
        <v>-14742.381850653543</v>
      </c>
      <c r="G67" s="46">
        <f>'Landbúnaður og landnotkun'!$BK$162</f>
        <v>-14742.381850653543</v>
      </c>
      <c r="H67" s="46">
        <f>'Landbúnaður og landnotkun'!$BK$162</f>
        <v>-14742.381850653543</v>
      </c>
      <c r="I67" s="46">
        <f>'Landbúnaður og landnotkun'!$BK$162</f>
        <v>-14742.381850653543</v>
      </c>
      <c r="J67" s="46">
        <f>'Landbúnaður og landnotkun'!$BK$162</f>
        <v>-14742.381850653543</v>
      </c>
      <c r="K67" s="46">
        <f>'Landbúnaður og landnotkun'!$BK$162</f>
        <v>-14742.381850653543</v>
      </c>
      <c r="L67" s="46">
        <f>'Landbúnaður og landnotkun'!$BK$162</f>
        <v>-14742.381850653543</v>
      </c>
      <c r="M67" s="46">
        <f>'Landbúnaður og landnotkun'!$BK$162</f>
        <v>-14742.381850653543</v>
      </c>
      <c r="N67" s="580"/>
      <c r="Q67" s="24"/>
      <c r="R67" s="24"/>
      <c r="S67" s="24"/>
      <c r="T67" s="24"/>
      <c r="U67" s="24"/>
    </row>
    <row r="68" spans="1:42" ht="15" customHeight="1" x14ac:dyDescent="0.25">
      <c r="A68" s="46" t="s">
        <v>381</v>
      </c>
      <c r="B68" s="46" t="s">
        <v>4</v>
      </c>
      <c r="C68" s="46"/>
      <c r="D68" s="46">
        <f>'Landbúnaður og landnotkun'!$BK$160</f>
        <v>2599.6274172485382</v>
      </c>
      <c r="E68" s="46">
        <f>'Landbúnaður og landnotkun'!$BK$160</f>
        <v>2599.6274172485382</v>
      </c>
      <c r="F68" s="46">
        <f>'Landbúnaður og landnotkun'!$BK$160</f>
        <v>2599.6274172485382</v>
      </c>
      <c r="G68" s="46">
        <f>'Landbúnaður og landnotkun'!$BK$160</f>
        <v>2599.6274172485382</v>
      </c>
      <c r="H68" s="46">
        <f>'Landbúnaður og landnotkun'!$BK$160</f>
        <v>2599.6274172485382</v>
      </c>
      <c r="I68" s="46">
        <f>'Landbúnaður og landnotkun'!$BK$160</f>
        <v>2599.6274172485382</v>
      </c>
      <c r="J68" s="46">
        <f>'Landbúnaður og landnotkun'!$BK$160</f>
        <v>2599.6274172485382</v>
      </c>
      <c r="K68" s="46">
        <f>'Landbúnaður og landnotkun'!$BK$160</f>
        <v>2599.6274172485382</v>
      </c>
      <c r="L68" s="46">
        <f>'Landbúnaður og landnotkun'!$BK$160</f>
        <v>2599.6274172485382</v>
      </c>
      <c r="M68" s="46">
        <f>'Landbúnaður og landnotkun'!$BK$160</f>
        <v>2599.6274172485382</v>
      </c>
      <c r="N68" s="580"/>
      <c r="Q68" s="24"/>
      <c r="R68" s="24"/>
      <c r="S68" s="24"/>
      <c r="T68" s="24"/>
      <c r="U68" s="24"/>
    </row>
    <row r="69" spans="1:42" ht="15" customHeight="1" x14ac:dyDescent="0.25">
      <c r="A69" s="46" t="s">
        <v>382</v>
      </c>
      <c r="B69" s="46" t="s">
        <v>4</v>
      </c>
      <c r="C69" s="46"/>
      <c r="D69" s="46">
        <f>'Landbúnaður og landnotkun'!$BK$161</f>
        <v>43658.603253987501</v>
      </c>
      <c r="E69" s="46">
        <f>'Landbúnaður og landnotkun'!$BK$161</f>
        <v>43658.603253987501</v>
      </c>
      <c r="F69" s="46">
        <f>'Landbúnaður og landnotkun'!$BK$161</f>
        <v>43658.603253987501</v>
      </c>
      <c r="G69" s="46">
        <f>'Landbúnaður og landnotkun'!$BK$161</f>
        <v>43658.603253987501</v>
      </c>
      <c r="H69" s="46">
        <f>'Landbúnaður og landnotkun'!$BK$161</f>
        <v>43658.603253987501</v>
      </c>
      <c r="I69" s="46">
        <f>'Landbúnaður og landnotkun'!$BK$161</f>
        <v>43658.603253987501</v>
      </c>
      <c r="J69" s="46">
        <f>'Landbúnaður og landnotkun'!$BK$161</f>
        <v>43658.603253987501</v>
      </c>
      <c r="K69" s="46">
        <f>'Landbúnaður og landnotkun'!$BK$161</f>
        <v>43658.603253987501</v>
      </c>
      <c r="L69" s="46">
        <f>'Landbúnaður og landnotkun'!$BK$161</f>
        <v>43658.603253987501</v>
      </c>
      <c r="M69" s="46">
        <f>'Landbúnaður og landnotkun'!$BK$161</f>
        <v>43658.603253987501</v>
      </c>
      <c r="N69" s="580"/>
      <c r="Q69" s="24"/>
      <c r="R69" s="24"/>
      <c r="S69" s="24"/>
      <c r="T69" s="24"/>
      <c r="U69" s="24"/>
    </row>
    <row r="70" spans="1:42" ht="15" customHeight="1" x14ac:dyDescent="0.25">
      <c r="A70" s="46" t="s">
        <v>383</v>
      </c>
      <c r="B70" s="46" t="s">
        <v>4</v>
      </c>
      <c r="C70" s="46"/>
      <c r="D70" s="46">
        <f>SUM('Landbúnaður og landnotkun'!$BK$151:$BK$153)</f>
        <v>-483.0827840855103</v>
      </c>
      <c r="E70" s="46">
        <f>SUM('Landbúnaður og landnotkun'!$BK$151:$BK$153)</f>
        <v>-483.0827840855103</v>
      </c>
      <c r="F70" s="46">
        <f>SUM('Landbúnaður og landnotkun'!$BK$151:$BK$153)</f>
        <v>-483.0827840855103</v>
      </c>
      <c r="G70" s="46">
        <f>SUM('Landbúnaður og landnotkun'!$BK$151:$BK$153)</f>
        <v>-483.0827840855103</v>
      </c>
      <c r="H70" s="46">
        <f>SUM('Landbúnaður og landnotkun'!$BK$151:$BK$153)</f>
        <v>-483.0827840855103</v>
      </c>
      <c r="I70" s="46">
        <f>SUM('Landbúnaður og landnotkun'!$BK$151:$BK$153)</f>
        <v>-483.0827840855103</v>
      </c>
      <c r="J70" s="46">
        <f>SUM('Landbúnaður og landnotkun'!$BK$151:$BK$153)</f>
        <v>-483.0827840855103</v>
      </c>
      <c r="K70" s="46">
        <f>SUM('Landbúnaður og landnotkun'!$BK$151:$BK$153)</f>
        <v>-483.0827840855103</v>
      </c>
      <c r="L70" s="46">
        <f>SUM('Landbúnaður og landnotkun'!$BK$151:$BK$153)</f>
        <v>-483.0827840855103</v>
      </c>
      <c r="M70" s="46">
        <f>SUM('Landbúnaður og landnotkun'!$BK$151:$BK$153)</f>
        <v>-483.0827840855103</v>
      </c>
      <c r="N70" s="580"/>
      <c r="Q70" s="24"/>
      <c r="R70" s="24"/>
      <c r="S70" s="24"/>
      <c r="T70" s="24"/>
      <c r="U70" s="24"/>
    </row>
    <row r="71" spans="1:42" ht="15" customHeight="1" x14ac:dyDescent="0.25">
      <c r="A71" s="46" t="s">
        <v>384</v>
      </c>
      <c r="B71" s="46" t="s">
        <v>4</v>
      </c>
      <c r="C71" s="46"/>
      <c r="D71" s="46">
        <f>INDEX('Landbúnaður og landnotkun'!$B$8:$G$93,MATCH(D65,'Landbúnaður og landnotkun'!$B$8:$B$93,0),MATCH("Losun",'Landbúnaður og landnotkun'!$B$8:$G$8,0))</f>
        <v>1829.6519397420795</v>
      </c>
      <c r="E71" s="46">
        <f>INDEX('Landbúnaður og landnotkun'!$B$8:$G$93,MATCH(E65,'Landbúnaður og landnotkun'!$B$8:$B$93,0),MATCH("Losun",'Landbúnaður og landnotkun'!$B$8:$G$8,0))</f>
        <v>2245.4398830453683</v>
      </c>
      <c r="F71" s="46">
        <f>INDEX('Landbúnaður og landnotkun'!$B$8:$G$93,MATCH(F65,'Landbúnaður og landnotkun'!$B$8:$B$93,0),MATCH("Losun",'Landbúnaður og landnotkun'!$B$8:$G$8,0))</f>
        <v>1691.624489923749</v>
      </c>
      <c r="G71" s="46">
        <f>INDEX('Landbúnaður og landnotkun'!$B$8:$G$93,MATCH(G65,'Landbúnaður og landnotkun'!$B$8:$B$93,0),MATCH("Losun",'Landbúnaður og landnotkun'!$B$8:$G$8,0))</f>
        <v>1710.0061987558634</v>
      </c>
      <c r="H71" s="46">
        <f>INDEX('Landbúnaður og landnotkun'!$B$8:$G$93,MATCH(H65,'Landbúnaður og landnotkun'!$B$8:$B$93,0),MATCH("Losun",'Landbúnaður og landnotkun'!$B$8:$G$8,0))</f>
        <v>2652.4245259230693</v>
      </c>
      <c r="I71" s="46">
        <f>INDEX('Landbúnaður og landnotkun'!$B$8:$G$930,MATCH(I65,'Landbúnaður og landnotkun'!$B$8:$B$930,0),MATCH("Losun",'Landbúnaður og landnotkun'!$B$8:$G$8,0))</f>
        <v>2654.0703045108339</v>
      </c>
      <c r="J71" s="46">
        <f>INDEX('Landbúnaður og landnotkun'!$B$8:$G$930,MATCH(J65,'Landbúnaður og landnotkun'!$B$8:$B$930,0),MATCH("Losun",'Landbúnaður og landnotkun'!$B$8:$G$8,0))</f>
        <v>2565.3120470227268</v>
      </c>
      <c r="K71" s="46">
        <f>INDEX('Landbúnaður og landnotkun'!$B$8:$G$930,MATCH(K65,'Landbúnaður og landnotkun'!$B$8:$B$930,0),MATCH("Losun",'Landbúnaður og landnotkun'!$B$8:$G$8,0))</f>
        <v>2225.7389972815336</v>
      </c>
      <c r="L71" s="46">
        <f>INDEX('Landbúnaður og landnotkun'!$B$8:$G$930,MATCH(L65,'Landbúnaður og landnotkun'!$B$8:$B$930,0),MATCH("Losun",'Landbúnaður og landnotkun'!$B$8:$G$8,0))</f>
        <v>2248.1210669607221</v>
      </c>
      <c r="M71" s="46">
        <f>INDEX('Landbúnaður og landnotkun'!$B$8:$G$930,MATCH(M65,'Landbúnaður og landnotkun'!$B$8:$B$930,0),MATCH("Losun",'Landbúnaður og landnotkun'!$B$8:$G$8,0))</f>
        <v>2199.0447206679287</v>
      </c>
      <c r="Q71" s="24"/>
      <c r="R71" s="24"/>
      <c r="S71" s="24"/>
      <c r="T71" s="24"/>
      <c r="U71" s="24"/>
    </row>
    <row r="72" spans="1:42" ht="15" customHeight="1" x14ac:dyDescent="0.25">
      <c r="A72" s="46" t="s">
        <v>385</v>
      </c>
      <c r="B72" s="46" t="s">
        <v>4</v>
      </c>
      <c r="C72" s="46"/>
      <c r="D72" s="46">
        <f>'Landbúnaður og landnotkun'!G13</f>
        <v>133.76218466040802</v>
      </c>
      <c r="E72" s="46">
        <f>'Landbúnaður og landnotkun'!G30</f>
        <v>138.40119799136124</v>
      </c>
      <c r="F72" s="46">
        <f>'Landbúnaður og landnotkun'!G47</f>
        <v>106.19713567430057</v>
      </c>
      <c r="G72" s="46">
        <f>'Landbúnaður og landnotkun'!G64</f>
        <v>63.482771036872585</v>
      </c>
      <c r="H72" s="46">
        <f>'Landbúnaður og landnotkun'!G81</f>
        <v>104.86226016734406</v>
      </c>
      <c r="I72" s="46">
        <f>'Landbúnaður og landnotkun'!G98</f>
        <v>104.86226016734406</v>
      </c>
      <c r="J72" s="46">
        <f>'Landbúnaður og landnotkun'!G115</f>
        <v>106.26885947784511</v>
      </c>
      <c r="K72" s="46">
        <f>'Landbúnaður og landnotkun'!G132</f>
        <v>45.929693219612986</v>
      </c>
      <c r="L72" s="46">
        <f>'Landbúnaður og landnotkun'!G149</f>
        <v>60.339664707859299</v>
      </c>
      <c r="M72" s="46">
        <f>'Landbúnaður og landnotkun'!G166</f>
        <v>37.747699362618349</v>
      </c>
      <c r="N72" s="580"/>
      <c r="Q72" s="24"/>
      <c r="R72" s="24"/>
      <c r="S72" s="24"/>
      <c r="T72" s="24"/>
      <c r="U72" s="24"/>
    </row>
    <row r="73" spans="1:42" ht="15" customHeight="1" x14ac:dyDescent="0.25">
      <c r="A73" s="46" t="s">
        <v>386</v>
      </c>
      <c r="B73" s="46" t="s">
        <v>4</v>
      </c>
      <c r="C73" s="46"/>
      <c r="D73" s="46">
        <f>'Landbúnaður og landnotkun'!G17</f>
        <v>272.82220287113824</v>
      </c>
      <c r="E73" s="46">
        <f>'Landbúnaður og landnotkun'!G34</f>
        <v>261.98564313173353</v>
      </c>
      <c r="F73" s="46">
        <f>'Landbúnaður og landnotkun'!G51</f>
        <v>285.13553680648994</v>
      </c>
      <c r="G73" s="46">
        <f>'Landbúnaður og landnotkun'!G68</f>
        <v>288.0121654312245</v>
      </c>
      <c r="H73" s="46">
        <f>'Landbúnaður og landnotkun'!G85</f>
        <v>281.8934473198733</v>
      </c>
      <c r="I73" s="46">
        <f>'Landbúnaður og landnotkun'!G102</f>
        <v>281.8934473198733</v>
      </c>
      <c r="J73" s="46">
        <f>'Landbúnaður og landnotkun'!G119</f>
        <v>286.20143591002079</v>
      </c>
      <c r="K73" s="46">
        <f>'Landbúnaður og landnotkun'!G136</f>
        <v>194.17071551006521</v>
      </c>
      <c r="L73" s="46">
        <f>'Landbúnaður og landnotkun'!G153</f>
        <v>220.63700379859432</v>
      </c>
      <c r="M73" s="46">
        <f>'Landbúnaður og landnotkun'!G170</f>
        <v>220.63700379859432</v>
      </c>
      <c r="Q73" s="24"/>
      <c r="R73" s="24"/>
      <c r="S73" s="24"/>
      <c r="T73" s="24"/>
      <c r="U73" s="24"/>
    </row>
    <row r="74" spans="1:42" ht="15" customHeight="1" x14ac:dyDescent="0.25">
      <c r="A74" s="46" t="s">
        <v>387</v>
      </c>
      <c r="B74" s="46" t="s">
        <v>4</v>
      </c>
      <c r="C74" s="46"/>
      <c r="D74" s="46">
        <f>'Landbúnaður og landnotkun'!G21</f>
        <v>641.3177322400586</v>
      </c>
      <c r="E74" s="46">
        <f>'Landbúnaður og landnotkun'!G38</f>
        <v>1039.9697248739558</v>
      </c>
      <c r="F74" s="46">
        <f>'Landbúnaður og landnotkun'!G55</f>
        <v>576.69458039937297</v>
      </c>
      <c r="G74" s="46">
        <f>'Landbúnaður og landnotkun'!G72</f>
        <v>678.98959248644951</v>
      </c>
      <c r="H74" s="46">
        <f>'Landbúnaður og landnotkun'!H89</f>
        <v>1595.7745501909105</v>
      </c>
      <c r="I74" s="46">
        <f>'Landbúnaður og landnotkun'!H106</f>
        <v>1595.7745501909105</v>
      </c>
      <c r="J74" s="46">
        <f>'Landbúnaður og landnotkun'!G123</f>
        <v>1603.6047468395982</v>
      </c>
      <c r="K74" s="46">
        <f>'Landbúnaður og landnotkun'!G140</f>
        <v>1389.7540139053465</v>
      </c>
      <c r="L74" s="46">
        <f>'Landbúnaður og landnotkun'!G157</f>
        <v>1389.7540139053465</v>
      </c>
      <c r="M74" s="46">
        <f>'Landbúnaður og landnotkun'!G174</f>
        <v>1430.6925660522297</v>
      </c>
      <c r="Q74" s="24"/>
      <c r="R74" s="24"/>
      <c r="S74" s="24"/>
      <c r="T74" s="24"/>
      <c r="U74" s="24"/>
    </row>
    <row r="75" spans="1:42" ht="15" customHeight="1" x14ac:dyDescent="0.25">
      <c r="A75" s="46" t="s">
        <v>388</v>
      </c>
      <c r="B75" s="46" t="s">
        <v>4</v>
      </c>
      <c r="C75" s="46"/>
      <c r="D75" s="46">
        <f>'Landbúnaður og landnotkun'!G22</f>
        <v>390.35348729421258</v>
      </c>
      <c r="E75" s="46">
        <f>'Landbúnaður og landnotkun'!G39</f>
        <v>383.10406538732002</v>
      </c>
      <c r="F75" s="46">
        <f>'Landbúnaður og landnotkun'!G56</f>
        <v>263.76742784308937</v>
      </c>
      <c r="G75" s="46">
        <f>'Landbúnaður og landnotkun'!G73</f>
        <v>230.86620534257719</v>
      </c>
      <c r="H75" s="46">
        <f>'Landbúnaður og landnotkun'!G90</f>
        <v>258.74859729216377</v>
      </c>
      <c r="I75" s="46">
        <f>'Landbúnaður og landnotkun'!G107</f>
        <v>258.74859729216377</v>
      </c>
      <c r="J75" s="46">
        <f>'Landbúnaður og landnotkun'!G124</f>
        <v>174.54377360441219</v>
      </c>
      <c r="K75" s="46">
        <f>'Landbúnaður og landnotkun'!G141</f>
        <v>152.23786004474289</v>
      </c>
      <c r="L75" s="46">
        <f>'Landbúnaður og landnotkun'!G158</f>
        <v>99.818963179520068</v>
      </c>
      <c r="M75" s="46">
        <f>'Landbúnaður og landnotkun'!G175</f>
        <v>46.284770636313773</v>
      </c>
      <c r="Q75" s="24"/>
      <c r="R75" s="24"/>
      <c r="S75" s="24"/>
      <c r="T75" s="24"/>
      <c r="U75" s="24"/>
    </row>
    <row r="76" spans="1:42" ht="15" customHeight="1" x14ac:dyDescent="0.25">
      <c r="A76" s="46" t="s">
        <v>389</v>
      </c>
      <c r="B76" s="46" t="s">
        <v>4</v>
      </c>
      <c r="C76" s="46"/>
      <c r="D76" s="46">
        <f>'Landbúnaður og landnotkun'!G23</f>
        <v>5.4859286258819999</v>
      </c>
      <c r="E76" s="46">
        <f>'Landbúnaður og landnotkun'!G40</f>
        <v>5.4859286258819999</v>
      </c>
      <c r="F76" s="46">
        <f>'Landbúnaður og landnotkun'!G57</f>
        <v>6.5831143510584003</v>
      </c>
      <c r="G76" s="46">
        <f>'Landbúnaður og landnotkun'!G74</f>
        <v>1.4629143002352001</v>
      </c>
      <c r="H76" s="46">
        <f>'Landbúnaður og landnotkun'!G91</f>
        <v>6.5831143510584003</v>
      </c>
      <c r="I76" s="46">
        <f>'Landbúnaður og landnotkun'!G108</f>
        <v>8.2288929388229999</v>
      </c>
      <c r="J76" s="46">
        <f>'Landbúnaður og landnotkun'!G125</f>
        <v>8.9603500889406007</v>
      </c>
      <c r="K76" s="46">
        <f>'Landbúnaður og landnotkun'!G142</f>
        <v>8.9603500889406007</v>
      </c>
      <c r="L76" s="46">
        <f>'Landbúnaður og landnotkun'!G159</f>
        <v>6.2173857759995999</v>
      </c>
      <c r="M76" s="46">
        <f>'Landbúnaður og landnotkun'!G176</f>
        <v>4.5716071882350002</v>
      </c>
      <c r="Q76" s="24"/>
      <c r="R76" s="24"/>
      <c r="S76" s="24"/>
      <c r="T76" s="24"/>
      <c r="U76" s="24"/>
    </row>
    <row r="77" spans="1:42" ht="15" customHeight="1" x14ac:dyDescent="0.25">
      <c r="A77" s="46" t="s">
        <v>390</v>
      </c>
      <c r="B77" s="46" t="s">
        <v>4</v>
      </c>
      <c r="C77" s="46"/>
      <c r="D77" s="46">
        <f>'Landbúnaður og landnotkun'!G24</f>
        <v>385.91040405038024</v>
      </c>
      <c r="E77" s="46">
        <f>'Landbúnaður og landnotkun'!G41</f>
        <v>416.49332303511585</v>
      </c>
      <c r="F77" s="46">
        <f>'Landbúnaður og landnotkun'!G58</f>
        <v>453.24669484943774</v>
      </c>
      <c r="G77" s="46">
        <f>'Landbúnaður og landnotkun'!G75</f>
        <v>447.19255015850422</v>
      </c>
      <c r="H77" s="46">
        <f>'Landbúnaður og landnotkun'!G92</f>
        <v>404.56255660171917</v>
      </c>
      <c r="I77" s="46">
        <f>'Landbúnaður og landnotkun'!G109</f>
        <v>404.56255660171917</v>
      </c>
      <c r="J77" s="46">
        <f>'Landbúnaður og landnotkun'!G126</f>
        <v>385.73288110190998</v>
      </c>
      <c r="K77" s="46">
        <f>'Landbúnaður og landnotkun'!G143</f>
        <v>434.68636451282481</v>
      </c>
      <c r="L77" s="46">
        <f>'Landbúnaður og landnotkun'!G160</f>
        <v>471.3540355934025</v>
      </c>
      <c r="M77" s="46">
        <f>'Landbúnaður og landnotkun'!G177</f>
        <v>459.11107362993749</v>
      </c>
      <c r="Q77" s="24"/>
      <c r="R77" s="24"/>
      <c r="S77" s="24"/>
      <c r="T77" s="24"/>
      <c r="U77" s="24"/>
    </row>
    <row r="78" spans="1:42" ht="13.5" customHeight="1" x14ac:dyDescent="0.25">
      <c r="A78" s="1"/>
      <c r="B78" s="1"/>
      <c r="C78" s="1"/>
      <c r="D78" s="1">
        <f t="shared" ref="D78:L78" si="15">SUM(D72:D77)</f>
        <v>1829.6519397420798</v>
      </c>
      <c r="E78" s="1">
        <f t="shared" si="15"/>
        <v>2245.4398830453683</v>
      </c>
      <c r="F78" s="1">
        <f t="shared" si="15"/>
        <v>1691.624489923749</v>
      </c>
      <c r="G78" s="1">
        <f t="shared" si="15"/>
        <v>1710.0061987558631</v>
      </c>
      <c r="H78" s="1">
        <f t="shared" si="15"/>
        <v>2652.4245259230693</v>
      </c>
      <c r="I78" s="1">
        <f t="shared" si="15"/>
        <v>2654.0703045108335</v>
      </c>
      <c r="J78" s="1">
        <f t="shared" si="15"/>
        <v>2565.3120470227273</v>
      </c>
      <c r="K78" s="844">
        <f t="shared" si="15"/>
        <v>2225.7389972815326</v>
      </c>
      <c r="L78" s="844">
        <f t="shared" si="15"/>
        <v>2248.1210669607221</v>
      </c>
      <c r="M78" s="844">
        <f t="shared" ref="M78" si="16">SUM(M72:M77)</f>
        <v>2199.0447206679287</v>
      </c>
    </row>
    <row r="79" spans="1:42" x14ac:dyDescent="0.25">
      <c r="A79" s="47"/>
      <c r="B79" s="47"/>
      <c r="C79" s="47"/>
      <c r="D79" s="47"/>
      <c r="E79" s="47"/>
      <c r="F79" s="47"/>
      <c r="G79" s="47"/>
      <c r="H79" s="47"/>
      <c r="I79" s="47"/>
      <c r="J79" s="47"/>
      <c r="K79" s="47"/>
      <c r="L79" s="47"/>
      <c r="M79" s="47"/>
    </row>
    <row r="80" spans="1:42" ht="22.5" customHeight="1" x14ac:dyDescent="0.25">
      <c r="A80" s="6" t="s">
        <v>25</v>
      </c>
      <c r="B80" s="6" t="s">
        <v>2</v>
      </c>
      <c r="C80" s="6">
        <v>2015</v>
      </c>
      <c r="D80" s="6">
        <v>2016</v>
      </c>
      <c r="E80" s="6">
        <v>2017</v>
      </c>
      <c r="F80" s="6">
        <v>2018</v>
      </c>
      <c r="G80" s="6">
        <v>2019</v>
      </c>
      <c r="H80" s="6">
        <v>2020</v>
      </c>
      <c r="I80" s="6">
        <v>2021</v>
      </c>
      <c r="J80" s="6">
        <v>2022</v>
      </c>
      <c r="K80" s="6">
        <v>2023</v>
      </c>
      <c r="L80" s="6">
        <v>2024</v>
      </c>
      <c r="M80" s="6">
        <v>2025</v>
      </c>
      <c r="AP80" t="s">
        <v>391</v>
      </c>
    </row>
    <row r="81" spans="1:41" ht="22.5" customHeight="1" x14ac:dyDescent="0.25">
      <c r="A81" s="13" t="s">
        <v>392</v>
      </c>
      <c r="B81" s="13" t="s">
        <v>393</v>
      </c>
      <c r="C81" s="13">
        <f t="shared" ref="C81:L81" si="17">C87+C89</f>
        <v>25426.710982196928</v>
      </c>
      <c r="D81" s="13">
        <f t="shared" si="17"/>
        <v>29441.234322625965</v>
      </c>
      <c r="E81" s="13">
        <f t="shared" si="17"/>
        <v>31840.143864101985</v>
      </c>
      <c r="F81" s="13">
        <f t="shared" si="17"/>
        <v>33904.031833732188</v>
      </c>
      <c r="G81" s="13">
        <f t="shared" si="17"/>
        <v>38681.061738648365</v>
      </c>
      <c r="H81" s="13">
        <f t="shared" si="17"/>
        <v>41118.80025180646</v>
      </c>
      <c r="I81" s="13">
        <f t="shared" si="17"/>
        <v>34758.634851436516</v>
      </c>
      <c r="J81" s="13">
        <f t="shared" si="17"/>
        <v>29861.725257524311</v>
      </c>
      <c r="K81" s="13">
        <f t="shared" si="17"/>
        <v>25564.788864073682</v>
      </c>
      <c r="L81" s="13">
        <f t="shared" si="17"/>
        <v>20530.647252904309</v>
      </c>
      <c r="M81" s="13">
        <f>M87+M89</f>
        <v>27325.857850586737</v>
      </c>
    </row>
    <row r="82" spans="1:41" ht="22.5" customHeight="1" x14ac:dyDescent="0.25">
      <c r="A82" s="12" t="s">
        <v>394</v>
      </c>
      <c r="B82" s="12" t="s">
        <v>393</v>
      </c>
      <c r="C82" s="12">
        <v>179661.59605094156</v>
      </c>
      <c r="D82" s="12">
        <v>203881.36109193339</v>
      </c>
      <c r="E82" s="12">
        <v>188905.0661273349</v>
      </c>
      <c r="F82" s="12">
        <v>190357.388354289</v>
      </c>
      <c r="G82" s="12">
        <v>201720.60511688699</v>
      </c>
      <c r="H82" s="12">
        <v>196827.241573618</v>
      </c>
      <c r="I82" s="12">
        <f>61891+45820+32610+15320+930+820+10</f>
        <v>157401</v>
      </c>
      <c r="J82" s="12">
        <v>133000</v>
      </c>
      <c r="K82" s="12">
        <v>123519</v>
      </c>
      <c r="L82" s="828">
        <v>106750</v>
      </c>
      <c r="M82" s="828">
        <f>AVERAGE(I82:L82)</f>
        <v>130167.5</v>
      </c>
      <c r="N82" s="580"/>
      <c r="T82" t="s">
        <v>395</v>
      </c>
      <c r="U82" t="s">
        <v>396</v>
      </c>
      <c r="V82" t="s">
        <v>397</v>
      </c>
      <c r="W82" t="s">
        <v>398</v>
      </c>
      <c r="X82" t="s">
        <v>399</v>
      </c>
      <c r="Y82" t="s">
        <v>400</v>
      </c>
      <c r="Z82" t="s">
        <v>401</v>
      </c>
      <c r="AA82" t="s">
        <v>395</v>
      </c>
      <c r="AB82" t="s">
        <v>402</v>
      </c>
      <c r="AC82" t="s">
        <v>403</v>
      </c>
      <c r="AD82" t="s">
        <v>404</v>
      </c>
      <c r="AE82" t="s">
        <v>405</v>
      </c>
      <c r="AF82" t="s">
        <v>406</v>
      </c>
      <c r="AG82" t="s">
        <v>407</v>
      </c>
      <c r="AI82" t="s">
        <v>403</v>
      </c>
      <c r="AJ82" t="s">
        <v>404</v>
      </c>
      <c r="AK82" t="s">
        <v>405</v>
      </c>
      <c r="AL82" t="s">
        <v>406</v>
      </c>
      <c r="AM82" t="s">
        <v>407</v>
      </c>
    </row>
    <row r="83" spans="1:41" ht="22.5" customHeight="1" x14ac:dyDescent="0.25">
      <c r="A83" s="12" t="s">
        <v>408</v>
      </c>
      <c r="B83" s="12" t="s">
        <v>409</v>
      </c>
      <c r="C83" s="12">
        <v>0.5</v>
      </c>
      <c r="D83" s="12">
        <v>0.5</v>
      </c>
      <c r="E83" s="12">
        <v>0.65</v>
      </c>
      <c r="F83" s="12">
        <v>0.47</v>
      </c>
      <c r="G83" s="12">
        <v>0.5</v>
      </c>
      <c r="H83" s="12">
        <v>0.5</v>
      </c>
      <c r="I83" s="12">
        <f>(45820)/I82</f>
        <v>0.29110361433536003</v>
      </c>
      <c r="J83" s="12">
        <v>0.3</v>
      </c>
      <c r="K83" s="12">
        <v>0.3</v>
      </c>
      <c r="L83" s="828">
        <v>0.3</v>
      </c>
      <c r="M83" s="828">
        <f t="shared" ref="M83" si="18">AVERAGE(I83:L83)</f>
        <v>0.29777590358384004</v>
      </c>
      <c r="T83">
        <v>2015</v>
      </c>
      <c r="U83" s="116">
        <v>0.11</v>
      </c>
      <c r="V83" s="116">
        <v>0.01</v>
      </c>
      <c r="W83" s="116">
        <v>0.18</v>
      </c>
      <c r="X83" s="116">
        <v>0.62</v>
      </c>
      <c r="Y83" s="116">
        <v>0.08</v>
      </c>
      <c r="Z83" s="116">
        <v>0</v>
      </c>
      <c r="AA83" s="12">
        <v>2015</v>
      </c>
      <c r="AB83" s="23">
        <v>179662</v>
      </c>
      <c r="AC83" s="23">
        <v>19763</v>
      </c>
      <c r="AD83" s="23">
        <v>1797</v>
      </c>
      <c r="AE83" s="23">
        <v>32339</v>
      </c>
      <c r="AF83" s="23">
        <v>111390</v>
      </c>
      <c r="AG83" s="23">
        <v>14373</v>
      </c>
      <c r="AH83">
        <v>0.36776833919461094</v>
      </c>
      <c r="AI83">
        <f>AC83*$AH83</f>
        <v>7268.2056875030958</v>
      </c>
      <c r="AJ83">
        <f t="shared" ref="AJ83:AM83" si="19">AD83*$AH83</f>
        <v>660.87970553271589</v>
      </c>
      <c r="AK83">
        <f t="shared" si="19"/>
        <v>11893.260321214522</v>
      </c>
      <c r="AL83">
        <f t="shared" si="19"/>
        <v>40965.715302887715</v>
      </c>
      <c r="AM83">
        <f t="shared" si="19"/>
        <v>5285.9343392441433</v>
      </c>
      <c r="AO83">
        <f>AM83+SUM(AI83:AK83)</f>
        <v>25108.280053494476</v>
      </c>
    </row>
    <row r="84" spans="1:41" ht="22.5" customHeight="1" x14ac:dyDescent="0.25">
      <c r="A84" s="15" t="s">
        <v>410</v>
      </c>
      <c r="B84" s="15" t="s">
        <v>393</v>
      </c>
      <c r="C84" s="15">
        <f t="shared" ref="C84:M84" si="20">C83*C82</f>
        <v>89830.79802547078</v>
      </c>
      <c r="D84" s="15">
        <f t="shared" si="20"/>
        <v>101940.68054596669</v>
      </c>
      <c r="E84" s="15">
        <f t="shared" si="20"/>
        <v>122788.29298276769</v>
      </c>
      <c r="F84" s="15">
        <f t="shared" si="20"/>
        <v>89467.972526515819</v>
      </c>
      <c r="G84" s="15">
        <f t="shared" si="20"/>
        <v>100860.30255844349</v>
      </c>
      <c r="H84" s="15">
        <f t="shared" si="20"/>
        <v>98413.620786808999</v>
      </c>
      <c r="I84" s="15">
        <f t="shared" si="20"/>
        <v>45820.000000000007</v>
      </c>
      <c r="J84" s="15">
        <f t="shared" si="20"/>
        <v>39900</v>
      </c>
      <c r="K84" s="15">
        <f t="shared" si="20"/>
        <v>37055.699999999997</v>
      </c>
      <c r="L84" s="15">
        <f t="shared" si="20"/>
        <v>32025</v>
      </c>
      <c r="M84" s="15">
        <f t="shared" si="20"/>
        <v>38760.744929749497</v>
      </c>
      <c r="T84">
        <v>2016</v>
      </c>
      <c r="U84" s="116">
        <v>0.14000000000000001</v>
      </c>
      <c r="V84" s="116">
        <v>0.01</v>
      </c>
      <c r="W84" s="116">
        <v>0.17</v>
      </c>
      <c r="X84" s="116">
        <v>0.61</v>
      </c>
      <c r="Y84" s="116">
        <v>7.0000000000000007E-2</v>
      </c>
      <c r="Z84" s="116">
        <v>0</v>
      </c>
      <c r="AA84" s="12">
        <v>2016</v>
      </c>
      <c r="AB84" s="23">
        <v>203881</v>
      </c>
      <c r="AC84" s="23">
        <v>28543</v>
      </c>
      <c r="AD84" s="23">
        <v>2039</v>
      </c>
      <c r="AE84" s="23">
        <v>34660</v>
      </c>
      <c r="AF84" s="23">
        <v>124368</v>
      </c>
      <c r="AG84" s="23">
        <v>14272</v>
      </c>
      <c r="AH84">
        <v>0.36580622998687262</v>
      </c>
      <c r="AI84">
        <f t="shared" ref="AI84:AI93" si="21">AC84*$AH84</f>
        <v>10441.207222515306</v>
      </c>
      <c r="AJ84">
        <f t="shared" ref="AJ84:AJ93" si="22">AD84*$AH84</f>
        <v>745.87890294323324</v>
      </c>
      <c r="AK84">
        <f t="shared" ref="AK84:AK93" si="23">AE84*$AH84</f>
        <v>12678.843931345005</v>
      </c>
      <c r="AL84">
        <f t="shared" ref="AL84:AL93" si="24">AF84*$AH84</f>
        <v>45494.589211007376</v>
      </c>
      <c r="AM84">
        <f t="shared" ref="AM84:AM93" si="25">AG84*$AH84</f>
        <v>5220.7865143726458</v>
      </c>
      <c r="AO84">
        <f t="shared" ref="AO84:AO92" si="26">AM84+SUM(AI84:AK84)</f>
        <v>29086.716571176192</v>
      </c>
    </row>
    <row r="85" spans="1:41" ht="22.5" customHeight="1" x14ac:dyDescent="0.25">
      <c r="A85" s="1" t="s">
        <v>411</v>
      </c>
      <c r="B85" s="15" t="s">
        <v>393</v>
      </c>
      <c r="C85" s="1">
        <v>0.61999755095679665</v>
      </c>
      <c r="D85" s="1">
        <v>0.610002893844939</v>
      </c>
      <c r="E85" s="1">
        <v>0.54000158809983856</v>
      </c>
      <c r="F85" s="1">
        <v>0.50999963226989287</v>
      </c>
      <c r="G85" s="1">
        <v>0.47000064445446932</v>
      </c>
      <c r="H85" s="1">
        <v>0.42000335319849413</v>
      </c>
      <c r="I85" s="1">
        <v>0.38999752225208228</v>
      </c>
      <c r="J85" s="1">
        <v>0.38</v>
      </c>
      <c r="K85" s="1">
        <v>0.42999862369352082</v>
      </c>
      <c r="L85" s="828">
        <v>0.47000468384074939</v>
      </c>
      <c r="M85" s="828">
        <f>AVERAGE(H85:L85)</f>
        <v>0.41800083659696929</v>
      </c>
      <c r="T85">
        <v>2017</v>
      </c>
      <c r="U85" s="116">
        <v>0.18</v>
      </c>
      <c r="V85" s="116">
        <v>0.01</v>
      </c>
      <c r="W85" s="116">
        <v>0.17</v>
      </c>
      <c r="X85" s="116">
        <v>0.54</v>
      </c>
      <c r="Y85" s="116">
        <v>0.1</v>
      </c>
      <c r="Z85" s="116">
        <v>0</v>
      </c>
      <c r="AA85" s="12">
        <v>2017</v>
      </c>
      <c r="AB85" s="23">
        <v>188905</v>
      </c>
      <c r="AC85" s="23">
        <v>34003</v>
      </c>
      <c r="AD85" s="23">
        <v>1889</v>
      </c>
      <c r="AE85" s="23">
        <v>32114</v>
      </c>
      <c r="AF85" s="23">
        <v>102009</v>
      </c>
      <c r="AG85" s="23">
        <v>18891</v>
      </c>
      <c r="AH85">
        <v>0.36243748251916502</v>
      </c>
      <c r="AI85">
        <f t="shared" si="21"/>
        <v>12323.961718099168</v>
      </c>
      <c r="AJ85">
        <f t="shared" si="22"/>
        <v>684.64440447870277</v>
      </c>
      <c r="AK85">
        <f t="shared" si="23"/>
        <v>11639.317313620466</v>
      </c>
      <c r="AL85">
        <f t="shared" si="24"/>
        <v>36971.885154297503</v>
      </c>
      <c r="AM85">
        <f t="shared" si="25"/>
        <v>6846.806482269546</v>
      </c>
      <c r="AO85">
        <f t="shared" si="26"/>
        <v>31494.729918467881</v>
      </c>
    </row>
    <row r="86" spans="1:41" ht="22.5" customHeight="1" x14ac:dyDescent="0.25">
      <c r="A86" s="1" t="s">
        <v>412</v>
      </c>
      <c r="B86" s="1" t="s">
        <v>393</v>
      </c>
      <c r="C86" s="1">
        <f>C82-C85*C82</f>
        <v>68271.846498368497</v>
      </c>
      <c r="D86" s="1">
        <f t="shared" ref="D86:L86" si="27">D82-D85*D82</f>
        <v>79513.140824809074</v>
      </c>
      <c r="E86" s="1">
        <f t="shared" si="27"/>
        <v>86896.030418469032</v>
      </c>
      <c r="F86" s="1">
        <f t="shared" si="27"/>
        <v>93275.190293744425</v>
      </c>
      <c r="G86" s="1">
        <f t="shared" si="27"/>
        <v>106911.79071220459</v>
      </c>
      <c r="H86" s="1">
        <f t="shared" si="27"/>
        <v>114159.1401118884</v>
      </c>
      <c r="I86" s="1">
        <f t="shared" si="27"/>
        <v>96015</v>
      </c>
      <c r="J86" s="1">
        <f t="shared" si="27"/>
        <v>82460</v>
      </c>
      <c r="K86" s="1">
        <f t="shared" si="27"/>
        <v>70406</v>
      </c>
      <c r="L86" s="1">
        <f t="shared" si="27"/>
        <v>56577</v>
      </c>
      <c r="M86" s="1">
        <f>M82-M85*M82</f>
        <v>75757.37610226401</v>
      </c>
      <c r="T86">
        <v>2018</v>
      </c>
      <c r="U86" s="116">
        <v>0.18</v>
      </c>
      <c r="V86" s="116">
        <v>0.01</v>
      </c>
      <c r="W86" s="116">
        <v>0.21</v>
      </c>
      <c r="X86" s="116">
        <v>0.51</v>
      </c>
      <c r="Y86" s="116">
        <v>0.09</v>
      </c>
      <c r="Z86" s="116">
        <v>0</v>
      </c>
      <c r="AA86" s="12">
        <v>2018</v>
      </c>
      <c r="AB86" s="23">
        <v>190357</v>
      </c>
      <c r="AC86" s="23">
        <v>34264</v>
      </c>
      <c r="AD86" s="23">
        <v>1904</v>
      </c>
      <c r="AE86" s="23">
        <v>39975</v>
      </c>
      <c r="AF86" s="23">
        <v>97082</v>
      </c>
      <c r="AG86" s="23">
        <v>17132</v>
      </c>
      <c r="AH86">
        <v>0.35986884211080034</v>
      </c>
      <c r="AI86">
        <f t="shared" si="21"/>
        <v>12330.546006084463</v>
      </c>
      <c r="AJ86">
        <f t="shared" si="22"/>
        <v>685.19027537896386</v>
      </c>
      <c r="AK86">
        <f t="shared" si="23"/>
        <v>14385.756963379243</v>
      </c>
      <c r="AL86">
        <f t="shared" si="24"/>
        <v>34936.786929800721</v>
      </c>
      <c r="AM86">
        <f t="shared" si="25"/>
        <v>6165.2730030422317</v>
      </c>
      <c r="AO86">
        <f t="shared" si="26"/>
        <v>33566.766247884902</v>
      </c>
    </row>
    <row r="87" spans="1:41" ht="22.5" customHeight="1" x14ac:dyDescent="0.25">
      <c r="A87" s="1" t="s">
        <v>413</v>
      </c>
      <c r="B87" s="1" t="s">
        <v>393</v>
      </c>
      <c r="C87" s="1">
        <f t="shared" ref="C87:L87" si="28">C86*C9</f>
        <v>25108.223600454396</v>
      </c>
      <c r="D87" s="1">
        <f t="shared" si="28"/>
        <v>29086.402279538699</v>
      </c>
      <c r="E87" s="1">
        <f t="shared" si="28"/>
        <v>31494.378505778703</v>
      </c>
      <c r="F87" s="1">
        <f t="shared" si="28"/>
        <v>33566.834728674366</v>
      </c>
      <c r="G87" s="1">
        <f t="shared" si="28"/>
        <v>38351.042394960241</v>
      </c>
      <c r="H87" s="1">
        <f t="shared" si="28"/>
        <v>40805.116404323111</v>
      </c>
      <c r="I87" s="1">
        <f t="shared" si="28"/>
        <v>34464.298293599182</v>
      </c>
      <c r="J87" s="1">
        <f t="shared" si="28"/>
        <v>29520.163434424812</v>
      </c>
      <c r="K87" s="1">
        <f t="shared" si="28"/>
        <v>25199.71053627491</v>
      </c>
      <c r="L87" s="1">
        <f t="shared" si="28"/>
        <v>20183.807815993703</v>
      </c>
      <c r="M87" s="1">
        <f>M86*M9</f>
        <v>26994.901953717046</v>
      </c>
      <c r="T87">
        <v>2019</v>
      </c>
      <c r="U87" s="116">
        <v>0.17</v>
      </c>
      <c r="V87" s="116">
        <v>0.01</v>
      </c>
      <c r="W87" s="116">
        <v>0.24</v>
      </c>
      <c r="X87" s="116">
        <v>0.47</v>
      </c>
      <c r="Y87" s="116">
        <v>0.11</v>
      </c>
      <c r="Z87" s="116">
        <v>0</v>
      </c>
      <c r="AA87" s="12">
        <v>2019</v>
      </c>
      <c r="AB87" s="23">
        <v>201721</v>
      </c>
      <c r="AC87" s="23">
        <v>34292</v>
      </c>
      <c r="AD87" s="23">
        <v>2017</v>
      </c>
      <c r="AE87" s="23">
        <v>48413</v>
      </c>
      <c r="AF87" s="23">
        <v>94809</v>
      </c>
      <c r="AG87" s="23">
        <v>22189</v>
      </c>
      <c r="AH87">
        <v>0.35871667792186979</v>
      </c>
      <c r="AI87">
        <f t="shared" si="21"/>
        <v>12301.112319296759</v>
      </c>
      <c r="AJ87">
        <f t="shared" si="22"/>
        <v>723.53153936841136</v>
      </c>
      <c r="AK87">
        <f t="shared" si="23"/>
        <v>17366.550528231481</v>
      </c>
      <c r="AL87">
        <f t="shared" si="24"/>
        <v>34009.569517094555</v>
      </c>
      <c r="AM87">
        <f t="shared" si="25"/>
        <v>7959.5643664083691</v>
      </c>
      <c r="AO87">
        <f t="shared" si="26"/>
        <v>38350.758753305025</v>
      </c>
    </row>
    <row r="88" spans="1:41" ht="22.5" customHeight="1" x14ac:dyDescent="0.25">
      <c r="A88" s="1" t="s">
        <v>414</v>
      </c>
      <c r="B88" s="1" t="s">
        <v>415</v>
      </c>
      <c r="C88" s="1">
        <v>0.86599999999999999</v>
      </c>
      <c r="D88" s="1">
        <v>0.97</v>
      </c>
      <c r="E88" s="1">
        <v>0.95399999999999996</v>
      </c>
      <c r="F88" s="1">
        <v>0.93700000000000006</v>
      </c>
      <c r="G88" s="1">
        <v>0.92</v>
      </c>
      <c r="H88" s="1">
        <v>0.87758304475500004</v>
      </c>
      <c r="I88" s="1">
        <v>0.82</v>
      </c>
      <c r="J88" s="1">
        <v>0.95409999999999995</v>
      </c>
      <c r="K88" s="1">
        <v>1.02</v>
      </c>
      <c r="L88" s="828">
        <v>0.97222164425000002</v>
      </c>
      <c r="M88" s="828">
        <f t="shared" ref="M88" si="29">AVERAGE(H88:L88)</f>
        <v>0.92878093780099991</v>
      </c>
      <c r="T88">
        <v>2020</v>
      </c>
      <c r="U88" s="116">
        <v>0.2</v>
      </c>
      <c r="V88" s="116">
        <v>0.01</v>
      </c>
      <c r="W88" s="116">
        <v>0.25</v>
      </c>
      <c r="X88" s="116">
        <v>0.42</v>
      </c>
      <c r="Y88" s="116">
        <v>0.12</v>
      </c>
      <c r="Z88" s="116">
        <v>0</v>
      </c>
      <c r="AA88" s="12">
        <v>2020</v>
      </c>
      <c r="AB88" s="23">
        <v>196827</v>
      </c>
      <c r="AC88" s="23">
        <v>39365</v>
      </c>
      <c r="AD88" s="23">
        <v>1968</v>
      </c>
      <c r="AE88" s="23">
        <v>49207</v>
      </c>
      <c r="AF88" s="23">
        <v>82668</v>
      </c>
      <c r="AG88" s="23">
        <v>23619</v>
      </c>
      <c r="AH88">
        <v>0.35744064263561948</v>
      </c>
      <c r="AI88">
        <f t="shared" si="21"/>
        <v>14070.650897351161</v>
      </c>
      <c r="AJ88">
        <f t="shared" si="22"/>
        <v>703.44318470689916</v>
      </c>
      <c r="AK88">
        <f t="shared" si="23"/>
        <v>17588.581702170926</v>
      </c>
      <c r="AL88">
        <f t="shared" si="24"/>
        <v>29548.903045401392</v>
      </c>
      <c r="AM88">
        <f t="shared" si="25"/>
        <v>8442.3905384106965</v>
      </c>
      <c r="AO88">
        <f t="shared" si="26"/>
        <v>40805.066322639686</v>
      </c>
    </row>
    <row r="89" spans="1:41" ht="22.5" customHeight="1" x14ac:dyDescent="0.25">
      <c r="A89" s="1" t="s">
        <v>416</v>
      </c>
      <c r="B89" s="1" t="s">
        <v>393</v>
      </c>
      <c r="C89" s="1">
        <f t="shared" ref="C89:L89" si="30">C88*C$9*1000</f>
        <v>318.48738174253305</v>
      </c>
      <c r="D89" s="1">
        <f t="shared" si="30"/>
        <v>354.83204308726647</v>
      </c>
      <c r="E89" s="1">
        <f t="shared" si="30"/>
        <v>345.76535832328341</v>
      </c>
      <c r="F89" s="1">
        <f t="shared" si="30"/>
        <v>337.1971050578199</v>
      </c>
      <c r="G89" s="1">
        <f t="shared" si="30"/>
        <v>330.01934368812022</v>
      </c>
      <c r="H89" s="1">
        <f t="shared" si="30"/>
        <v>313.6838474833508</v>
      </c>
      <c r="I89" s="1">
        <f t="shared" si="30"/>
        <v>294.33655783733093</v>
      </c>
      <c r="J89" s="1">
        <f t="shared" si="30"/>
        <v>341.56182309949929</v>
      </c>
      <c r="K89" s="1">
        <f t="shared" si="30"/>
        <v>365.07832779877299</v>
      </c>
      <c r="L89" s="1">
        <f t="shared" si="30"/>
        <v>346.83943691060676</v>
      </c>
      <c r="M89" s="1">
        <f>M88*M$9*1000</f>
        <v>330.95589686969208</v>
      </c>
      <c r="T89">
        <v>2021</v>
      </c>
      <c r="U89" s="116">
        <v>0.2</v>
      </c>
      <c r="V89" s="116">
        <v>0.01</v>
      </c>
      <c r="W89" s="116">
        <v>0.28000000000000003</v>
      </c>
      <c r="X89" s="116">
        <v>0.39</v>
      </c>
      <c r="Y89" s="116">
        <v>0.12</v>
      </c>
      <c r="Z89" s="116">
        <v>0</v>
      </c>
      <c r="AA89" s="12">
        <v>2021</v>
      </c>
      <c r="AB89" s="23">
        <v>157401</v>
      </c>
      <c r="AC89" s="23">
        <v>31480</v>
      </c>
      <c r="AD89" s="23">
        <v>1574</v>
      </c>
      <c r="AE89" s="23">
        <v>44072</v>
      </c>
      <c r="AF89" s="23">
        <v>61386</v>
      </c>
      <c r="AG89" s="23">
        <v>18888</v>
      </c>
      <c r="AH89">
        <v>0.3589470217528426</v>
      </c>
      <c r="AI89">
        <f t="shared" si="21"/>
        <v>11299.652244779485</v>
      </c>
      <c r="AJ89">
        <f t="shared" si="22"/>
        <v>564.9826122389743</v>
      </c>
      <c r="AK89">
        <f t="shared" si="23"/>
        <v>15819.513142691279</v>
      </c>
      <c r="AL89">
        <f t="shared" si="24"/>
        <v>22034.321877319995</v>
      </c>
      <c r="AM89">
        <f t="shared" si="25"/>
        <v>6779.7913468676907</v>
      </c>
      <c r="AO89">
        <f t="shared" si="26"/>
        <v>34463.939346577434</v>
      </c>
    </row>
    <row r="90" spans="1:41" ht="22.5" customHeight="1" x14ac:dyDescent="0.25">
      <c r="A90" s="475" t="s">
        <v>417</v>
      </c>
      <c r="B90" s="475" t="s">
        <v>393</v>
      </c>
      <c r="C90" s="475">
        <f t="shared" ref="C90:L90" si="31">C91+C92</f>
        <v>1891</v>
      </c>
      <c r="D90" s="475">
        <f t="shared" si="31"/>
        <v>1906</v>
      </c>
      <c r="E90" s="475">
        <f t="shared" si="31"/>
        <v>1973</v>
      </c>
      <c r="F90" s="475">
        <f t="shared" si="31"/>
        <v>2112</v>
      </c>
      <c r="G90" s="475">
        <f t="shared" si="31"/>
        <v>1149</v>
      </c>
      <c r="H90" s="475">
        <f t="shared" si="31"/>
        <v>1184</v>
      </c>
      <c r="I90" s="475">
        <f t="shared" si="31"/>
        <v>431</v>
      </c>
      <c r="J90" s="475">
        <f t="shared" si="31"/>
        <v>631</v>
      </c>
      <c r="K90" s="475">
        <f t="shared" si="31"/>
        <v>150</v>
      </c>
      <c r="L90" s="475">
        <f t="shared" si="31"/>
        <v>412.54</v>
      </c>
      <c r="M90" s="475">
        <f t="shared" ref="M90" si="32">M91+M92</f>
        <v>528.63</v>
      </c>
      <c r="O90" t="s">
        <v>418</v>
      </c>
      <c r="T90">
        <v>2022</v>
      </c>
      <c r="U90" s="116">
        <v>0.2</v>
      </c>
      <c r="V90" s="116">
        <v>0.01</v>
      </c>
      <c r="W90" s="116">
        <v>0.3</v>
      </c>
      <c r="X90" s="116">
        <v>0.38</v>
      </c>
      <c r="Y90" s="116">
        <v>0.11</v>
      </c>
      <c r="Z90" s="116">
        <v>0</v>
      </c>
      <c r="AA90" s="12">
        <v>2022</v>
      </c>
      <c r="AB90" s="23">
        <v>133000</v>
      </c>
      <c r="AC90" s="23">
        <v>26600</v>
      </c>
      <c r="AD90" s="23">
        <v>1330</v>
      </c>
      <c r="AE90" s="23">
        <v>39900</v>
      </c>
      <c r="AF90" s="23">
        <v>50540</v>
      </c>
      <c r="AG90" s="23">
        <v>14630</v>
      </c>
      <c r="AH90">
        <v>0.35799373556178526</v>
      </c>
      <c r="AI90">
        <f t="shared" si="21"/>
        <v>9522.6333659434877</v>
      </c>
      <c r="AJ90">
        <f t="shared" si="22"/>
        <v>476.13166829717443</v>
      </c>
      <c r="AK90">
        <f t="shared" si="23"/>
        <v>14283.950048915232</v>
      </c>
      <c r="AL90">
        <f t="shared" si="24"/>
        <v>18093.003395292628</v>
      </c>
      <c r="AM90">
        <f t="shared" si="25"/>
        <v>5237.4483512689185</v>
      </c>
      <c r="AO90">
        <f t="shared" si="26"/>
        <v>29520.163434424812</v>
      </c>
    </row>
    <row r="91" spans="1:41" ht="22.5" customHeight="1" x14ac:dyDescent="0.25">
      <c r="A91" s="1" t="s">
        <v>419</v>
      </c>
      <c r="B91" s="1" t="s">
        <v>393</v>
      </c>
      <c r="C91" s="1">
        <v>1598</v>
      </c>
      <c r="D91" s="1">
        <v>1520</v>
      </c>
      <c r="E91" s="1">
        <v>1630</v>
      </c>
      <c r="F91" s="1">
        <v>1816</v>
      </c>
      <c r="G91" s="1">
        <v>981</v>
      </c>
      <c r="H91" s="1">
        <v>1000</v>
      </c>
      <c r="I91" s="1">
        <v>409</v>
      </c>
      <c r="J91" s="1">
        <v>533</v>
      </c>
      <c r="K91" s="1">
        <v>50</v>
      </c>
      <c r="L91" s="1">
        <v>358</v>
      </c>
      <c r="M91" s="1">
        <v>307</v>
      </c>
      <c r="N91" s="580"/>
      <c r="T91">
        <v>2023</v>
      </c>
      <c r="U91" s="116">
        <v>0.21</v>
      </c>
      <c r="V91" s="116">
        <v>0.01</v>
      </c>
      <c r="W91" s="116">
        <v>0.31</v>
      </c>
      <c r="X91" s="116">
        <v>0.43</v>
      </c>
      <c r="Y91" s="116">
        <v>0.04</v>
      </c>
      <c r="Z91" s="116">
        <v>0</v>
      </c>
      <c r="AA91" s="12">
        <v>2023</v>
      </c>
      <c r="AB91" s="23">
        <v>123519</v>
      </c>
      <c r="AC91" s="23">
        <v>25939</v>
      </c>
      <c r="AD91" s="23">
        <v>1235</v>
      </c>
      <c r="AE91" s="23">
        <v>38291</v>
      </c>
      <c r="AF91" s="23">
        <v>53113</v>
      </c>
      <c r="AG91" s="23">
        <v>4941</v>
      </c>
      <c r="AH91">
        <v>0.35791992921448329</v>
      </c>
      <c r="AI91">
        <f t="shared" si="21"/>
        <v>9284.0850438944817</v>
      </c>
      <c r="AJ91">
        <f t="shared" si="22"/>
        <v>442.03111257988684</v>
      </c>
      <c r="AK91">
        <f t="shared" si="23"/>
        <v>13705.11200955178</v>
      </c>
      <c r="AL91">
        <f t="shared" si="24"/>
        <v>19010.201200368851</v>
      </c>
      <c r="AM91">
        <f t="shared" si="25"/>
        <v>1768.482370248762</v>
      </c>
      <c r="AO91">
        <f t="shared" si="26"/>
        <v>25199.710536274913</v>
      </c>
    </row>
    <row r="92" spans="1:41" ht="22.5" customHeight="1" x14ac:dyDescent="0.25">
      <c r="A92" s="1" t="s">
        <v>420</v>
      </c>
      <c r="B92" s="1" t="s">
        <v>393</v>
      </c>
      <c r="C92" s="1">
        <f>258+35</f>
        <v>293</v>
      </c>
      <c r="D92" s="1">
        <f>298+88</f>
        <v>386</v>
      </c>
      <c r="E92" s="1">
        <f>283+60</f>
        <v>343</v>
      </c>
      <c r="F92" s="1">
        <f>233+63</f>
        <v>296</v>
      </c>
      <c r="G92" s="1">
        <f>141+27</f>
        <v>168</v>
      </c>
      <c r="H92" s="1">
        <f>175+9</f>
        <v>184</v>
      </c>
      <c r="I92" s="1">
        <f>14+8</f>
        <v>22</v>
      </c>
      <c r="J92" s="1">
        <f>16+82</f>
        <v>98</v>
      </c>
      <c r="K92" s="1">
        <v>100</v>
      </c>
      <c r="L92" s="1">
        <v>54.54</v>
      </c>
      <c r="M92" s="1">
        <v>221.63</v>
      </c>
      <c r="N92" s="580"/>
      <c r="T92">
        <v>2024</v>
      </c>
      <c r="U92" s="116">
        <v>0.11</v>
      </c>
      <c r="V92" s="116">
        <v>0.01</v>
      </c>
      <c r="W92" s="116">
        <v>0.33</v>
      </c>
      <c r="X92" s="116">
        <v>0.47</v>
      </c>
      <c r="Y92" s="116">
        <v>0.08</v>
      </c>
      <c r="Z92" s="116">
        <v>0</v>
      </c>
      <c r="AA92" s="828">
        <v>2024</v>
      </c>
      <c r="AB92" s="23">
        <v>106750</v>
      </c>
      <c r="AC92" s="23">
        <v>11743</v>
      </c>
      <c r="AD92" s="23">
        <v>1068</v>
      </c>
      <c r="AE92" s="23">
        <v>35228</v>
      </c>
      <c r="AF92" s="23">
        <v>50173</v>
      </c>
      <c r="AG92" s="23">
        <v>8540</v>
      </c>
      <c r="AH92">
        <v>0.35674934719044316</v>
      </c>
      <c r="AI92">
        <f t="shared" si="21"/>
        <v>4189.3075840573738</v>
      </c>
      <c r="AJ92">
        <f t="shared" si="22"/>
        <v>381.00830279939328</v>
      </c>
      <c r="AK92">
        <f t="shared" si="23"/>
        <v>12567.566002824931</v>
      </c>
      <c r="AL92">
        <f t="shared" si="24"/>
        <v>17899.184996586104</v>
      </c>
      <c r="AM92">
        <f t="shared" si="25"/>
        <v>3046.6394250063845</v>
      </c>
      <c r="AO92">
        <f t="shared" si="26"/>
        <v>20184.521314688085</v>
      </c>
    </row>
    <row r="93" spans="1:41" ht="22.5" customHeight="1" x14ac:dyDescent="0.25">
      <c r="A93" s="475" t="s">
        <v>421</v>
      </c>
      <c r="B93" s="475" t="s">
        <v>393</v>
      </c>
      <c r="C93" s="475">
        <f t="shared" ref="C93:I93" si="33">C97+C99+C101+C103</f>
        <v>3689.6360941186681</v>
      </c>
      <c r="D93" s="475">
        <f t="shared" si="33"/>
        <v>3763.5515067900023</v>
      </c>
      <c r="E93" s="475">
        <f t="shared" si="33"/>
        <v>3811.4648323477686</v>
      </c>
      <c r="F93" s="475">
        <f t="shared" si="33"/>
        <v>4188.8321547084288</v>
      </c>
      <c r="G93" s="475">
        <f t="shared" si="33"/>
        <v>4025.3280693076035</v>
      </c>
      <c r="H93" s="475">
        <f t="shared" si="33"/>
        <v>3842.9833591019683</v>
      </c>
      <c r="I93" s="475">
        <f t="shared" si="33"/>
        <v>3979.3309316641198</v>
      </c>
      <c r="J93" s="475">
        <f>J97+J99+J101+J103</f>
        <v>4011.4258030975056</v>
      </c>
      <c r="K93" s="475">
        <f>K97+K99+K101+K103</f>
        <v>3780.6092719927055</v>
      </c>
      <c r="L93" s="475">
        <f>L97+L99+L101+L103</f>
        <v>4734.2677504079657</v>
      </c>
      <c r="M93" s="475">
        <f>M97+M99+M101+M103</f>
        <v>4090.348662423562</v>
      </c>
      <c r="T93">
        <v>2025</v>
      </c>
      <c r="U93" s="116">
        <f>AVERAGE(U88:U92)</f>
        <v>0.184</v>
      </c>
      <c r="X93">
        <f>AVERAGE(X89:X92)</f>
        <v>0.41749999999999998</v>
      </c>
      <c r="AB93" s="23">
        <f t="shared" ref="AB93:AG93" si="34">AVERAGE(AB89:AB92)</f>
        <v>130167.5</v>
      </c>
      <c r="AC93" s="23">
        <f t="shared" si="34"/>
        <v>23940.5</v>
      </c>
      <c r="AD93" s="23">
        <f t="shared" si="34"/>
        <v>1301.75</v>
      </c>
      <c r="AE93" s="23">
        <f t="shared" si="34"/>
        <v>39372.75</v>
      </c>
      <c r="AF93" s="23">
        <f t="shared" si="34"/>
        <v>53803</v>
      </c>
      <c r="AG93" s="23">
        <f t="shared" si="34"/>
        <v>11749.75</v>
      </c>
      <c r="AH93">
        <v>0.35633364489861002</v>
      </c>
      <c r="AI93">
        <f t="shared" si="21"/>
        <v>8530.8056256951731</v>
      </c>
      <c r="AJ93">
        <f t="shared" si="22"/>
        <v>463.85732224676559</v>
      </c>
      <c r="AK93">
        <f t="shared" si="23"/>
        <v>14029.835517181747</v>
      </c>
      <c r="AL93">
        <f t="shared" si="24"/>
        <v>19171.819096479914</v>
      </c>
      <c r="AM93">
        <f t="shared" si="25"/>
        <v>4186.8312441474427</v>
      </c>
      <c r="AO93">
        <f>AM93+SUM(AI93:AK93)</f>
        <v>27211.329709271129</v>
      </c>
    </row>
    <row r="94" spans="1:41" ht="22.5" customHeight="1" x14ac:dyDescent="0.25">
      <c r="A94" s="1" t="s">
        <v>422</v>
      </c>
      <c r="B94" s="1" t="s">
        <v>357</v>
      </c>
      <c r="C94" s="1">
        <f>0.93*1000*C$9</f>
        <v>342.02455545098815</v>
      </c>
      <c r="D94" s="1">
        <f>0.96*1000*D$9</f>
        <v>351.17398078739774</v>
      </c>
      <c r="E94" s="1">
        <f>1.38*1000*E$9</f>
        <v>500.16372587644776</v>
      </c>
      <c r="F94" s="1">
        <f>1.58*1000*F$9</f>
        <v>568.59277053506457</v>
      </c>
      <c r="G94" s="1">
        <f>1.14*1000*G$9</f>
        <v>408.93701283093156</v>
      </c>
      <c r="H94" s="1">
        <f>1.1*1000*H$9</f>
        <v>393.18470689918144</v>
      </c>
      <c r="I94" s="1">
        <f>1.06*1000*I$9</f>
        <v>380.48384305801318</v>
      </c>
      <c r="J94" s="1">
        <f>1*1000*J$9</f>
        <v>357.99373556178529</v>
      </c>
      <c r="K94" s="1">
        <f>0.97*1000*K$9</f>
        <v>347.18233133804881</v>
      </c>
      <c r="L94" s="1">
        <f>1.01*1000*L$9</f>
        <v>360.3168406623476</v>
      </c>
      <c r="M94" s="1">
        <f>AVERAGE(G94:L94)</f>
        <v>374.68307839171803</v>
      </c>
      <c r="O94" s="16" t="s">
        <v>423</v>
      </c>
      <c r="AB94">
        <f>AB93*(1-X93)</f>
        <v>75822.568750000006</v>
      </c>
      <c r="AF94" s="23">
        <f>AB93-AF93</f>
        <v>76364.5</v>
      </c>
    </row>
    <row r="95" spans="1:41" ht="22.5" customHeight="1" x14ac:dyDescent="0.25">
      <c r="A95" s="1" t="s">
        <v>424</v>
      </c>
      <c r="B95" s="1" t="s">
        <v>357</v>
      </c>
      <c r="C95" s="1">
        <f>0.371*1000*C$9</f>
        <v>136.44205384120065</v>
      </c>
      <c r="D95" s="1">
        <f>0.4*1000*D$9</f>
        <v>146.32249199474904</v>
      </c>
      <c r="E95" s="1">
        <f>0.12*1000*E$9</f>
        <v>43.492497902299803</v>
      </c>
      <c r="F95" s="1">
        <f>0.081*1000*F$9</f>
        <v>29.149376210974829</v>
      </c>
      <c r="G95" s="1">
        <f>0.59*1000*G$9</f>
        <v>211.64283997390316</v>
      </c>
      <c r="H95" s="1">
        <f>0.411*1000*H$9</f>
        <v>146.90810412323961</v>
      </c>
      <c r="I95" s="1">
        <f>0.458*1000*I$9</f>
        <v>164.3977359628019</v>
      </c>
      <c r="J95" s="1">
        <f>0.575*1000*J$9</f>
        <v>205.84639794802652</v>
      </c>
      <c r="K95" s="1">
        <f>0.635*1000*K$9</f>
        <v>227.27915505119688</v>
      </c>
      <c r="L95" s="1">
        <f>0.627*1000*L$9</f>
        <v>223.68184068840785</v>
      </c>
      <c r="M95" s="1">
        <f>AVERAGE(G95:L95)</f>
        <v>196.62601229126264</v>
      </c>
      <c r="AF95">
        <f>AB94*AH93</f>
        <v>27018.132288262947</v>
      </c>
      <c r="AM95">
        <f>M87-AM93</f>
        <v>22808.070709569605</v>
      </c>
    </row>
    <row r="96" spans="1:41" ht="22.5" customHeight="1" x14ac:dyDescent="0.25">
      <c r="A96" s="1" t="s">
        <v>425</v>
      </c>
      <c r="B96" s="1" t="s">
        <v>426</v>
      </c>
      <c r="C96" s="1">
        <f t="shared" ref="C96:L96" si="35">(C94+C95)*47.3/1000</f>
        <v>22.631470619520524</v>
      </c>
      <c r="D96" s="1">
        <f t="shared" si="35"/>
        <v>23.531583162595538</v>
      </c>
      <c r="E96" s="1">
        <f t="shared" si="35"/>
        <v>25.714939384734755</v>
      </c>
      <c r="F96" s="1">
        <f t="shared" si="35"/>
        <v>28.273203541087664</v>
      </c>
      <c r="G96" s="1">
        <f t="shared" si="35"/>
        <v>29.353427037668681</v>
      </c>
      <c r="H96" s="1">
        <f t="shared" si="35"/>
        <v>25.546389961360514</v>
      </c>
      <c r="I96" s="1">
        <f t="shared" si="35"/>
        <v>25.772898687684549</v>
      </c>
      <c r="J96" s="1">
        <f t="shared" si="35"/>
        <v>26.669638315014097</v>
      </c>
      <c r="K96" s="1">
        <f t="shared" si="35"/>
        <v>27.17202830621132</v>
      </c>
      <c r="L96" s="1">
        <f t="shared" si="35"/>
        <v>27.623137627890731</v>
      </c>
      <c r="M96" s="1">
        <f t="shared" ref="M96" si="36">(M94+M95)*47.3/1000</f>
        <v>27.022919989304985</v>
      </c>
      <c r="AC96">
        <v>0.61999755095679665</v>
      </c>
      <c r="AD96">
        <f>AF83/AB83</f>
        <v>0.61999755095679665</v>
      </c>
    </row>
    <row r="97" spans="1:32" ht="22.5" customHeight="1" x14ac:dyDescent="0.25">
      <c r="A97" s="1" t="s">
        <v>427</v>
      </c>
      <c r="B97" s="1" t="s">
        <v>393</v>
      </c>
      <c r="C97" s="1">
        <f t="shared" ref="C97:J97" si="37">C96*(63100+5*28+0.1*265)/1000</f>
        <v>1431.8139359498953</v>
      </c>
      <c r="D97" s="1">
        <f t="shared" si="37"/>
        <v>1488.7609061563505</v>
      </c>
      <c r="E97" s="1">
        <f t="shared" si="37"/>
        <v>1626.8942125843214</v>
      </c>
      <c r="F97" s="1">
        <f t="shared" si="37"/>
        <v>1788.7466318322226</v>
      </c>
      <c r="G97" s="1">
        <f t="shared" si="37"/>
        <v>1857.0885916786656</v>
      </c>
      <c r="H97" s="1">
        <f t="shared" si="37"/>
        <v>1616.2306804904151</v>
      </c>
      <c r="I97" s="1">
        <f t="shared" si="37"/>
        <v>1630.5610948243943</v>
      </c>
      <c r="J97" s="1">
        <f t="shared" si="37"/>
        <v>1687.2946724568394</v>
      </c>
      <c r="K97" s="1">
        <f>K96*(63100+5*29.6+0.1*273)/1000</f>
        <v>1719.3182426840133</v>
      </c>
      <c r="L97" s="1">
        <f>L96*(63100+5*29.6+0.1*273)/1000</f>
        <v>1747.8623203460745</v>
      </c>
      <c r="M97" s="1">
        <f>M96*(63100+5*29.6+0.1*273)/1000</f>
        <v>1709.8833691992697</v>
      </c>
      <c r="AC97">
        <v>0.610002893844939</v>
      </c>
      <c r="AD97">
        <f t="shared" ref="AD97:AD105" si="38">AF84/AB84</f>
        <v>0.610002893844939</v>
      </c>
    </row>
    <row r="98" spans="1:32" ht="22.5" customHeight="1" x14ac:dyDescent="0.25">
      <c r="A98" s="1" t="s">
        <v>428</v>
      </c>
      <c r="B98" s="1" t="s">
        <v>415</v>
      </c>
      <c r="C98" s="1">
        <v>2.5370110655999998</v>
      </c>
      <c r="D98" s="1">
        <v>2.3699897671999999</v>
      </c>
      <c r="E98" s="1">
        <v>2.0833185824</v>
      </c>
      <c r="F98" s="1">
        <v>2.4789867607999998</v>
      </c>
      <c r="G98" s="1">
        <v>2.0695284279999999</v>
      </c>
      <c r="H98" s="1">
        <v>2.11</v>
      </c>
      <c r="I98" s="1">
        <v>2.0920999999999998</v>
      </c>
      <c r="J98" s="1">
        <v>2.2221000000000002</v>
      </c>
      <c r="K98" s="1">
        <v>2.04</v>
      </c>
      <c r="L98" s="1">
        <v>2.014607952</v>
      </c>
      <c r="M98" s="1">
        <f>AVERAGE(H98:L98)</f>
        <v>2.0957615904</v>
      </c>
      <c r="AC98">
        <v>0.54000158809983856</v>
      </c>
      <c r="AD98">
        <f t="shared" si="38"/>
        <v>0.54000158809983856</v>
      </c>
    </row>
    <row r="99" spans="1:32" ht="22.5" customHeight="1" x14ac:dyDescent="0.25">
      <c r="A99" s="1" t="s">
        <v>429</v>
      </c>
      <c r="B99" s="1" t="s">
        <v>393</v>
      </c>
      <c r="C99" s="1">
        <f t="shared" ref="C99:K99" si="39">C98*C$9*1000</f>
        <v>933.03234611406208</v>
      </c>
      <c r="D99" s="1">
        <f t="shared" si="39"/>
        <v>866.95702184689787</v>
      </c>
      <c r="E99" s="1">
        <f t="shared" si="39"/>
        <v>755.07274229045163</v>
      </c>
      <c r="F99" s="1">
        <f t="shared" si="39"/>
        <v>892.11009521709946</v>
      </c>
      <c r="G99" s="1">
        <f t="shared" si="39"/>
        <v>742.37436255702949</v>
      </c>
      <c r="H99" s="1">
        <f t="shared" si="39"/>
        <v>754.19975596115705</v>
      </c>
      <c r="I99" s="1">
        <f t="shared" si="39"/>
        <v>750.95306420912198</v>
      </c>
      <c r="J99" s="1">
        <f t="shared" si="39"/>
        <v>795.49787979184305</v>
      </c>
      <c r="K99" s="1">
        <f t="shared" si="39"/>
        <v>730.15665559754598</v>
      </c>
      <c r="L99" s="1">
        <f>L98*L$9*1000</f>
        <v>718.71007172067561</v>
      </c>
      <c r="M99" s="1">
        <f t="shared" ref="M99" si="40">M98*M$9*1000</f>
        <v>746.79036632478301</v>
      </c>
      <c r="AC99">
        <v>0.50999963226989287</v>
      </c>
      <c r="AD99">
        <f t="shared" si="38"/>
        <v>0.50999963226989287</v>
      </c>
    </row>
    <row r="100" spans="1:32" ht="22.5" customHeight="1" x14ac:dyDescent="0.25">
      <c r="A100" s="1" t="s">
        <v>430</v>
      </c>
      <c r="B100" s="1" t="s">
        <v>415</v>
      </c>
      <c r="C100" s="1">
        <v>0.34289573559999997</v>
      </c>
      <c r="D100" s="1">
        <v>0.34325811555199998</v>
      </c>
      <c r="E100" s="1">
        <v>0.34718623121600001</v>
      </c>
      <c r="F100" s="1">
        <v>0.327266005616</v>
      </c>
      <c r="G100" s="1">
        <v>0.285931967904</v>
      </c>
      <c r="H100" s="1">
        <v>0.33971316913600003</v>
      </c>
      <c r="I100" s="1">
        <v>0.33889999999999998</v>
      </c>
      <c r="J100" s="1">
        <v>0.32</v>
      </c>
      <c r="K100" s="1">
        <v>0.28000000000000003</v>
      </c>
      <c r="L100">
        <v>0.29411999999999999</v>
      </c>
      <c r="M100">
        <f t="shared" ref="L100:M102" si="41">AVERAGE(H100:L100)</f>
        <v>0.3145466338272</v>
      </c>
      <c r="AC100">
        <v>0.47000064445446932</v>
      </c>
      <c r="AD100">
        <f t="shared" si="38"/>
        <v>0.47000064445446932</v>
      </c>
    </row>
    <row r="101" spans="1:32" ht="22.5" customHeight="1" x14ac:dyDescent="0.25">
      <c r="A101" s="1" t="s">
        <v>431</v>
      </c>
      <c r="B101" s="1" t="s">
        <v>393</v>
      </c>
      <c r="C101" s="1">
        <f t="shared" ref="C101:J101" si="42">C100*C$9*1000</f>
        <v>126.10619519852642</v>
      </c>
      <c r="D101" s="1">
        <f t="shared" si="42"/>
        <v>125.5659571624754</v>
      </c>
      <c r="E101" s="1">
        <f t="shared" si="42"/>
        <v>125.83330360724379</v>
      </c>
      <c r="F101" s="1">
        <f t="shared" si="42"/>
        <v>117.77283850325659</v>
      </c>
      <c r="G101" s="1">
        <f t="shared" si="42"/>
        <v>102.56856563818558</v>
      </c>
      <c r="H101" s="1">
        <f t="shared" si="42"/>
        <v>121.42729348775474</v>
      </c>
      <c r="I101" s="1">
        <f t="shared" si="42"/>
        <v>121.64714567203835</v>
      </c>
      <c r="J101" s="1">
        <f t="shared" si="42"/>
        <v>114.5579953797713</v>
      </c>
      <c r="K101" s="1">
        <f>K100*L$9*1000</f>
        <v>99.889817213324093</v>
      </c>
      <c r="L101">
        <f t="shared" si="41"/>
        <v>112.01816347821482</v>
      </c>
      <c r="M101">
        <f t="shared" si="41"/>
        <v>113.90808304622064</v>
      </c>
      <c r="AC101">
        <v>0.42000335319849413</v>
      </c>
      <c r="AD101">
        <f t="shared" si="38"/>
        <v>0.42000335319849413</v>
      </c>
    </row>
    <row r="102" spans="1:32" ht="22.5" customHeight="1" x14ac:dyDescent="0.25">
      <c r="A102" s="1" t="s">
        <v>432</v>
      </c>
      <c r="B102" s="1" t="s">
        <v>415</v>
      </c>
      <c r="C102" s="1">
        <v>3.2593442368672201</v>
      </c>
      <c r="D102" s="1">
        <v>3.5053192551430699</v>
      </c>
      <c r="E102" s="1">
        <v>3.5969364007400002</v>
      </c>
      <c r="F102" s="1">
        <v>3.8630812853973602</v>
      </c>
      <c r="G102" s="1">
        <v>3.6889741427688598</v>
      </c>
      <c r="H102" s="1">
        <v>3.78</v>
      </c>
      <c r="I102" s="1">
        <f>1.9975+0.008+0.9013+0.1139+0.0047+0.0087+0.1882+0.0907+0.0514+0.7481</f>
        <v>4.1125000000000007</v>
      </c>
      <c r="J102" s="1">
        <f>2.04+0.01+0.8+0.1+0+0.01+0.2+0+0.06+0.11+0.62</f>
        <v>3.9499999999999997</v>
      </c>
      <c r="K102" s="1">
        <f>1.49+0.01+0.77+0.12+0+0.01+0.1+0+0.07+0.14+0.73</f>
        <v>3.44</v>
      </c>
      <c r="L102" s="1">
        <v>6.042554</v>
      </c>
      <c r="M102" s="1">
        <f t="shared" si="41"/>
        <v>4.2650107999999998</v>
      </c>
      <c r="AC102">
        <v>0.38999752225208228</v>
      </c>
      <c r="AD102">
        <f t="shared" si="38"/>
        <v>0.38999752225208228</v>
      </c>
    </row>
    <row r="103" spans="1:32" ht="22.5" customHeight="1" x14ac:dyDescent="0.25">
      <c r="A103" s="1" t="s">
        <v>433</v>
      </c>
      <c r="B103" s="1" t="s">
        <v>393</v>
      </c>
      <c r="C103" s="1">
        <f t="shared" ref="C103:L103" si="43">C102*C$9*1000</f>
        <v>1198.683616856184</v>
      </c>
      <c r="D103" s="1">
        <f t="shared" si="43"/>
        <v>1282.2676216242787</v>
      </c>
      <c r="E103" s="1">
        <f t="shared" si="43"/>
        <v>1303.6645738657521</v>
      </c>
      <c r="F103" s="1">
        <f t="shared" si="43"/>
        <v>1390.2025891558503</v>
      </c>
      <c r="G103" s="1">
        <f t="shared" si="43"/>
        <v>1323.2965494337227</v>
      </c>
      <c r="H103" s="1">
        <f t="shared" si="43"/>
        <v>1351.1256291626414</v>
      </c>
      <c r="I103" s="1">
        <f t="shared" si="43"/>
        <v>1476.1696269585655</v>
      </c>
      <c r="J103" s="1">
        <f t="shared" si="43"/>
        <v>1414.0752554690516</v>
      </c>
      <c r="K103" s="1">
        <f t="shared" si="43"/>
        <v>1231.2445564978225</v>
      </c>
      <c r="L103" s="1">
        <f t="shared" si="43"/>
        <v>2155.6771948630012</v>
      </c>
      <c r="M103" s="1">
        <f t="shared" ref="M103" si="44">M102*M$9*1000</f>
        <v>1519.766843853288</v>
      </c>
      <c r="AC103">
        <v>0.38</v>
      </c>
      <c r="AD103">
        <f>AF90/AB90</f>
        <v>0.38</v>
      </c>
    </row>
    <row r="104" spans="1:32" ht="22.5" customHeight="1" x14ac:dyDescent="0.25">
      <c r="A104" s="21" t="s">
        <v>434</v>
      </c>
      <c r="B104" s="21" t="s">
        <v>4</v>
      </c>
      <c r="C104" s="21">
        <f t="shared" ref="C104:K104" si="45">C81+C90+C93</f>
        <v>31007.347076315596</v>
      </c>
      <c r="D104" s="21">
        <f t="shared" si="45"/>
        <v>35110.785829415967</v>
      </c>
      <c r="E104" s="21">
        <f t="shared" si="45"/>
        <v>37624.608696449752</v>
      </c>
      <c r="F104" s="21">
        <f t="shared" si="45"/>
        <v>40204.863988440615</v>
      </c>
      <c r="G104" s="21">
        <f t="shared" si="45"/>
        <v>43855.389807955966</v>
      </c>
      <c r="H104" s="21">
        <f t="shared" si="45"/>
        <v>46145.783610908431</v>
      </c>
      <c r="I104" s="21">
        <f t="shared" si="45"/>
        <v>39168.965783100633</v>
      </c>
      <c r="J104" s="21">
        <f t="shared" si="45"/>
        <v>34504.151060621814</v>
      </c>
      <c r="K104" s="21">
        <f t="shared" si="45"/>
        <v>29495.398136066389</v>
      </c>
      <c r="L104" s="21">
        <f>L81+L90+L93</f>
        <v>25677.455003312276</v>
      </c>
      <c r="M104" s="21">
        <f>M81+M90+M93</f>
        <v>31944.836513010301</v>
      </c>
      <c r="AC104">
        <v>0.42999862369352082</v>
      </c>
      <c r="AD104">
        <f t="shared" si="38"/>
        <v>0.42999862369352082</v>
      </c>
    </row>
    <row r="105" spans="1:32" ht="22.5" customHeight="1" x14ac:dyDescent="0.25">
      <c r="A105" s="1"/>
      <c r="B105" s="1"/>
      <c r="C105" s="1"/>
      <c r="D105" s="1"/>
      <c r="E105" s="1"/>
      <c r="F105" s="1"/>
      <c r="G105" s="1"/>
      <c r="H105" s="1"/>
      <c r="I105" s="1"/>
      <c r="J105" s="1"/>
      <c r="K105" s="1"/>
      <c r="L105" s="1"/>
      <c r="M105" s="1"/>
      <c r="AC105">
        <v>0.47000468384074939</v>
      </c>
      <c r="AD105">
        <f t="shared" si="38"/>
        <v>0.47000468384074939</v>
      </c>
    </row>
    <row r="106" spans="1:32" ht="22.5" customHeight="1" x14ac:dyDescent="0.25">
      <c r="A106" s="6" t="s">
        <v>19</v>
      </c>
      <c r="B106" s="6" t="s">
        <v>2</v>
      </c>
      <c r="C106" s="6">
        <v>2015</v>
      </c>
      <c r="D106" s="6">
        <v>2016</v>
      </c>
      <c r="E106" s="6">
        <v>2017</v>
      </c>
      <c r="F106" s="6">
        <v>2018</v>
      </c>
      <c r="G106" s="6">
        <v>2019</v>
      </c>
      <c r="H106" s="6">
        <v>2020</v>
      </c>
      <c r="I106" s="6">
        <v>2021</v>
      </c>
      <c r="J106" s="6">
        <v>2022</v>
      </c>
      <c r="K106" s="6">
        <v>2023</v>
      </c>
      <c r="L106" s="6">
        <v>2024</v>
      </c>
      <c r="M106" s="6">
        <v>2025</v>
      </c>
      <c r="O106" s="5">
        <v>1</v>
      </c>
    </row>
    <row r="107" spans="1:32" ht="22.5" customHeight="1" x14ac:dyDescent="0.25">
      <c r="A107" s="13" t="s">
        <v>435</v>
      </c>
      <c r="B107" s="13" t="s">
        <v>393</v>
      </c>
      <c r="C107" s="13">
        <f t="shared" ref="C107:L107" si="46">C110*$O$109</f>
        <v>3492.0400000000009</v>
      </c>
      <c r="D107" s="13">
        <f t="shared" si="46"/>
        <v>4576.1000000000004</v>
      </c>
      <c r="E107" s="13">
        <f t="shared" si="46"/>
        <v>5335.88</v>
      </c>
      <c r="F107" s="13">
        <f t="shared" si="46"/>
        <v>6411.9000000000005</v>
      </c>
      <c r="G107" s="13">
        <f t="shared" si="46"/>
        <v>6745.56</v>
      </c>
      <c r="H107" s="13">
        <f t="shared" si="46"/>
        <v>7077.880000000001</v>
      </c>
      <c r="I107" s="13">
        <f t="shared" si="46"/>
        <v>7269.5</v>
      </c>
      <c r="J107" s="13">
        <f t="shared" si="46"/>
        <v>7396.8</v>
      </c>
      <c r="K107" s="13">
        <f t="shared" si="46"/>
        <v>8348.2000000000007</v>
      </c>
      <c r="L107" s="13">
        <f t="shared" si="46"/>
        <v>9018.2000000000007</v>
      </c>
      <c r="M107" s="13">
        <f t="shared" ref="M107" si="47">M110*$O$109</f>
        <v>9402.3333333333321</v>
      </c>
      <c r="N107" s="580"/>
      <c r="Q107" s="497"/>
    </row>
    <row r="108" spans="1:32" ht="22.5" customHeight="1" x14ac:dyDescent="0.25">
      <c r="A108" s="12" t="s">
        <v>436</v>
      </c>
      <c r="B108" s="12"/>
      <c r="C108" s="12">
        <v>926</v>
      </c>
      <c r="D108" s="12">
        <v>922</v>
      </c>
      <c r="E108" s="12">
        <v>923</v>
      </c>
      <c r="F108" s="12">
        <v>1417</v>
      </c>
      <c r="G108" s="12">
        <v>846</v>
      </c>
      <c r="H108" s="12">
        <v>1174</v>
      </c>
      <c r="I108" s="12">
        <v>1065</v>
      </c>
      <c r="J108" s="12">
        <f>913+105</f>
        <v>1018</v>
      </c>
      <c r="K108" s="12">
        <v>2127</v>
      </c>
      <c r="L108" s="828"/>
      <c r="M108" s="828"/>
      <c r="Q108" s="497"/>
      <c r="W108">
        <v>0.61999755095679665</v>
      </c>
      <c r="X108">
        <v>0.610002893844939</v>
      </c>
      <c r="Y108">
        <v>0.54000158809983856</v>
      </c>
      <c r="Z108">
        <v>0.50999963226989287</v>
      </c>
      <c r="AA108">
        <v>0.47000064445446932</v>
      </c>
      <c r="AB108">
        <v>0.42000335319849413</v>
      </c>
      <c r="AC108">
        <v>0.38999752225208228</v>
      </c>
      <c r="AD108">
        <v>0.38</v>
      </c>
      <c r="AE108">
        <v>0.42999862369352082</v>
      </c>
      <c r="AF108">
        <v>0.47000468384074939</v>
      </c>
    </row>
    <row r="109" spans="1:32" ht="22.5" customHeight="1" x14ac:dyDescent="0.25">
      <c r="A109" s="12" t="s">
        <v>437</v>
      </c>
      <c r="B109" s="12"/>
      <c r="C109" s="12">
        <f>AVERAGE(Byggingariðnaður!AJ44:AM44,C108)</f>
        <v>521.20000000000005</v>
      </c>
      <c r="D109" s="12">
        <f>AVERAGE(Byggingariðnaður!AK44:AM44,C108:D108)</f>
        <v>683</v>
      </c>
      <c r="E109" s="12">
        <f>AVERAGE(Byggingariðnaður!AL44:AM44,C108:E108)</f>
        <v>796.4</v>
      </c>
      <c r="F109" s="12">
        <f>AVERAGE(Byggingariðnaður!AM44,C108:F108)</f>
        <v>957</v>
      </c>
      <c r="G109" s="12">
        <f t="shared" ref="G109:M109" si="48">AVERAGE(C108:G108)</f>
        <v>1006.8</v>
      </c>
      <c r="H109" s="12">
        <f t="shared" si="48"/>
        <v>1056.4000000000001</v>
      </c>
      <c r="I109" s="12">
        <f t="shared" si="48"/>
        <v>1085</v>
      </c>
      <c r="J109" s="12">
        <f t="shared" si="48"/>
        <v>1104</v>
      </c>
      <c r="K109" s="12">
        <f t="shared" si="48"/>
        <v>1246</v>
      </c>
      <c r="L109" s="12">
        <f t="shared" si="48"/>
        <v>1346</v>
      </c>
      <c r="M109" s="12">
        <f t="shared" si="48"/>
        <v>1403.3333333333333</v>
      </c>
      <c r="O109">
        <v>6.7000000000000004E-2</v>
      </c>
      <c r="Q109" s="497"/>
    </row>
    <row r="110" spans="1:32" ht="22.5" customHeight="1" x14ac:dyDescent="0.25">
      <c r="A110" s="15" t="s">
        <v>437</v>
      </c>
      <c r="B110" s="15" t="s">
        <v>438</v>
      </c>
      <c r="C110" s="15">
        <f t="shared" ref="C110:L110" si="49">C109*$O$110</f>
        <v>52120.000000000007</v>
      </c>
      <c r="D110" s="15">
        <f t="shared" si="49"/>
        <v>68300</v>
      </c>
      <c r="E110" s="15">
        <f t="shared" si="49"/>
        <v>79640</v>
      </c>
      <c r="F110" s="15">
        <f t="shared" si="49"/>
        <v>95700</v>
      </c>
      <c r="G110" s="15">
        <f t="shared" si="49"/>
        <v>100680</v>
      </c>
      <c r="H110" s="15">
        <f t="shared" si="49"/>
        <v>105640.00000000001</v>
      </c>
      <c r="I110" s="15">
        <f t="shared" si="49"/>
        <v>108500</v>
      </c>
      <c r="J110" s="15">
        <f t="shared" si="49"/>
        <v>110400</v>
      </c>
      <c r="K110" s="15">
        <f t="shared" si="49"/>
        <v>124600</v>
      </c>
      <c r="L110" s="15">
        <f t="shared" si="49"/>
        <v>134600</v>
      </c>
      <c r="M110" s="15">
        <f t="shared" ref="M110" si="50">M109*$O$110</f>
        <v>140333.33333333331</v>
      </c>
      <c r="O110">
        <v>100</v>
      </c>
    </row>
    <row r="111" spans="1:32" ht="22.5" customHeight="1" x14ac:dyDescent="0.25">
      <c r="A111" s="1" t="s">
        <v>439</v>
      </c>
      <c r="B111" s="1" t="s">
        <v>438</v>
      </c>
      <c r="C111" s="1"/>
      <c r="D111" s="1"/>
      <c r="E111" s="1"/>
      <c r="F111" s="1"/>
      <c r="G111" s="1"/>
      <c r="H111" s="1"/>
      <c r="I111" s="1">
        <f>2782*O110</f>
        <v>278200</v>
      </c>
      <c r="J111" s="1"/>
      <c r="K111" s="1"/>
      <c r="L111" s="1"/>
      <c r="M111" s="1"/>
    </row>
    <row r="112" spans="1:32" ht="22.5" customHeight="1" x14ac:dyDescent="0.25">
      <c r="A112" s="1" t="s">
        <v>440</v>
      </c>
      <c r="B112" s="1"/>
      <c r="C112" s="1">
        <f>_xlfn.XLOOKUP(C106,Byggingariðnaður!$AJ$53:$AR$53,Byggingariðnaður!$AJ$54:$AR$54,0,0,1)</f>
        <v>947</v>
      </c>
      <c r="D112" s="1">
        <f>_xlfn.XLOOKUP(D106,Byggingariðnaður!$AJ$53:$AR$53,Byggingariðnaður!$AJ$54:$AR$54,0,0,1)</f>
        <v>1184.5</v>
      </c>
      <c r="E112" s="1">
        <f>_xlfn.XLOOKUP(E106,Byggingariðnaður!$AJ$53:$AR$53,Byggingariðnaður!$AJ$54:$AR$54,0,0,1)</f>
        <v>1368.5</v>
      </c>
      <c r="F112" s="1">
        <f>_xlfn.XLOOKUP(F106,Byggingariðnaður!$AJ$53:$AR$53,Byggingariðnaður!$AJ$54:$AR$54,0,0,1)</f>
        <v>2040.5</v>
      </c>
      <c r="G112" s="1">
        <f>_xlfn.XLOOKUP(G106,Byggingariðnaður!$AJ$53:$AR$53,Byggingariðnaður!$AJ$54:$AR$54,0,0,1)</f>
        <v>2688.5</v>
      </c>
      <c r="H112" s="1">
        <f>_xlfn.XLOOKUP(H106,Byggingariðnaður!$AJ$53:$AR$53,Byggingariðnaður!$AJ$54:$AR$54,0,0,1)</f>
        <v>2527.5</v>
      </c>
      <c r="I112" s="1">
        <f>_xlfn.XLOOKUP(I106,Byggingariðnaður!$AJ$53:$AR$53,Byggingariðnaður!$AJ$54:$AR$54,0,0,1)</f>
        <v>2462</v>
      </c>
      <c r="J112" s="1">
        <f>_xlfn.XLOOKUP(J106,Byggingariðnaður!$AJ$53:$AR$53,Byggingariðnaður!$AJ$54:$AR$54,0,0,1)</f>
        <v>2535</v>
      </c>
      <c r="K112" s="1">
        <f>_xlfn.XLOOKUP(K106,Byggingariðnaður!$AJ$53:$AR$53,Byggingariðnaður!$AJ$54:$AR$54,0,0,1)</f>
        <v>2331</v>
      </c>
      <c r="L112" s="1">
        <v>1630</v>
      </c>
      <c r="M112" s="1">
        <v>2020</v>
      </c>
    </row>
    <row r="113" spans="1:31" ht="22.5" customHeight="1" x14ac:dyDescent="0.25">
      <c r="A113" s="1" t="s">
        <v>441</v>
      </c>
      <c r="B113" s="1"/>
      <c r="C113" s="1">
        <v>100</v>
      </c>
      <c r="D113" s="1">
        <v>100</v>
      </c>
      <c r="E113" s="1">
        <v>100</v>
      </c>
      <c r="F113" s="1">
        <v>100</v>
      </c>
      <c r="G113" s="1">
        <v>100</v>
      </c>
      <c r="H113" s="1">
        <v>100</v>
      </c>
      <c r="I113" s="1">
        <v>100</v>
      </c>
      <c r="J113" s="1">
        <v>100</v>
      </c>
      <c r="K113" s="1">
        <v>100</v>
      </c>
      <c r="L113" s="1">
        <v>100</v>
      </c>
      <c r="M113" s="1">
        <f>Byggingariðnaður!X163</f>
        <v>95.69581958195819</v>
      </c>
    </row>
    <row r="114" spans="1:31" ht="22.5" customHeight="1" x14ac:dyDescent="0.25">
      <c r="A114" s="1" t="s">
        <v>437</v>
      </c>
      <c r="B114" s="1" t="s">
        <v>438</v>
      </c>
      <c r="C114" s="1">
        <f>AVERAGE(Byggingariðnaður!AJ43:AM43,C112)*$O$110</f>
        <v>75050</v>
      </c>
      <c r="D114" s="1">
        <f>AVERAGE(Byggingariðnaður!AK43:AM43,C112:D112)*$O$110</f>
        <v>88930</v>
      </c>
      <c r="E114" s="1">
        <f>AVERAGE(Byggingariðnaður!AL43:AM43,C112:E112)*$O$110</f>
        <v>108780</v>
      </c>
      <c r="F114" s="1">
        <f>AVERAGE(Byggingariðnaður!AM43,C112:F112)*$O$110</f>
        <v>140290</v>
      </c>
      <c r="G114" s="1">
        <f t="shared" ref="G114:M114" si="51">AVERAGE(C112:G112)*$O$110</f>
        <v>164580</v>
      </c>
      <c r="H114" s="1">
        <f t="shared" si="51"/>
        <v>196190</v>
      </c>
      <c r="I114" s="1">
        <f t="shared" si="51"/>
        <v>221740</v>
      </c>
      <c r="J114" s="1">
        <f t="shared" si="51"/>
        <v>245069.99999999997</v>
      </c>
      <c r="K114" s="1">
        <f t="shared" si="51"/>
        <v>250880.00000000003</v>
      </c>
      <c r="L114" s="1">
        <f t="shared" si="51"/>
        <v>229710</v>
      </c>
      <c r="M114" s="1">
        <f t="shared" si="51"/>
        <v>219560</v>
      </c>
      <c r="O114">
        <v>76957.18912000001</v>
      </c>
    </row>
    <row r="115" spans="1:31" ht="22.5" customHeight="1" x14ac:dyDescent="0.25">
      <c r="A115" s="1" t="s">
        <v>269</v>
      </c>
      <c r="B115" s="1" t="s">
        <v>393</v>
      </c>
      <c r="C115" s="1">
        <f>IF($O$106=1,C114,C110)*Byggingariðnaður!$R$68</f>
        <v>23021.512449999998</v>
      </c>
      <c r="D115" s="1">
        <f>IF($O$106=1,D114,D110)*Byggingariðnaður!$R$68</f>
        <v>27279.188569999998</v>
      </c>
      <c r="E115" s="1">
        <f>IF($O$106=1,E114,E110)*Byggingariðnaður!$R$68</f>
        <v>33368.156219999997</v>
      </c>
      <c r="F115" s="1">
        <f>IF($O$106=1,F114,F110)*Byggingariðnaður!$R$68</f>
        <v>43033.817210000001</v>
      </c>
      <c r="G115" s="1">
        <f>IF($O$106=1,G114,G110)*Byggingariðnaður!$R$68</f>
        <v>50484.750419999997</v>
      </c>
      <c r="H115" s="1">
        <f>IF($O$106=1,H114,H110)*Byggingariðnaður!$R$68</f>
        <v>60181.086309999999</v>
      </c>
      <c r="I115" s="1">
        <f>IF($O$106=1,I114,I110)*Byggingariðnaður!$R$68</f>
        <v>68018.523260000002</v>
      </c>
      <c r="J115" s="1">
        <f>IF($O$106=1,J114,J110)*Byggingariðnaður!$R$68</f>
        <v>75174.977429999984</v>
      </c>
      <c r="K115" s="1">
        <f>IF($O$106=1,K114,K110)*Byggingariðnaður!$R$68</f>
        <v>76957.18912000001</v>
      </c>
      <c r="L115" s="1">
        <f>IF($O$106=1,L114,L110)*Byggingariðnaður!$R$68</f>
        <v>70463.312789999996</v>
      </c>
      <c r="M115" s="1">
        <f>IF($O$106=1,M114,M110)*Byggingariðnaður!$R$68</f>
        <v>67349.810440000001</v>
      </c>
    </row>
    <row r="116" spans="1:31" ht="22.5" customHeight="1" x14ac:dyDescent="0.25">
      <c r="A116" s="1" t="s">
        <v>442</v>
      </c>
      <c r="B116" s="1" t="s">
        <v>393</v>
      </c>
      <c r="C116" s="1">
        <f>IF($O$106=1,C114,C110)*Byggingariðnaður!$R$69</f>
        <v>3503.9344000000001</v>
      </c>
      <c r="D116" s="1">
        <f>IF($O$106=1,D114,D110)*Byggingariðnaður!$R$69</f>
        <v>4151.9638400000003</v>
      </c>
      <c r="E116" s="1">
        <f>IF($O$106=1,E114,E110)*Byggingariðnaður!$R$69</f>
        <v>5078.7206400000005</v>
      </c>
      <c r="F116" s="1">
        <f>IF($O$106=1,F114,F110)*Byggingariðnaður!$R$69</f>
        <v>6549.85952</v>
      </c>
      <c r="G116" s="1">
        <f>IF($O$106=1,G114,G110)*Byggingariðnaður!$R$69</f>
        <v>7683.91104</v>
      </c>
      <c r="H116" s="1">
        <f>IF($O$106=1,H114,H110)*Byggingariðnaður!$R$69</f>
        <v>9159.7187200000008</v>
      </c>
      <c r="I116" s="1">
        <f>IF($O$106=1,I114,I110)*Byggingariðnaður!$R$69</f>
        <v>10352.59712</v>
      </c>
      <c r="J116" s="1">
        <f>IF($O$106=1,J114,J110)*Byggingariðnaður!$R$69</f>
        <v>11441.828159999999</v>
      </c>
      <c r="K116" s="1">
        <f>IF($O$106=1,K114,K110)*Byggingariðnaður!$R$69</f>
        <v>11713.085440000001</v>
      </c>
      <c r="L116" s="1">
        <f>IF($O$106=1,L114,L110)*Byggingariðnaður!$R$69</f>
        <v>10724.70048</v>
      </c>
      <c r="M116" s="1">
        <f>IF($O$106=1,M114,M110)*Byggingariðnaður!$R$69</f>
        <v>10250.817279999999</v>
      </c>
    </row>
    <row r="117" spans="1:31" ht="22.5" customHeight="1" x14ac:dyDescent="0.25">
      <c r="A117" s="1" t="s">
        <v>443</v>
      </c>
      <c r="B117" s="1" t="s">
        <v>444</v>
      </c>
      <c r="C117" s="1"/>
      <c r="D117" s="1">
        <v>26.23</v>
      </c>
      <c r="E117" s="1">
        <v>16.920000000000002</v>
      </c>
      <c r="F117" s="1">
        <v>26.05</v>
      </c>
      <c r="G117" s="1">
        <v>15.24</v>
      </c>
      <c r="H117" s="1">
        <v>15.6074487726667</v>
      </c>
      <c r="I117" s="1">
        <v>22.5</v>
      </c>
      <c r="J117" s="1">
        <v>78.599999999999994</v>
      </c>
      <c r="K117" s="1">
        <v>42.6</v>
      </c>
      <c r="L117" s="1">
        <v>62.5</v>
      </c>
      <c r="M117" s="1">
        <f t="shared" ref="I117:M119" si="52">AVERAGE(I117:L117)</f>
        <v>51.55</v>
      </c>
      <c r="O117">
        <f>L117*1000*$L$9</f>
        <v>22296.834199402696</v>
      </c>
      <c r="P117">
        <v>11809.090020993561</v>
      </c>
    </row>
    <row r="118" spans="1:31" ht="22.5" customHeight="1" x14ac:dyDescent="0.25">
      <c r="A118" s="1" t="s">
        <v>445</v>
      </c>
      <c r="B118" s="1" t="s">
        <v>444</v>
      </c>
      <c r="C118" s="1"/>
      <c r="D118" s="1">
        <v>0.03</v>
      </c>
      <c r="E118" s="1">
        <v>1.7000000000000001E-2</v>
      </c>
      <c r="F118" s="1">
        <v>2.5999999999999999E-2</v>
      </c>
      <c r="G118" s="1">
        <v>1.5339999999999999E-2</v>
      </c>
      <c r="H118" s="1">
        <f>0.00103197387*28</f>
        <v>2.889526836E-2</v>
      </c>
      <c r="I118" s="1">
        <f t="shared" si="52"/>
        <v>2.1808817089999998E-2</v>
      </c>
      <c r="J118" s="1">
        <f t="shared" si="52"/>
        <v>2.3011021362500002E-2</v>
      </c>
      <c r="K118" s="1"/>
      <c r="L118" s="1"/>
      <c r="M118" s="1"/>
      <c r="O118">
        <f>L118*1000*$L$9</f>
        <v>0</v>
      </c>
      <c r="P118">
        <v>7.9702925896651662</v>
      </c>
    </row>
    <row r="119" spans="1:31" ht="22.5" customHeight="1" x14ac:dyDescent="0.25">
      <c r="A119" s="1" t="s">
        <v>446</v>
      </c>
      <c r="B119" s="1" t="s">
        <v>444</v>
      </c>
      <c r="C119" s="1"/>
      <c r="D119" s="1">
        <v>0.06</v>
      </c>
      <c r="E119" s="1">
        <v>0.04</v>
      </c>
      <c r="F119" s="1">
        <v>6.2E-2</v>
      </c>
      <c r="G119" s="1">
        <v>0.04</v>
      </c>
      <c r="H119" s="1">
        <f>0.000176325174*265</f>
        <v>4.6726171109999999E-2</v>
      </c>
      <c r="I119" s="1">
        <f t="shared" si="52"/>
        <v>4.7181542777500002E-2</v>
      </c>
      <c r="J119" s="1">
        <f t="shared" si="52"/>
        <v>4.8976928471875E-2</v>
      </c>
      <c r="K119" s="1"/>
      <c r="L119" s="1"/>
      <c r="M119" s="1"/>
      <c r="O119">
        <f>L119*1000*$L$9</f>
        <v>0</v>
      </c>
      <c r="P119">
        <v>16.367889073778443</v>
      </c>
    </row>
    <row r="120" spans="1:31" ht="22.5" customHeight="1" x14ac:dyDescent="0.25">
      <c r="A120" s="1" t="s">
        <v>447</v>
      </c>
      <c r="B120" s="1"/>
      <c r="C120" s="1">
        <f>(8.41+0+1.59)/(8.41+0+1.59+4.08)</f>
        <v>0.71022727272727271</v>
      </c>
      <c r="D120" s="1">
        <f>AVERAGE(C120)</f>
        <v>0.71022727272727271</v>
      </c>
      <c r="E120" s="1">
        <f>AVERAGE(D120)</f>
        <v>0.71022727272727271</v>
      </c>
      <c r="F120" s="1">
        <f>AVERAGE(E120)</f>
        <v>0.71022727272727271</v>
      </c>
      <c r="G120" s="1">
        <f>(0.88+0.7)/(0.88+0.7+3.26)</f>
        <v>0.32644628099173556</v>
      </c>
      <c r="H120" s="1">
        <f>(1.22+0.37)/(1.22+0.37+3.37)</f>
        <v>0.32056451612903225</v>
      </c>
      <c r="I120" s="1">
        <f>(1.1+0.538+2.34)/(1.1+0.538+2.34+3.22)</f>
        <v>0.55265351486524028</v>
      </c>
      <c r="J120" s="1">
        <f>(14.6+2.7+4.63)/(14.6+2.7+4.63+3.03)</f>
        <v>0.87860576923076916</v>
      </c>
      <c r="K120" s="1">
        <f>(1.91+5.33+4.18)/(1.91+5.33+4.18+2.22)</f>
        <v>0.83724340175953071</v>
      </c>
      <c r="L120" s="1">
        <f>(2.49+13.76+1.99)/(2.49+13.76+1.99+1.59)</f>
        <v>0.91981845688350983</v>
      </c>
      <c r="M120" s="1">
        <f>AVERAGE(H120:L120)</f>
        <v>0.70177713177361645</v>
      </c>
    </row>
    <row r="121" spans="1:31" ht="22.5" customHeight="1" x14ac:dyDescent="0.25">
      <c r="A121" s="1" t="s">
        <v>448</v>
      </c>
      <c r="B121" s="1" t="s">
        <v>393</v>
      </c>
      <c r="C121" s="1">
        <f t="shared" ref="C121:K121" si="53">(C117+C118+C119)*C9*1000*(1-C120)</f>
        <v>0</v>
      </c>
      <c r="D121" s="1">
        <f t="shared" si="53"/>
        <v>2789.9376058862435</v>
      </c>
      <c r="E121" s="1">
        <f t="shared" si="53"/>
        <v>1783.0008987336428</v>
      </c>
      <c r="F121" s="1">
        <f t="shared" si="53"/>
        <v>2725.6752360778246</v>
      </c>
      <c r="G121" s="1">
        <f t="shared" si="53"/>
        <v>3695.582847335269</v>
      </c>
      <c r="H121" s="1">
        <f t="shared" si="53"/>
        <v>3808.7568069704744</v>
      </c>
      <c r="I121" s="1">
        <f t="shared" si="53"/>
        <v>3623.9860284982833</v>
      </c>
      <c r="J121" s="1">
        <f t="shared" si="53"/>
        <v>3418.9566873479939</v>
      </c>
      <c r="K121" s="1">
        <f t="shared" si="53"/>
        <v>2481.6131631724438</v>
      </c>
      <c r="L121" s="1">
        <f>(L117+L118+L119)*L9*1000*(1-L120)</f>
        <v>1787.79457272064</v>
      </c>
      <c r="M121" s="1">
        <f>(M117+M118+M119)*M9*1000*(1-M120)</f>
        <v>5478.055685729727</v>
      </c>
      <c r="P121" s="116">
        <v>0.5</v>
      </c>
      <c r="R121" s="580"/>
    </row>
    <row r="122" spans="1:31" x14ac:dyDescent="0.25">
      <c r="A122" s="1"/>
      <c r="B122" s="1"/>
      <c r="C122" s="1"/>
      <c r="D122" s="1"/>
      <c r="E122" s="1"/>
      <c r="F122" s="1"/>
      <c r="G122" s="1"/>
      <c r="H122" s="1"/>
      <c r="I122" s="1"/>
      <c r="J122" s="1"/>
      <c r="K122" s="1"/>
      <c r="L122" s="1"/>
      <c r="M122" s="1"/>
      <c r="O122" s="580"/>
    </row>
    <row r="123" spans="1:31" x14ac:dyDescent="0.25">
      <c r="A123" s="6" t="s">
        <v>449</v>
      </c>
      <c r="B123" s="6" t="s">
        <v>2</v>
      </c>
      <c r="C123" s="6">
        <v>2015</v>
      </c>
      <c r="D123" s="6">
        <v>2016</v>
      </c>
      <c r="E123" s="6">
        <v>2017</v>
      </c>
      <c r="F123" s="6">
        <v>2018</v>
      </c>
      <c r="G123" s="6">
        <v>2019</v>
      </c>
      <c r="H123" s="6">
        <v>2020</v>
      </c>
      <c r="I123" s="6">
        <v>2021</v>
      </c>
      <c r="J123" s="6">
        <v>2022</v>
      </c>
      <c r="K123" s="6">
        <v>2023</v>
      </c>
      <c r="L123" s="6">
        <v>2024</v>
      </c>
      <c r="M123" s="6">
        <v>2025</v>
      </c>
      <c r="O123">
        <f>Mælaborð!D4</f>
        <v>2025</v>
      </c>
      <c r="R123" t="str">
        <f>Mælaborð!B65</f>
        <v xml:space="preserve">Samantekt - </v>
      </c>
      <c r="S123" t="str">
        <f>Mælaborð!C65</f>
        <v>BASIC</v>
      </c>
      <c r="AD123" s="6" t="s">
        <v>450</v>
      </c>
      <c r="AE123">
        <f>Dashboard!$D$4</f>
        <v>2025</v>
      </c>
    </row>
    <row r="124" spans="1:31" x14ac:dyDescent="0.25">
      <c r="A124" s="12" t="s">
        <v>252</v>
      </c>
      <c r="B124" s="12" t="s">
        <v>393</v>
      </c>
      <c r="C124" s="12"/>
      <c r="D124" s="12">
        <f t="shared" ref="D124:L124" si="54">D25</f>
        <v>6489.12</v>
      </c>
      <c r="E124" s="12">
        <f t="shared" si="54"/>
        <v>6577.5240000000003</v>
      </c>
      <c r="F124" s="12">
        <f t="shared" si="54"/>
        <v>5269.9941405735781</v>
      </c>
      <c r="G124" s="12">
        <f t="shared" si="54"/>
        <v>5450.5905930745503</v>
      </c>
      <c r="H124" s="12">
        <f t="shared" si="54"/>
        <v>5371.0467006119588</v>
      </c>
      <c r="I124" s="12">
        <f t="shared" si="54"/>
        <v>4991.7793484206677</v>
      </c>
      <c r="J124" s="12">
        <f t="shared" si="54"/>
        <v>5336.5331395499998</v>
      </c>
      <c r="K124" s="12">
        <f t="shared" si="54"/>
        <v>5211.077167553417</v>
      </c>
      <c r="L124" s="12">
        <f t="shared" si="54"/>
        <v>6725.7388949175356</v>
      </c>
      <c r="M124" s="845">
        <f>M25</f>
        <v>5728.28418349</v>
      </c>
      <c r="O124" s="23">
        <f>INDEX($A$123:$M$153,MATCH(A124,$A$123:$A$153,0),MATCH(Mælaborð!$D$4,Reykjavík!$A$123:$M$123,0))</f>
        <v>5728.28418349</v>
      </c>
      <c r="R124">
        <v>2016</v>
      </c>
      <c r="S124">
        <v>2017</v>
      </c>
      <c r="T124">
        <v>2018</v>
      </c>
      <c r="U124">
        <v>2019</v>
      </c>
      <c r="V124">
        <v>2020</v>
      </c>
      <c r="W124">
        <v>2021</v>
      </c>
      <c r="X124">
        <v>2022</v>
      </c>
      <c r="Y124">
        <v>2023</v>
      </c>
      <c r="Z124">
        <v>2024</v>
      </c>
      <c r="AA124">
        <v>2025</v>
      </c>
      <c r="AD124" s="12" t="s">
        <v>212</v>
      </c>
      <c r="AE124" s="23">
        <f>INDEX($A$123:$M$153,MATCH(A124,$A$123:$A$153,0),MATCH(Dashboard!$D$4,Reykjavík!$A$123:$M$123,0))</f>
        <v>5728.28418349</v>
      </c>
    </row>
    <row r="125" spans="1:31" x14ac:dyDescent="0.25">
      <c r="A125" s="12" t="s">
        <v>254</v>
      </c>
      <c r="B125" s="12" t="s">
        <v>393</v>
      </c>
      <c r="C125" s="12"/>
      <c r="D125" s="12">
        <f t="shared" ref="D125:L125" si="55">D31</f>
        <v>9229.9883399999999</v>
      </c>
      <c r="E125" s="12">
        <f t="shared" si="55"/>
        <v>8891.7897599999997</v>
      </c>
      <c r="F125" s="12">
        <f t="shared" si="55"/>
        <v>9704.1706560000002</v>
      </c>
      <c r="G125" s="12">
        <f t="shared" si="55"/>
        <v>9824.6066400000018</v>
      </c>
      <c r="H125" s="12">
        <f t="shared" si="55"/>
        <v>10619.976906</v>
      </c>
      <c r="I125" s="12">
        <f t="shared" si="55"/>
        <v>10495.975985999999</v>
      </c>
      <c r="J125" s="12">
        <f t="shared" si="55"/>
        <v>10078.727723999998</v>
      </c>
      <c r="K125" s="12">
        <f t="shared" si="55"/>
        <v>10591.915697999999</v>
      </c>
      <c r="L125" s="12">
        <f t="shared" si="55"/>
        <v>11516.179927500001</v>
      </c>
      <c r="M125" s="845">
        <f>M31</f>
        <v>9217.5785999999989</v>
      </c>
      <c r="O125" s="23">
        <f>INDEX($A$123:$M$153,MATCH(A125,$A$123:$A$153,0),MATCH(Mælaborð!$D$4,Reykjavík!$A$123:$M$123,0))</f>
        <v>9217.5785999999989</v>
      </c>
      <c r="R125" s="23">
        <f>INDEX($A$123:$J$153,MATCH($S$123,$A$123:$A$153,0),MATCH(Reykjavík!R$124,Reykjavík!$A$123:$J$123,0))</f>
        <v>398461.27810226975</v>
      </c>
      <c r="S125" s="23">
        <f>INDEX($A$123:$J$153,MATCH($S$123,$A$123:$A$153,0),MATCH(Reykjavík!S$124,Reykjavík!$A$123:$J$123,0))</f>
        <v>424484.73503347801</v>
      </c>
      <c r="T125" s="23">
        <f>INDEX($A$123:$J$153,MATCH($S$123,$A$123:$A$153,0),MATCH(Reykjavík!T$124,Reykjavík!$A$123:$J$123,0))</f>
        <v>441697.06867385854</v>
      </c>
      <c r="U125" s="23">
        <f>INDEX($A$123:$J$153,MATCH($S$123,$A$123:$A$153,0),MATCH(Reykjavík!U$124,Reykjavík!$A$123:$J$123,0))</f>
        <v>445821.98354376038</v>
      </c>
      <c r="V125" s="23">
        <f>INDEX($A$123:$J$153,MATCH($S$123,$A$123:$A$153,0),MATCH(Reykjavík!V$124,Reykjavík!$A$123:$J$123,0))</f>
        <v>410897.19854802109</v>
      </c>
      <c r="W125" s="23">
        <f>INDEX($A$123:$J$153,MATCH($S$123,$A$123:$A$153,0),MATCH(Reykjavík!W$124,Reykjavík!$A$123:$J$123,0))</f>
        <v>434506.95741438027</v>
      </c>
      <c r="X125" s="23">
        <f>INDEX($A$123:$J$153,MATCH($S$123,$A$123:$A$153,0),MATCH(Reykjavík!X$124,Reykjavík!$A$123:$J$123,0))</f>
        <v>416292.90356580273</v>
      </c>
      <c r="Y125" s="23">
        <f>INDEX($A$123:$K$153,MATCH($S$123,$A$123:$A$153,0),MATCH(Reykjavík!Y$124,Reykjavík!$A$123:$K$123,0))</f>
        <v>447478.44946677727</v>
      </c>
      <c r="Z125" s="23">
        <f>INDEX($A$123:$L$153,MATCH($S$123,$A$123:$A$153,0),MATCH(Reykjavík!Z$124,Reykjavík!$A$123:$L$123,0))</f>
        <v>445882.79524029628</v>
      </c>
      <c r="AA125" s="23">
        <f>INDEX($A$123:$M$153,MATCH($S$123,$A$123:$A$153,0),MATCH(Reykjavík!AA$124,$A$123:$M$123,0))</f>
        <v>425641.28316233394</v>
      </c>
      <c r="AD125" s="12" t="s">
        <v>214</v>
      </c>
      <c r="AE125" s="23">
        <f>INDEX($A$123:$M$153,MATCH(A125,$A$123:$A$153,0),MATCH(Dashboard!$D$4,Reykjavík!$A$123:$M$123,0))</f>
        <v>9217.5785999999989</v>
      </c>
    </row>
    <row r="126" spans="1:31" x14ac:dyDescent="0.25">
      <c r="A126" s="12" t="s">
        <v>251</v>
      </c>
      <c r="B126" s="12" t="s">
        <v>393</v>
      </c>
      <c r="C126" s="12"/>
      <c r="D126" s="12">
        <f>D124+D125+D144</f>
        <v>19871.072179999999</v>
      </c>
      <c r="E126" s="12">
        <f t="shared" ref="E126:K126" si="56">E124+E125+E144</f>
        <v>20548.0344</v>
      </c>
      <c r="F126" s="12">
        <f t="shared" si="56"/>
        <v>21524.024316573581</v>
      </c>
      <c r="G126" s="12">
        <f t="shared" si="56"/>
        <v>22959.108273074551</v>
      </c>
      <c r="H126" s="12">
        <f t="shared" si="56"/>
        <v>25150.742326611959</v>
      </c>
      <c r="I126" s="12">
        <f t="shared" si="56"/>
        <v>25840.352454420667</v>
      </c>
      <c r="J126" s="12">
        <f t="shared" si="56"/>
        <v>26857.089023549997</v>
      </c>
      <c r="K126" s="12">
        <f t="shared" si="56"/>
        <v>27516.078305553419</v>
      </c>
      <c r="L126" s="12">
        <f t="shared" ref="L126" si="57">L124+L125+L144</f>
        <v>28966.619302417537</v>
      </c>
      <c r="M126" s="845">
        <f>M124+M125+M144</f>
        <v>25196.680063489999</v>
      </c>
      <c r="N126" s="23">
        <f>M126-M26</f>
        <v>24956.187334438288</v>
      </c>
      <c r="O126" s="23">
        <f>INDEX($A$123:$M$153,MATCH(A126,$A$123:$A$153,0),MATCH(Mælaborð!$D$4,Reykjavík!$A$123:$M$123,0))</f>
        <v>25196.680063489999</v>
      </c>
      <c r="R126" s="194">
        <f>INDEX($A$155:$J$184,MATCH($S$123,$A$155:$A$184,0),MATCH(Reykjavík!R$124,Reykjavík!$A$123:$J$123,0))</f>
        <v>3.3409461045249254</v>
      </c>
      <c r="S126" s="194">
        <f>INDEX($A$155:$J$184,MATCH($S$123,$A$155:$A$184,0),MATCH(Reykjavík!S$124,Reykjavík!$A$123:$J$123,0))</f>
        <v>3.5223148957662493</v>
      </c>
      <c r="T126" s="194">
        <f>INDEX($A$155:$J$184,MATCH($S$123,$A$155:$A$184,0),MATCH(Reykjavík!T$124,Reykjavík!$A$123:$J$123,0))</f>
        <v>3.5869212421034304</v>
      </c>
      <c r="U126" s="194">
        <f>INDEX($A$155:$J$184,MATCH($S$123,$A$155:$A$184,0),MATCH(Reykjavík!U$124,Reykjavík!$A$123:$J$123,0))</f>
        <v>3.5563336275028745</v>
      </c>
      <c r="V126" s="194">
        <f>INDEX($A$155:$J$184,MATCH($S$123,$A$155:$A$184,0),MATCH(Reykjavík!V$124,Reykjavík!$A$123:$J$123,0))</f>
        <v>3.2469414894469422</v>
      </c>
      <c r="W126" s="194">
        <f>INDEX($A$155:$J$184,MATCH($S$123,$A$155:$A$184,0),MATCH(Reykjavík!W$124,Reykjavík!$A$123:$J$123,0))</f>
        <v>3.3784850121637531</v>
      </c>
      <c r="X126" s="194">
        <f>INDEX($A$155:$J$184,MATCH($S$123,$A$155:$A$184,0),MATCH(Reykjavík!X$124,Reykjavík!$A$123:$J$123,0))</f>
        <v>3.186614182441577</v>
      </c>
      <c r="Y126" s="194">
        <f>INDEX($A$155:$K$184,MATCH($S$123,$A$155:$A$184,0),MATCH(Reykjavík!Y$124,Reykjavík!$A$123:$K$123,0))</f>
        <v>3.3319814849571645</v>
      </c>
      <c r="Z126" s="194">
        <f>INDEX($A$155:$L$184,MATCH($S$123,$A$155:$A$184,0),MATCH(Reykjavík!Z$124,Reykjavík!$A$123:$L$123,0))</f>
        <v>3.2571390655565349</v>
      </c>
      <c r="AA126" s="194">
        <f>INDEX($A$155:$M$184,MATCH($S$123,$A$155:$A$184,0),MATCH(Reykjavík!AA$124,$A$123:$M$123,0))</f>
        <v>3.0671985931047612</v>
      </c>
      <c r="AD126" s="12" t="s">
        <v>211</v>
      </c>
      <c r="AE126" s="23">
        <f>INDEX($A$123:$M$153,MATCH(A126,$A$123:$A$153,0),MATCH(Dashboard!$D$4,Reykjavík!$A$123:$M$123,0))</f>
        <v>25196.680063489999</v>
      </c>
    </row>
    <row r="127" spans="1:31" x14ac:dyDescent="0.25">
      <c r="A127" s="12" t="s">
        <v>285</v>
      </c>
      <c r="B127" s="12" t="s">
        <v>393</v>
      </c>
      <c r="C127" s="12"/>
      <c r="D127" s="12">
        <f t="shared" ref="D127:L127" si="58">D36</f>
        <v>190906.58767379029</v>
      </c>
      <c r="E127" s="12">
        <f t="shared" si="58"/>
        <v>206184.32458563262</v>
      </c>
      <c r="F127" s="12">
        <f t="shared" si="58"/>
        <v>211966.24623204052</v>
      </c>
      <c r="G127" s="12">
        <f t="shared" si="58"/>
        <v>219170.78903907636</v>
      </c>
      <c r="H127" s="12">
        <f t="shared" si="58"/>
        <v>193663.40007202598</v>
      </c>
      <c r="I127" s="12">
        <f t="shared" si="58"/>
        <v>202765.45022866575</v>
      </c>
      <c r="J127" s="12">
        <f t="shared" si="58"/>
        <v>174864.49908137057</v>
      </c>
      <c r="K127" s="12">
        <f t="shared" si="58"/>
        <v>188905.90072786019</v>
      </c>
      <c r="L127" s="12">
        <f t="shared" si="58"/>
        <v>178623.4057922067</v>
      </c>
      <c r="M127" s="845">
        <f>M36</f>
        <v>168292.77399932733</v>
      </c>
      <c r="O127" s="23">
        <f>INDEX($A$123:$M$153,MATCH(A127,$A$123:$A$153,0),MATCH(Mælaborð!$D$4,Reykjavík!$A$123:$M$123,0))</f>
        <v>168292.77399932733</v>
      </c>
      <c r="R127" s="23"/>
      <c r="S127" s="23"/>
      <c r="T127" s="23"/>
      <c r="U127" s="23"/>
      <c r="V127" s="23"/>
      <c r="W127" s="16"/>
      <c r="AD127" s="12" t="s">
        <v>451</v>
      </c>
      <c r="AE127" s="23">
        <f>INDEX($A$123:$M$153,MATCH(A127,$A$123:$A$153,0),MATCH(Dashboard!$D$4,Reykjavík!$A$123:$M$123,0))</f>
        <v>168292.77399932733</v>
      </c>
    </row>
    <row r="128" spans="1:31" x14ac:dyDescent="0.25">
      <c r="A128" s="12" t="s">
        <v>286</v>
      </c>
      <c r="B128" s="12" t="s">
        <v>393</v>
      </c>
      <c r="C128" s="12"/>
      <c r="D128" s="12">
        <f t="shared" ref="D128:M128" si="59">D37</f>
        <v>14239.58374032641</v>
      </c>
      <c r="E128" s="12">
        <f t="shared" si="59"/>
        <v>15379.139042056431</v>
      </c>
      <c r="F128" s="12">
        <f t="shared" si="59"/>
        <v>15810.408378894168</v>
      </c>
      <c r="G128" s="12">
        <f t="shared" si="59"/>
        <v>16084.187993359437</v>
      </c>
      <c r="H128" s="12">
        <f t="shared" si="59"/>
        <v>12467.432570562598</v>
      </c>
      <c r="I128" s="12">
        <f t="shared" si="59"/>
        <v>10766.747558784729</v>
      </c>
      <c r="J128" s="12">
        <f t="shared" si="59"/>
        <v>14312.838005175754</v>
      </c>
      <c r="K128" s="12">
        <f t="shared" si="59"/>
        <v>20658.314550446357</v>
      </c>
      <c r="L128" s="12">
        <f t="shared" si="59"/>
        <v>20577.222585386964</v>
      </c>
      <c r="M128" s="12">
        <f t="shared" si="59"/>
        <v>20641.09091548514</v>
      </c>
      <c r="N128" s="23">
        <f>H127+H128+H129</f>
        <v>277197.37191233994</v>
      </c>
      <c r="O128" s="23">
        <f>INDEX($A$123:$M$153,MATCH(A128,$A$123:$A$153,0),MATCH(Mælaborð!$D$4,Reykjavík!$A$123:$M$123,0))</f>
        <v>20641.09091548514</v>
      </c>
      <c r="R128" t="str">
        <f>Mælaborð!$B$89</f>
        <v xml:space="preserve">Samantekt - </v>
      </c>
      <c r="S128" t="str">
        <f>Mælaborð!$C$89</f>
        <v>BASIC+</v>
      </c>
      <c r="W128" s="16"/>
      <c r="AD128" s="12" t="s">
        <v>452</v>
      </c>
      <c r="AE128" s="23">
        <f>INDEX($A$123:$M$153,MATCH(A128,$A$123:$A$153,0),MATCH(Dashboard!$D$4,Reykjavík!$A$123:$M$123,0))</f>
        <v>20641.09091548514</v>
      </c>
    </row>
    <row r="129" spans="1:31" x14ac:dyDescent="0.25">
      <c r="A129" s="12" t="s">
        <v>288</v>
      </c>
      <c r="B129" s="12" t="s">
        <v>393</v>
      </c>
      <c r="C129" s="12"/>
      <c r="D129" s="12">
        <f t="shared" ref="D129:M129" si="60">D38</f>
        <v>69942.805963548089</v>
      </c>
      <c r="E129" s="12">
        <f t="shared" si="60"/>
        <v>75540.13920074905</v>
      </c>
      <c r="F129" s="12">
        <f t="shared" si="60"/>
        <v>77658.472720502526</v>
      </c>
      <c r="G129" s="12">
        <f t="shared" si="60"/>
        <v>80198.968864141279</v>
      </c>
      <c r="H129" s="12">
        <f t="shared" si="60"/>
        <v>71066.539269751345</v>
      </c>
      <c r="I129" s="12">
        <f t="shared" si="60"/>
        <v>85661.083073303598</v>
      </c>
      <c r="J129" s="12">
        <f t="shared" si="60"/>
        <v>72967.854488138226</v>
      </c>
      <c r="K129" s="12">
        <f t="shared" si="60"/>
        <v>72561.38301315096</v>
      </c>
      <c r="L129" s="12">
        <f t="shared" si="60"/>
        <v>75911.139432866505</v>
      </c>
      <c r="M129" s="12">
        <f t="shared" si="60"/>
        <v>78414.927128805197</v>
      </c>
      <c r="O129" s="23">
        <f>INDEX($A$123:$M$153,MATCH(A129,$A$123:$A$153,0),MATCH(Mælaborð!$D$4,Reykjavík!$A$123:$M$123,0))</f>
        <v>78414.927128805197</v>
      </c>
      <c r="R129">
        <v>2016</v>
      </c>
      <c r="S129">
        <v>2017</v>
      </c>
      <c r="T129">
        <v>2018</v>
      </c>
      <c r="U129">
        <v>2019</v>
      </c>
      <c r="V129">
        <v>2020</v>
      </c>
      <c r="W129">
        <v>2021</v>
      </c>
      <c r="X129">
        <v>2022</v>
      </c>
      <c r="Y129">
        <v>2023</v>
      </c>
      <c r="Z129">
        <v>2024</v>
      </c>
      <c r="AA129">
        <v>2025</v>
      </c>
      <c r="AD129" s="12" t="s">
        <v>453</v>
      </c>
      <c r="AE129" s="23">
        <f>INDEX($A$123:$M$153,MATCH(A129,$A$123:$A$153,0),MATCH(Dashboard!$D$4,Reykjavík!$A$123:$M$123,0))</f>
        <v>78414.927128805197</v>
      </c>
    </row>
    <row r="130" spans="1:31" x14ac:dyDescent="0.25">
      <c r="A130" s="12" t="s">
        <v>258</v>
      </c>
      <c r="B130" s="12" t="s">
        <v>393</v>
      </c>
      <c r="C130" s="12"/>
      <c r="D130" s="12">
        <f t="shared" ref="D130:M130" si="61">D40</f>
        <v>30820</v>
      </c>
      <c r="E130" s="12">
        <f t="shared" si="61"/>
        <v>34710</v>
      </c>
      <c r="F130" s="12">
        <f t="shared" si="61"/>
        <v>40260</v>
      </c>
      <c r="G130" s="12">
        <f t="shared" si="61"/>
        <v>47600</v>
      </c>
      <c r="H130" s="12">
        <f t="shared" si="61"/>
        <v>35240</v>
      </c>
      <c r="I130" s="12">
        <f t="shared" si="61"/>
        <v>29930</v>
      </c>
      <c r="J130" s="12">
        <f t="shared" si="61"/>
        <v>44420</v>
      </c>
      <c r="K130" s="12">
        <f t="shared" si="61"/>
        <v>52390</v>
      </c>
      <c r="L130" s="12">
        <f t="shared" si="61"/>
        <v>53090</v>
      </c>
      <c r="M130" s="12">
        <f t="shared" si="61"/>
        <v>48360</v>
      </c>
      <c r="O130" s="23">
        <f>INDEX($A$123:$M$153,MATCH(A130,$A$123:$A$153,0),MATCH(Mælaborð!$D$4,Reykjavík!$A$123:$M$123,0))</f>
        <v>48360</v>
      </c>
      <c r="R130" s="23">
        <f>INDEX($A$123:$K$153,MATCH($S$128,$A$123:$A$153,0),MATCH(R$129,Reykjavík!$A$123:$K$123,0))</f>
        <v>466434.48190792475</v>
      </c>
      <c r="S130" s="23">
        <f>INDEX($A$123:$K$153,MATCH($S$128,$A$123:$A$153,0),MATCH(S$129,Reykjavík!$A$123:$K$123,0))</f>
        <v>495387.54964947014</v>
      </c>
      <c r="T130" s="23">
        <f>INDEX($A$123:$K$153,MATCH($S$128,$A$123:$A$153,0),MATCH(T$129,Reykjavík!$A$123:$K$123,0))</f>
        <v>514819.55922034342</v>
      </c>
      <c r="U130" s="23">
        <f>INDEX($A$123:$K$153,MATCH($S$128,$A$123:$A$153,0),MATCH(U$129,Reykjavík!$A$123:$K$123,0))</f>
        <v>522605.25108272373</v>
      </c>
      <c r="V130" s="23">
        <f>INDEX($A$123:$K$153,MATCH($S$128,$A$123:$A$153,0),MATCH(V$129,Reykjavík!$A$123:$K$123,0))</f>
        <v>490963.97520302155</v>
      </c>
      <c r="W130" s="23">
        <f>INDEX($A$123:$K$153,MATCH($S$128,$A$123:$A$153,0),MATCH(W$129,Reykjavík!$A$123:$K$123,0))</f>
        <v>507581.91122789454</v>
      </c>
      <c r="X130" s="23">
        <f>INDEX($A$123:$K$153,MATCH($S$128,$A$123:$A$153,0),MATCH(X$129,Reykjavík!$A$123:$K$123,0))</f>
        <v>484629.41996219428</v>
      </c>
      <c r="Y130" s="23">
        <f>INDEX($A$123:$K$153,MATCH($S$128,$A$123:$A$153,0),MATCH(Y$129,Reykjavík!$A$123:$K$123,0))</f>
        <v>510464.18710276426</v>
      </c>
      <c r="Z130" s="23">
        <f>INDEX($A$123:$L$153,MATCH($S$128,$A$123:$A$153,0),MATCH(Z$129,Reykjavík!$A$123:$L$123,0))</f>
        <v>505112.12943228381</v>
      </c>
      <c r="AA130" s="23">
        <f>INDEX($A$123:$M$153,MATCH($S$128,$A$123:$A$153,0),MATCH(AA$129,$A$123:$M$123,0))</f>
        <v>491058.4231615609</v>
      </c>
      <c r="AD130" s="12" t="s">
        <v>218</v>
      </c>
      <c r="AE130" s="23">
        <f>INDEX($A$123:$M$153,MATCH(A130,$A$123:$A$153,0),MATCH(Dashboard!$D$4,Reykjavík!$A$123:$M$123,0))</f>
        <v>48360</v>
      </c>
    </row>
    <row r="131" spans="1:31" x14ac:dyDescent="0.25">
      <c r="A131" s="12" t="s">
        <v>260</v>
      </c>
      <c r="B131" s="12" t="s">
        <v>393</v>
      </c>
      <c r="C131" s="12"/>
      <c r="D131" s="12">
        <f t="shared" ref="D131:M131" si="62">D43</f>
        <v>5400.7160188601574</v>
      </c>
      <c r="E131" s="12">
        <f t="shared" si="62"/>
        <v>4792.3453956006551</v>
      </c>
      <c r="F131" s="12">
        <f t="shared" si="62"/>
        <v>7325.3866733465939</v>
      </c>
      <c r="G131" s="12">
        <f t="shared" si="62"/>
        <v>6937.1982702861123</v>
      </c>
      <c r="H131" s="12">
        <f t="shared" si="62"/>
        <v>4542.5582514083553</v>
      </c>
      <c r="I131" s="12">
        <f t="shared" si="62"/>
        <v>6698.8813711630573</v>
      </c>
      <c r="J131" s="12">
        <f t="shared" si="62"/>
        <v>5939.1766057704244</v>
      </c>
      <c r="K131" s="12">
        <f t="shared" si="62"/>
        <v>6401.2505411855846</v>
      </c>
      <c r="L131" s="12">
        <f t="shared" si="62"/>
        <v>6339.5653991310719</v>
      </c>
      <c r="M131" s="12">
        <f t="shared" si="62"/>
        <v>4239.9557036902197</v>
      </c>
      <c r="O131" s="23">
        <f>INDEX($A$123:$M$153,MATCH(A131,$A$123:$A$153,0),MATCH(Mælaborð!$D$4,Reykjavík!$A$123:$M$123,0))</f>
        <v>4239.9557036902197</v>
      </c>
      <c r="R131" s="194">
        <f>INDEX($A$155:$K$184,MATCH($S$128,$A$155:$A$184,0),MATCH(R$129,Reykjavík!$A$123:$K$123,0))</f>
        <v>3.9108755379397713</v>
      </c>
      <c r="S131" s="194">
        <f>INDEX($A$155:$K$184,MATCH($S$128,$A$155:$A$184,0),MATCH(S$129,Reykjavík!$A$123:$K$123,0))</f>
        <v>4.1106565237731214</v>
      </c>
      <c r="T131" s="194">
        <f>INDEX($A$155:$K$184,MATCH($S$128,$A$155:$A$184,0),MATCH(T$129,Reykjavík!$A$123:$K$123,0))</f>
        <v>4.1807323248986403</v>
      </c>
      <c r="U131" s="194">
        <f>INDEX($A$155:$K$184,MATCH($S$128,$A$155:$A$184,0),MATCH(U$129,Reykjavík!$A$123:$K$123,0))</f>
        <v>4.168835761668185</v>
      </c>
      <c r="V131" s="194">
        <f>INDEX($A$155:$K$184,MATCH($S$128,$A$155:$A$184,0),MATCH(V$129,Reykjavík!$A$123:$K$123,0))</f>
        <v>3.8796353602400773</v>
      </c>
      <c r="W131" s="194">
        <f>INDEX($A$155:$K$184,MATCH($S$128,$A$155:$A$184,0),MATCH(W$129,Reykjavík!$A$123:$K$123,0))</f>
        <v>3.9466753069582032</v>
      </c>
      <c r="X131" s="194">
        <f>INDEX($A$155:$K$184,MATCH($S$128,$A$155:$A$184,0),MATCH(X$129,Reykjavík!$A$123:$K$123,0))</f>
        <v>3.7097124876543908</v>
      </c>
      <c r="Y131" s="194">
        <f>INDEX($A$155:$K$184,MATCH($S$128,$A$155:$A$184,0),MATCH(Y$129,Reykjavík!$A$123:$K$123,0))</f>
        <v>3.8009813035396229</v>
      </c>
      <c r="Z131" s="194">
        <f>INDEX($A$155:$L$184,MATCH($S$128,$A$155:$A$184,0),MATCH(Z$129,Reykjavík!$A$123:$L$123,0))</f>
        <v>3.6898047352863079</v>
      </c>
      <c r="AA131" s="194">
        <f>INDEX($A$155:$M$184,MATCH($S$128,$A$155:$A$184,0),MATCH(AA$129,Reykjavík!$A$123:$M$123,0))</f>
        <v>3.5385987314556315</v>
      </c>
      <c r="AD131" s="12" t="s">
        <v>220</v>
      </c>
      <c r="AE131" s="23">
        <f>INDEX($A$123:$M$153,MATCH(A131,$A$123:$A$153,0),MATCH(Dashboard!$D$4,Reykjavík!$A$123:$M$123,0))</f>
        <v>4239.9557036902197</v>
      </c>
    </row>
    <row r="132" spans="1:31" x14ac:dyDescent="0.25">
      <c r="A132" s="12" t="s">
        <v>256</v>
      </c>
      <c r="B132" s="12" t="s">
        <v>393</v>
      </c>
      <c r="C132" s="12"/>
      <c r="D132" s="12">
        <f t="shared" ref="D132:I132" si="63">SUM(D127:D131)</f>
        <v>311309.69339652493</v>
      </c>
      <c r="E132" s="12">
        <f t="shared" si="63"/>
        <v>336605.94822403876</v>
      </c>
      <c r="F132" s="12">
        <f t="shared" si="63"/>
        <v>353020.51400478376</v>
      </c>
      <c r="G132" s="12">
        <f t="shared" si="63"/>
        <v>369991.14416686317</v>
      </c>
      <c r="H132" s="12">
        <f t="shared" si="63"/>
        <v>316979.93016374827</v>
      </c>
      <c r="I132" s="12">
        <f t="shared" si="63"/>
        <v>335822.16223191714</v>
      </c>
      <c r="J132" s="12">
        <f>SUM(J127:J131)</f>
        <v>312504.368180455</v>
      </c>
      <c r="K132" s="12">
        <f>SUM(K127:K131)</f>
        <v>340916.84883264313</v>
      </c>
      <c r="L132" s="12">
        <f>SUM(L127:L131)</f>
        <v>334541.33320959128</v>
      </c>
      <c r="M132" s="12">
        <f>SUM(M127:M131)</f>
        <v>319948.74774730793</v>
      </c>
      <c r="O132" s="23">
        <f>INDEX($A$123:$M$153,MATCH(A132,$A$123:$A$153,0),MATCH(Mælaborð!$D$4,Reykjavík!$A$123:$M$123,0))</f>
        <v>319948.74774730793</v>
      </c>
      <c r="AD132" s="12" t="s">
        <v>216</v>
      </c>
      <c r="AE132" s="23">
        <f>INDEX($A$123:$M$153,MATCH(A132,$A$123:$A$153,0),MATCH(Dashboard!$D$4,Reykjavík!$A$123:$M$123,0))</f>
        <v>319948.74774730793</v>
      </c>
    </row>
    <row r="133" spans="1:31" x14ac:dyDescent="0.25">
      <c r="A133" s="12" t="s">
        <v>261</v>
      </c>
      <c r="B133" s="12" t="s">
        <v>393</v>
      </c>
      <c r="C133" s="12">
        <f t="shared" ref="C133:M133" si="64">C49</f>
        <v>58465.052461713523</v>
      </c>
      <c r="D133" s="12">
        <f t="shared" si="64"/>
        <v>59446.491877959321</v>
      </c>
      <c r="E133" s="12">
        <f t="shared" si="64"/>
        <v>59487.746760963069</v>
      </c>
      <c r="F133" s="12">
        <f t="shared" si="64"/>
        <v>59349.992056981653</v>
      </c>
      <c r="G133" s="12">
        <f t="shared" si="64"/>
        <v>45762.527610931633</v>
      </c>
      <c r="H133" s="12">
        <f t="shared" si="64"/>
        <v>60981.069374793056</v>
      </c>
      <c r="I133" s="12">
        <f t="shared" si="64"/>
        <v>62533.83298489415</v>
      </c>
      <c r="J133" s="12">
        <f t="shared" si="64"/>
        <v>65987.702439132394</v>
      </c>
      <c r="K133" s="12">
        <f t="shared" si="64"/>
        <v>57916.063060096756</v>
      </c>
      <c r="L133" s="12">
        <f t="shared" si="64"/>
        <v>53423.564761772162</v>
      </c>
      <c r="M133" s="12">
        <f t="shared" si="64"/>
        <v>47435.151012526723</v>
      </c>
      <c r="N133" s="580"/>
      <c r="O133" s="23">
        <f>INDEX($A$123:$M$153,MATCH(A133,$A$123:$A$153,0),MATCH(Mælaborð!$D$4,Reykjavík!$A$123:$M$123,0))</f>
        <v>47435.151012526723</v>
      </c>
      <c r="AD133" s="12" t="s">
        <v>454</v>
      </c>
      <c r="AE133" s="23">
        <f>INDEX($A$123:$M$153,MATCH(A133,$A$123:$A$153,0),MATCH(Dashboard!$D$4,Reykjavík!$A$123:$M$123,0))</f>
        <v>47435.151012526723</v>
      </c>
    </row>
    <row r="134" spans="1:31" x14ac:dyDescent="0.25">
      <c r="A134" s="12" t="s">
        <v>31</v>
      </c>
      <c r="B134" s="12" t="s">
        <v>393</v>
      </c>
      <c r="C134" s="12">
        <f t="shared" ref="C134:M134" si="65">C52</f>
        <v>0</v>
      </c>
      <c r="D134" s="12">
        <f t="shared" si="65"/>
        <v>0</v>
      </c>
      <c r="E134" s="12">
        <f t="shared" si="65"/>
        <v>0</v>
      </c>
      <c r="F134" s="12">
        <f t="shared" si="65"/>
        <v>0</v>
      </c>
      <c r="G134" s="12">
        <f t="shared" si="65"/>
        <v>0</v>
      </c>
      <c r="H134" s="12">
        <f t="shared" si="65"/>
        <v>243.47979206500958</v>
      </c>
      <c r="I134" s="12">
        <f t="shared" si="65"/>
        <v>2088.8221191568009</v>
      </c>
      <c r="J134" s="12">
        <f t="shared" si="65"/>
        <v>3119.8323980971909</v>
      </c>
      <c r="K134" s="12">
        <f t="shared" si="65"/>
        <v>3460.334784514715</v>
      </c>
      <c r="L134" s="12">
        <f t="shared" si="65"/>
        <v>2231.1070642701343</v>
      </c>
      <c r="M134" s="12">
        <f t="shared" si="65"/>
        <v>2239.9505541159301</v>
      </c>
      <c r="O134" s="23">
        <f>INDEX($A$123:$M$153,MATCH(A134,$A$123:$A$153,0),MATCH(Mælaborð!$D$4,Reykjavík!$A$123:$M$123,0))</f>
        <v>2239.9505541159301</v>
      </c>
      <c r="R134" s="16" t="s">
        <v>455</v>
      </c>
      <c r="S134" s="16" t="s">
        <v>456</v>
      </c>
      <c r="T134" s="16" t="s">
        <v>457</v>
      </c>
      <c r="U134" s="16" t="s">
        <v>458</v>
      </c>
      <c r="V134" s="16" t="s">
        <v>459</v>
      </c>
      <c r="W134" s="16" t="s">
        <v>273</v>
      </c>
      <c r="AD134" s="12" t="s">
        <v>224</v>
      </c>
      <c r="AE134" s="23">
        <f>INDEX($A$123:$M$153,MATCH(A134,$A$123:$A$153,0),MATCH(Dashboard!$D$4,Reykjavík!$A$123:$M$123,0))</f>
        <v>2239.9505541159301</v>
      </c>
    </row>
    <row r="135" spans="1:31" x14ac:dyDescent="0.25">
      <c r="A135" s="12" t="s">
        <v>290</v>
      </c>
      <c r="B135" s="12" t="s">
        <v>393</v>
      </c>
      <c r="C135" s="12">
        <f>C57</f>
        <v>0</v>
      </c>
      <c r="D135" s="12">
        <f t="shared" ref="D135:J135" si="66">D58</f>
        <v>4309.2964844042608</v>
      </c>
      <c r="E135" s="12">
        <f t="shared" si="66"/>
        <v>4474.4164203276123</v>
      </c>
      <c r="F135" s="12">
        <f t="shared" si="66"/>
        <v>4439.0377657079298</v>
      </c>
      <c r="G135" s="12">
        <f t="shared" si="66"/>
        <v>4061.1758665699354</v>
      </c>
      <c r="H135" s="12">
        <f t="shared" si="66"/>
        <v>4223.2562403685479</v>
      </c>
      <c r="I135" s="12">
        <f t="shared" si="66"/>
        <v>4849.2270887634477</v>
      </c>
      <c r="J135" s="12">
        <f t="shared" si="66"/>
        <v>4515.1752796091441</v>
      </c>
      <c r="K135" s="12">
        <f>K58+K55</f>
        <v>14333.357085270658</v>
      </c>
      <c r="L135" s="12">
        <f>L58+L55</f>
        <v>23351.299726937574</v>
      </c>
      <c r="M135" s="12">
        <f>M58+M55</f>
        <v>27382.006926305781</v>
      </c>
      <c r="O135" s="23">
        <f>INDEX($A$123:$M$153,MATCH(A135,$A$123:$A$153,0),MATCH(Mælaborð!$D$4,Reykjavík!$A$123:$M$123,0))</f>
        <v>27382.006926305781</v>
      </c>
      <c r="R135" t="s">
        <v>251</v>
      </c>
      <c r="S135" t="s">
        <v>256</v>
      </c>
      <c r="T135" t="s">
        <v>9</v>
      </c>
      <c r="U135" t="s">
        <v>265</v>
      </c>
      <c r="V135" t="s">
        <v>268</v>
      </c>
      <c r="W135" t="s">
        <v>236</v>
      </c>
      <c r="AD135" s="12" t="s">
        <v>460</v>
      </c>
      <c r="AE135" s="23">
        <f>INDEX($A$123:$M$153,MATCH(A135,$A$123:$A$153,0),MATCH(Dashboard!$D$4,Reykjavík!$A$123:$M$123,0))</f>
        <v>27382.006926305781</v>
      </c>
    </row>
    <row r="136" spans="1:31" x14ac:dyDescent="0.25">
      <c r="A136" s="12" t="s">
        <v>33</v>
      </c>
      <c r="B136" s="12" t="s">
        <v>393</v>
      </c>
      <c r="C136" s="12">
        <f t="shared" ref="C136:M136" si="67">C62</f>
        <v>3650.2632875904628</v>
      </c>
      <c r="D136" s="12">
        <f t="shared" si="67"/>
        <v>3524.7241633812368</v>
      </c>
      <c r="E136" s="12">
        <f t="shared" si="67"/>
        <v>3368.5892281485335</v>
      </c>
      <c r="F136" s="12">
        <f t="shared" si="67"/>
        <v>3556.7365614351861</v>
      </c>
      <c r="G136" s="12">
        <f t="shared" si="67"/>
        <v>3233.1331220756274</v>
      </c>
      <c r="H136" s="12">
        <f t="shared" si="67"/>
        <v>3554.5231321062447</v>
      </c>
      <c r="I136" s="12">
        <f t="shared" si="67"/>
        <v>3591.7122246338686</v>
      </c>
      <c r="J136" s="12">
        <f t="shared" si="67"/>
        <v>3543.0234972090616</v>
      </c>
      <c r="K136" s="12">
        <f t="shared" si="67"/>
        <v>3567.6018648407253</v>
      </c>
      <c r="L136" s="12">
        <f t="shared" si="67"/>
        <v>3639.8632605251323</v>
      </c>
      <c r="M136" s="12">
        <f t="shared" si="67"/>
        <v>3679.2395876393066</v>
      </c>
      <c r="O136" s="23">
        <f>INDEX($A$123:$M$153,MATCH(A136,$A$123:$A$153,0),MATCH(Mælaborð!$D$4,Reykjavík!$A$123:$M$123,0))</f>
        <v>3679.2395876393066</v>
      </c>
      <c r="R136" t="s">
        <v>252</v>
      </c>
      <c r="S136" t="s">
        <v>285</v>
      </c>
      <c r="T136" t="s">
        <v>261</v>
      </c>
      <c r="U136" t="s">
        <v>291</v>
      </c>
      <c r="V136" t="s">
        <v>25</v>
      </c>
      <c r="W136" t="s">
        <v>244</v>
      </c>
      <c r="AD136" s="12" t="s">
        <v>461</v>
      </c>
      <c r="AE136" s="23">
        <f>INDEX($A$123:$M$153,MATCH(A136,$A$123:$A$153,0),MATCH(Dashboard!$D$4,Reykjavík!$A$123:$M$123,0))</f>
        <v>3679.2395876393066</v>
      </c>
    </row>
    <row r="137" spans="1:31" x14ac:dyDescent="0.25">
      <c r="A137" s="12" t="s">
        <v>9</v>
      </c>
      <c r="B137" s="12" t="s">
        <v>393</v>
      </c>
      <c r="C137" s="12"/>
      <c r="D137" s="12">
        <f t="shared" ref="D137:M137" si="68">D63</f>
        <v>67280.512525744824</v>
      </c>
      <c r="E137" s="12">
        <f t="shared" si="68"/>
        <v>67330.752409439214</v>
      </c>
      <c r="F137" s="12">
        <f t="shared" si="68"/>
        <v>67345.76638412477</v>
      </c>
      <c r="G137" s="12">
        <f t="shared" si="68"/>
        <v>53056.836599577196</v>
      </c>
      <c r="H137" s="12">
        <f t="shared" si="68"/>
        <v>69002.328539332855</v>
      </c>
      <c r="I137" s="12">
        <f t="shared" si="68"/>
        <v>73063.594417448272</v>
      </c>
      <c r="J137" s="12">
        <f t="shared" si="68"/>
        <v>77165.733614047786</v>
      </c>
      <c r="K137" s="12">
        <f t="shared" si="68"/>
        <v>79277.356794722858</v>
      </c>
      <c r="L137" s="12">
        <f t="shared" si="68"/>
        <v>82645.834813505004</v>
      </c>
      <c r="M137" s="12">
        <f t="shared" si="68"/>
        <v>80736.348080587733</v>
      </c>
      <c r="O137" s="23">
        <f>INDEX($A$123:$M$153,MATCH(A137,$A$123:$A$153,0),MATCH(Mælaborð!$D$4,Reykjavík!$A$123:$M$123,0))</f>
        <v>80736.348080587733</v>
      </c>
      <c r="R137" t="s">
        <v>254</v>
      </c>
      <c r="S137" t="s">
        <v>286</v>
      </c>
      <c r="T137" t="s">
        <v>31</v>
      </c>
      <c r="U137" t="s">
        <v>44</v>
      </c>
      <c r="V137" t="s">
        <v>435</v>
      </c>
      <c r="W137" t="s">
        <v>293</v>
      </c>
      <c r="AD137" s="12" t="s">
        <v>221</v>
      </c>
      <c r="AE137" s="23">
        <f>INDEX($A$123:$M$153,MATCH(A137,$A$123:$A$153,0),MATCH(Dashboard!$D$4,Reykjavík!$A$123:$M$123,0))</f>
        <v>80736.348080587733</v>
      </c>
    </row>
    <row r="138" spans="1:31" x14ac:dyDescent="0.25">
      <c r="A138" s="12" t="s">
        <v>291</v>
      </c>
      <c r="B138" s="12" t="s">
        <v>393</v>
      </c>
      <c r="C138" s="12"/>
      <c r="D138" s="12">
        <f t="shared" ref="D138:I138" si="69">D71</f>
        <v>1829.6519397420795</v>
      </c>
      <c r="E138" s="12">
        <f t="shared" si="69"/>
        <v>2245.4398830453683</v>
      </c>
      <c r="F138" s="12">
        <f t="shared" si="69"/>
        <v>1691.624489923749</v>
      </c>
      <c r="G138" s="12">
        <f t="shared" si="69"/>
        <v>1710.0061987558634</v>
      </c>
      <c r="H138" s="12">
        <f t="shared" si="69"/>
        <v>2652.4245259230693</v>
      </c>
      <c r="I138" s="12">
        <f t="shared" si="69"/>
        <v>2654.0703045108339</v>
      </c>
      <c r="J138" s="12">
        <f>J71</f>
        <v>2565.3120470227268</v>
      </c>
      <c r="K138" s="12">
        <f>K71</f>
        <v>2225.7389972815336</v>
      </c>
      <c r="L138" s="12">
        <f>L71</f>
        <v>2248.1210669607221</v>
      </c>
      <c r="M138" s="12">
        <f>M71</f>
        <v>2199.0447206679287</v>
      </c>
      <c r="O138" s="23">
        <f>INDEX($A$123:$M$153,MATCH(A138,$A$123:$A$153,0),MATCH(Mælaborð!$D$4,Reykjavík!$A$123:$M$123,0))</f>
        <v>2199.0447206679287</v>
      </c>
      <c r="S138" t="s">
        <v>288</v>
      </c>
      <c r="T138" t="s">
        <v>290</v>
      </c>
      <c r="V138" t="s">
        <v>292</v>
      </c>
      <c r="W138" t="s">
        <v>248</v>
      </c>
      <c r="AD138" s="12" t="s">
        <v>229</v>
      </c>
      <c r="AE138" s="23">
        <f>INDEX($A$123:$M$153,MATCH(A138,$A$123:$A$153,0),MATCH(Dashboard!$D$4,Reykjavík!$A$123:$M$123,0))</f>
        <v>2199.0447206679287</v>
      </c>
    </row>
    <row r="139" spans="1:31" x14ac:dyDescent="0.25">
      <c r="A139" s="12" t="s">
        <v>44</v>
      </c>
      <c r="B139" s="12" t="s">
        <v>393</v>
      </c>
      <c r="C139" s="12"/>
      <c r="D139" s="845">
        <f t="shared" ref="D139:L139" si="70">D69+D68+D70</f>
        <v>45775.147887150524</v>
      </c>
      <c r="E139" s="845">
        <f t="shared" si="70"/>
        <v>45775.147887150524</v>
      </c>
      <c r="F139" s="845">
        <f t="shared" si="70"/>
        <v>45775.147887150524</v>
      </c>
      <c r="G139" s="845">
        <f t="shared" si="70"/>
        <v>45775.147887150524</v>
      </c>
      <c r="H139" s="845">
        <f t="shared" si="70"/>
        <v>45775.147887150524</v>
      </c>
      <c r="I139" s="845">
        <f t="shared" si="70"/>
        <v>45775.147887150524</v>
      </c>
      <c r="J139" s="845">
        <f t="shared" si="70"/>
        <v>45775.147887150524</v>
      </c>
      <c r="K139" s="845">
        <f t="shared" si="70"/>
        <v>45775.147887150524</v>
      </c>
      <c r="L139" s="845">
        <f t="shared" si="70"/>
        <v>45775.147887150524</v>
      </c>
      <c r="M139" s="845">
        <f>M69+M68+M70</f>
        <v>45775.147887150524</v>
      </c>
      <c r="O139" s="23">
        <f>INDEX($A$123:$M$153,MATCH(A139,$A$123:$A$153,0),MATCH(Mælaborð!$D$4,Reykjavík!$A$123:$M$123,0))</f>
        <v>45775.147887150524</v>
      </c>
      <c r="S139" t="s">
        <v>258</v>
      </c>
      <c r="T139" t="s">
        <v>33</v>
      </c>
      <c r="W139" t="s">
        <v>249</v>
      </c>
      <c r="AD139" s="12" t="s">
        <v>230</v>
      </c>
      <c r="AE139" s="23">
        <f>INDEX($A$123:$M$153,MATCH(A139,$A$123:$A$153,0),MATCH(Dashboard!$D$4,Reykjavík!$A$123:$M$123,0))</f>
        <v>45775.147887150524</v>
      </c>
    </row>
    <row r="140" spans="1:31" x14ac:dyDescent="0.25">
      <c r="A140" s="12" t="s">
        <v>267</v>
      </c>
      <c r="B140" s="12" t="s">
        <v>393</v>
      </c>
      <c r="C140" s="12"/>
      <c r="D140" s="845">
        <f t="shared" ref="D140:L140" si="71">D67</f>
        <v>-14742.381850653543</v>
      </c>
      <c r="E140" s="845">
        <f t="shared" si="71"/>
        <v>-14742.381850653543</v>
      </c>
      <c r="F140" s="845">
        <f t="shared" si="71"/>
        <v>-14742.381850653543</v>
      </c>
      <c r="G140" s="845">
        <f t="shared" si="71"/>
        <v>-14742.381850653543</v>
      </c>
      <c r="H140" s="845">
        <f t="shared" si="71"/>
        <v>-14742.381850653543</v>
      </c>
      <c r="I140" s="845">
        <f t="shared" si="71"/>
        <v>-14742.381850653543</v>
      </c>
      <c r="J140" s="845">
        <f t="shared" si="71"/>
        <v>-14742.381850653543</v>
      </c>
      <c r="K140" s="845">
        <f t="shared" si="71"/>
        <v>-14742.381850653543</v>
      </c>
      <c r="L140" s="845">
        <f t="shared" si="71"/>
        <v>-14742.381850653543</v>
      </c>
      <c r="M140" s="845">
        <f>M67</f>
        <v>-14742.381850653543</v>
      </c>
      <c r="O140" s="23">
        <f>INDEX($A$123:$M$153,MATCH(A140,$A$123:$A$153,0),MATCH(Mælaborð!$D$4,Reykjavík!$A$123:$M$123,0))</f>
        <v>-14742.381850653543</v>
      </c>
      <c r="S140" t="s">
        <v>260</v>
      </c>
      <c r="W140" t="s">
        <v>250</v>
      </c>
      <c r="AD140" s="12" t="s">
        <v>462</v>
      </c>
      <c r="AE140" s="23">
        <f>INDEX($A$123:$M$153,MATCH(A140,$A$123:$A$153,0),MATCH(Dashboard!$D$4,Reykjavík!$A$123:$M$123,0))</f>
        <v>-14742.381850653543</v>
      </c>
    </row>
    <row r="141" spans="1:31" x14ac:dyDescent="0.25">
      <c r="A141" s="12" t="s">
        <v>265</v>
      </c>
      <c r="B141" s="12" t="s">
        <v>393</v>
      </c>
      <c r="C141" s="12"/>
      <c r="D141" s="845">
        <f>D138+D139+D140</f>
        <v>32862.417976239056</v>
      </c>
      <c r="E141" s="845">
        <f t="shared" ref="E141:L141" si="72">E138+E139+E140</f>
        <v>33278.20591954235</v>
      </c>
      <c r="F141" s="845">
        <f t="shared" si="72"/>
        <v>32724.390526420731</v>
      </c>
      <c r="G141" s="845">
        <f t="shared" si="72"/>
        <v>32742.772235252847</v>
      </c>
      <c r="H141" s="845">
        <f t="shared" si="72"/>
        <v>33685.190562420044</v>
      </c>
      <c r="I141" s="845">
        <f t="shared" si="72"/>
        <v>33686.836341007816</v>
      </c>
      <c r="J141" s="845">
        <f t="shared" si="72"/>
        <v>33598.078083519707</v>
      </c>
      <c r="K141" s="845">
        <f t="shared" si="72"/>
        <v>33258.505033778521</v>
      </c>
      <c r="L141" s="845">
        <f t="shared" si="72"/>
        <v>33280.887103457702</v>
      </c>
      <c r="M141" s="845">
        <f>M138+M139+M140</f>
        <v>33231.810757164916</v>
      </c>
      <c r="O141" s="23">
        <f>INDEX($A$123:$M$153,MATCH(A141,$A$123:$A$153,0),MATCH(Mælaborð!$D$4,Reykjavík!$A$123:$M$123,0))</f>
        <v>33231.810757164916</v>
      </c>
      <c r="AD141" s="12" t="s">
        <v>463</v>
      </c>
      <c r="AE141" s="23">
        <f>INDEX($A$123:$M$153,MATCH(A141,$A$123:$A$153,0),MATCH(Dashboard!$D$4,Reykjavík!$A$123:$M$123,0))</f>
        <v>33231.810757164916</v>
      </c>
    </row>
    <row r="142" spans="1:31" x14ac:dyDescent="0.25">
      <c r="A142" s="12" t="s">
        <v>25</v>
      </c>
      <c r="B142" s="12" t="s">
        <v>393</v>
      </c>
      <c r="C142" s="12"/>
      <c r="D142" s="12">
        <f t="shared" ref="D142:I142" si="73">D104</f>
        <v>35110.785829415967</v>
      </c>
      <c r="E142" s="12">
        <f t="shared" si="73"/>
        <v>37624.608696449752</v>
      </c>
      <c r="F142" s="12">
        <f t="shared" si="73"/>
        <v>40204.863988440615</v>
      </c>
      <c r="G142" s="12">
        <f t="shared" si="73"/>
        <v>43855.389807955966</v>
      </c>
      <c r="H142" s="12">
        <f t="shared" si="73"/>
        <v>46145.783610908431</v>
      </c>
      <c r="I142" s="12">
        <f t="shared" si="73"/>
        <v>39168.965783100633</v>
      </c>
      <c r="J142" s="12">
        <f>J104</f>
        <v>34504.151060621814</v>
      </c>
      <c r="K142" s="12">
        <f>K104</f>
        <v>29495.398136066389</v>
      </c>
      <c r="L142" s="12">
        <f>L104</f>
        <v>25677.455003312276</v>
      </c>
      <c r="M142" s="12">
        <f>M104</f>
        <v>31944.836513010301</v>
      </c>
      <c r="O142" s="23">
        <f>INDEX($A$123:$M$153,MATCH(A142,$A$123:$A$153,0),MATCH(Mælaborð!$D$4,Reykjavík!$A$123:$M$123,0))</f>
        <v>31944.836513010301</v>
      </c>
      <c r="AD142" s="12" t="s">
        <v>232</v>
      </c>
      <c r="AE142" s="23">
        <f>INDEX($A$123:$M$153,MATCH(A142,$A$123:$A$153,0),MATCH(Dashboard!$D$4,Reykjavík!$A$123:$M$123,0))</f>
        <v>31944.836513010301</v>
      </c>
    </row>
    <row r="143" spans="1:31" x14ac:dyDescent="0.25">
      <c r="A143" s="12" t="s">
        <v>435</v>
      </c>
      <c r="B143" s="12" t="s">
        <v>393</v>
      </c>
      <c r="C143" s="12">
        <f>C144+C145</f>
        <v>26525.44685</v>
      </c>
      <c r="D143" s="12">
        <f t="shared" ref="D143:I143" si="74">D144+D145</f>
        <v>31431.152409999999</v>
      </c>
      <c r="E143" s="12">
        <f t="shared" si="74"/>
        <v>38446.876859999997</v>
      </c>
      <c r="F143" s="12">
        <f t="shared" si="74"/>
        <v>49583.676729999999</v>
      </c>
      <c r="G143" s="12">
        <f t="shared" si="74"/>
        <v>58168.661459999996</v>
      </c>
      <c r="H143" s="12">
        <f t="shared" si="74"/>
        <v>69340.805030000003</v>
      </c>
      <c r="I143" s="12">
        <f t="shared" si="74"/>
        <v>78371.120380000008</v>
      </c>
      <c r="J143" s="12">
        <f>J144+J145</f>
        <v>86616.805589999989</v>
      </c>
      <c r="K143" s="12">
        <f>K144+K145</f>
        <v>88670.274560000005</v>
      </c>
      <c r="L143" s="12">
        <f>L144+L145</f>
        <v>81188.013269999996</v>
      </c>
      <c r="M143" s="12">
        <f>M144+M145</f>
        <v>77600.627720000004</v>
      </c>
      <c r="O143" s="23">
        <f>INDEX($A$123:$M$153,MATCH(A143,$A$123:$A$153,0),MATCH(Mælaborð!$D$4,Reykjavík!$A$123:$M$123,0))</f>
        <v>77600.627720000004</v>
      </c>
      <c r="AD143" s="12" t="s">
        <v>464</v>
      </c>
      <c r="AE143" s="23">
        <f>INDEX($A$123:$M$153,MATCH(A143,$A$123:$A$153,0),MATCH(Dashboard!$D$4,Reykjavík!$A$123:$M$123,0))</f>
        <v>77600.627720000004</v>
      </c>
    </row>
    <row r="144" spans="1:31" x14ac:dyDescent="0.25">
      <c r="A144" s="12" t="s">
        <v>284</v>
      </c>
      <c r="B144" s="12" t="s">
        <v>393</v>
      </c>
      <c r="C144" s="12">
        <f>C116</f>
        <v>3503.9344000000001</v>
      </c>
      <c r="D144" s="12">
        <f t="shared" ref="D144:I144" si="75">D116</f>
        <v>4151.9638400000003</v>
      </c>
      <c r="E144" s="12">
        <f t="shared" si="75"/>
        <v>5078.7206400000005</v>
      </c>
      <c r="F144" s="12">
        <f t="shared" si="75"/>
        <v>6549.85952</v>
      </c>
      <c r="G144" s="12">
        <f t="shared" si="75"/>
        <v>7683.91104</v>
      </c>
      <c r="H144" s="12">
        <f t="shared" si="75"/>
        <v>9159.7187200000008</v>
      </c>
      <c r="I144" s="12">
        <f t="shared" si="75"/>
        <v>10352.59712</v>
      </c>
      <c r="J144" s="12">
        <f>J116</f>
        <v>11441.828159999999</v>
      </c>
      <c r="K144" s="12">
        <f>K116</f>
        <v>11713.085440000001</v>
      </c>
      <c r="L144" s="12">
        <f>L116</f>
        <v>10724.70048</v>
      </c>
      <c r="M144" s="12">
        <f>M116</f>
        <v>10250.817279999999</v>
      </c>
      <c r="O144" s="23">
        <f>INDEX($A$123:$M$153,MATCH(A144,$A$123:$A$153,0),MATCH(Mælaborð!$D$4,Reykjavík!$A$123:$M$123,0))</f>
        <v>10250.817279999999</v>
      </c>
      <c r="R144" t="e">
        <f>#REF!</f>
        <v>#REF!</v>
      </c>
      <c r="S144" t="e">
        <f>#REF!</f>
        <v>#REF!</v>
      </c>
      <c r="AD144" s="12" t="s">
        <v>465</v>
      </c>
      <c r="AE144" s="23">
        <f>INDEX($A$123:$M$153,MATCH(A144,$A$123:$A$153,0),MATCH(Dashboard!$D$4,Reykjavík!$A$123:$M$123,0))</f>
        <v>10250.817279999999</v>
      </c>
    </row>
    <row r="145" spans="1:31" x14ac:dyDescent="0.25">
      <c r="A145" s="12" t="s">
        <v>269</v>
      </c>
      <c r="B145" s="12" t="s">
        <v>393</v>
      </c>
      <c r="C145" s="12">
        <f>C115</f>
        <v>23021.512449999998</v>
      </c>
      <c r="D145" s="12">
        <f t="shared" ref="D145:I145" si="76">D115</f>
        <v>27279.188569999998</v>
      </c>
      <c r="E145" s="12">
        <f t="shared" si="76"/>
        <v>33368.156219999997</v>
      </c>
      <c r="F145" s="12">
        <f t="shared" si="76"/>
        <v>43033.817210000001</v>
      </c>
      <c r="G145" s="12">
        <f t="shared" si="76"/>
        <v>50484.750419999997</v>
      </c>
      <c r="H145" s="12">
        <f t="shared" si="76"/>
        <v>60181.086309999999</v>
      </c>
      <c r="I145" s="12">
        <f t="shared" si="76"/>
        <v>68018.523260000002</v>
      </c>
      <c r="J145" s="12">
        <f>J115</f>
        <v>75174.977429999984</v>
      </c>
      <c r="K145" s="12">
        <f>K115</f>
        <v>76957.18912000001</v>
      </c>
      <c r="L145" s="12">
        <f>L115</f>
        <v>70463.312789999996</v>
      </c>
      <c r="M145" s="12">
        <f>M115</f>
        <v>67349.810440000001</v>
      </c>
      <c r="O145" s="23">
        <f>INDEX($A$123:$M$153,MATCH(A145,$A$123:$A$153,0),MATCH(Mælaborð!$D$4,Reykjavík!$A$123:$M$123,0))</f>
        <v>67349.810440000001</v>
      </c>
      <c r="R145">
        <v>2016</v>
      </c>
      <c r="S145">
        <v>2017</v>
      </c>
      <c r="T145">
        <v>2018</v>
      </c>
      <c r="U145">
        <v>2019</v>
      </c>
      <c r="V145">
        <v>2020</v>
      </c>
      <c r="W145">
        <v>2021</v>
      </c>
      <c r="X145">
        <v>2022</v>
      </c>
      <c r="Y145">
        <v>2023</v>
      </c>
      <c r="Z145">
        <v>2024</v>
      </c>
      <c r="AA145">
        <v>2025</v>
      </c>
      <c r="AD145" s="12" t="s">
        <v>233</v>
      </c>
      <c r="AE145" s="23">
        <f>INDEX($A$123:$M$153,MATCH(A145,$A$123:$A$153,0),MATCH(Dashboard!$D$4,Reykjavík!$A$123:$M$123,0))</f>
        <v>67349.810440000001</v>
      </c>
    </row>
    <row r="146" spans="1:31" x14ac:dyDescent="0.25">
      <c r="A146" s="12" t="s">
        <v>292</v>
      </c>
      <c r="B146" s="12" t="s">
        <v>393</v>
      </c>
      <c r="C146" s="12"/>
      <c r="D146" s="12">
        <f t="shared" ref="D146:I146" si="77">D121</f>
        <v>2789.9376058862435</v>
      </c>
      <c r="E146" s="12">
        <f t="shared" si="77"/>
        <v>1783.0008987336428</v>
      </c>
      <c r="F146" s="12">
        <f t="shared" si="77"/>
        <v>2725.6752360778246</v>
      </c>
      <c r="G146" s="12">
        <f t="shared" si="77"/>
        <v>3695.582847335269</v>
      </c>
      <c r="H146" s="12">
        <f t="shared" si="77"/>
        <v>3808.7568069704744</v>
      </c>
      <c r="I146" s="12">
        <f t="shared" si="77"/>
        <v>3623.9860284982833</v>
      </c>
      <c r="J146" s="12">
        <f>J121</f>
        <v>3418.9566873479939</v>
      </c>
      <c r="K146" s="12">
        <f>K121</f>
        <v>2481.6131631724438</v>
      </c>
      <c r="L146" s="12">
        <f>L121</f>
        <v>1787.79457272064</v>
      </c>
      <c r="M146" s="12">
        <f>M121</f>
        <v>5478.055685729727</v>
      </c>
      <c r="O146" s="23">
        <f>INDEX($A$123:$M$153,MATCH(A146,$A$123:$A$153,0),MATCH(Mælaborð!$D$4,Reykjavík!$A$123:$M$123,0))</f>
        <v>5478.055685729727</v>
      </c>
      <c r="R146" s="23" t="e">
        <f>INDEX($A$123:$K$153,MATCH($S$144,$A$123:$A$153,0),MATCH(Reykjavík!R$145,Reykjavík!$A$123:$K$123,0))</f>
        <v>#REF!</v>
      </c>
      <c r="S146" s="23" t="e">
        <f>INDEX($A$123:$K$153,MATCH($S$144,$A$123:$A$153,0),MATCH(Reykjavík!S$145,Reykjavík!$A$123:$K$123,0))</f>
        <v>#REF!</v>
      </c>
      <c r="T146" s="23" t="e">
        <f>INDEX($A$123:$K$153,MATCH($S$144,$A$123:$A$153,0),MATCH(Reykjavík!T$145,Reykjavík!$A$123:$K$123,0))</f>
        <v>#REF!</v>
      </c>
      <c r="U146" s="23" t="e">
        <f>INDEX($A$123:$K$153,MATCH($S$144,$A$123:$A$153,0),MATCH(Reykjavík!U$145,Reykjavík!$A$123:$K$123,0))</f>
        <v>#REF!</v>
      </c>
      <c r="V146" s="23" t="e">
        <f>INDEX($A$123:$K$153,MATCH($S$144,$A$123:$A$153,0),MATCH(Reykjavík!V$145,Reykjavík!$A$123:$K$123,0))</f>
        <v>#REF!</v>
      </c>
      <c r="W146" s="23" t="e">
        <f>INDEX($A$123:$K$153,MATCH($S$144,$A$123:$A$153,0),MATCH(Reykjavík!W$145,Reykjavík!$A$123:$K$123,0))</f>
        <v>#REF!</v>
      </c>
      <c r="X146" s="23" t="e">
        <f>INDEX($A$123:$K$153,MATCH($S$144,$A$123:$A$153,0),MATCH(Reykjavík!X$145,Reykjavík!$A$123:$K$123,0))</f>
        <v>#REF!</v>
      </c>
      <c r="Y146" s="23" t="e">
        <f>INDEX($A$123:$K$153,MATCH($S$144,$A$123:$A$153,0),MATCH(Reykjavík!Y$145,Reykjavík!$A$123:$K$123,0))</f>
        <v>#REF!</v>
      </c>
      <c r="Z146" s="23" t="e">
        <f>INDEX($A$123:$L$153,MATCH($S$144,$A$123:$A$153,0),MATCH(Reykjavík!Z$145,Reykjavík!$A$123:$L$123,0))</f>
        <v>#REF!</v>
      </c>
      <c r="AA146" s="23" t="e">
        <f>INDEX($A$123:$M$153,MATCH($S$144,$A$123:$A$153,0),MATCH(Reykjavík!AA$145,$A$123:$M$123,0))</f>
        <v>#REF!</v>
      </c>
      <c r="AD146" s="12" t="s">
        <v>234</v>
      </c>
      <c r="AE146" s="23">
        <f>INDEX($A$123:$M$153,MATCH(A146,$A$123:$A$153,0),MATCH(Dashboard!$D$4,Reykjavík!$A$123:$M$123,0))</f>
        <v>5478.055685729727</v>
      </c>
    </row>
    <row r="147" spans="1:31" x14ac:dyDescent="0.25">
      <c r="A147" s="12" t="s">
        <v>268</v>
      </c>
      <c r="B147" s="12" t="s">
        <v>393</v>
      </c>
      <c r="C147" s="12"/>
      <c r="D147" s="12">
        <f>SUM(D142:D146)-D144-D143</f>
        <v>65179.912005302205</v>
      </c>
      <c r="E147" s="12">
        <f t="shared" ref="E147:L147" si="78">SUM(E142:E146)-E144-E143</f>
        <v>72775.765815183375</v>
      </c>
      <c r="F147" s="12">
        <f t="shared" si="78"/>
        <v>85964.356434518442</v>
      </c>
      <c r="G147" s="12">
        <f t="shared" si="78"/>
        <v>98035.7230752912</v>
      </c>
      <c r="H147" s="12">
        <f t="shared" si="78"/>
        <v>110135.62672787892</v>
      </c>
      <c r="I147" s="12">
        <f t="shared" si="78"/>
        <v>110811.47507159892</v>
      </c>
      <c r="J147" s="12">
        <f t="shared" si="78"/>
        <v>113098.08517796978</v>
      </c>
      <c r="K147" s="12">
        <f t="shared" si="78"/>
        <v>108934.20041923884</v>
      </c>
      <c r="L147" s="12">
        <f t="shared" si="78"/>
        <v>97928.562366032915</v>
      </c>
      <c r="M147" s="12">
        <f>SUM(M142:M146)-M144-M143</f>
        <v>104772.70263874003</v>
      </c>
      <c r="O147" s="23">
        <f>INDEX($A$123:$M$153,MATCH(A147,$A$123:$A$153,0),MATCH(Mælaborð!$D$4,Reykjavík!$A$123:$M$123,0))</f>
        <v>104772.70263874003</v>
      </c>
      <c r="R147" s="194" t="e">
        <f>INDEX($A$155:$K$184,MATCH($S$144,$A$155:$A$184,0),MATCH(Reykjavík!R$145,Reykjavík!$A$123:$K$123,0))</f>
        <v>#REF!</v>
      </c>
      <c r="S147" s="194" t="e">
        <f>INDEX($A$155:$K$184,MATCH($S$144,$A$155:$A$184,0),MATCH(Reykjavík!S$145,Reykjavík!$A$123:$K$123,0))</f>
        <v>#REF!</v>
      </c>
      <c r="T147" s="194" t="e">
        <f>INDEX($A$155:$K$184,MATCH($S$144,$A$155:$A$184,0),MATCH(Reykjavík!T$145,Reykjavík!$A$123:$K$123,0))</f>
        <v>#REF!</v>
      </c>
      <c r="U147" s="194" t="e">
        <f>INDEX($A$155:$K$184,MATCH($S$144,$A$155:$A$184,0),MATCH(Reykjavík!U$145,Reykjavík!$A$123:$K$123,0))</f>
        <v>#REF!</v>
      </c>
      <c r="V147" s="194" t="e">
        <f>INDEX($A$155:$K$184,MATCH($S$144,$A$155:$A$184,0),MATCH(Reykjavík!V$145,Reykjavík!$A$123:$K$123,0))</f>
        <v>#REF!</v>
      </c>
      <c r="W147" s="194" t="e">
        <f>INDEX($A$155:$K$184,MATCH($S$144,$A$155:$A$184,0),MATCH(Reykjavík!W$145,Reykjavík!$A$123:$K$123,0))</f>
        <v>#REF!</v>
      </c>
      <c r="X147" s="194" t="e">
        <f>INDEX($A$155:$K$184,MATCH($S$144,$A$155:$A$184,0),MATCH(Reykjavík!X$145,Reykjavík!$A$123:$K$123,0))</f>
        <v>#REF!</v>
      </c>
      <c r="Y147" s="194" t="e">
        <f>INDEX($A$155:$K$184,MATCH($S$144,$A$155:$A$184,0),MATCH(Reykjavík!Y$145,Reykjavík!$A$123:$K$123,0))</f>
        <v>#REF!</v>
      </c>
      <c r="Z147" s="194" t="e">
        <f>INDEX($A$155:$L$184,MATCH($S$144,$A$155:$A$184,0),MATCH(Reykjavík!Z$145,Reykjavík!$A$123:$L$123,0))</f>
        <v>#REF!</v>
      </c>
      <c r="AA147" s="194" t="e">
        <f>INDEX($A$155:$M$184,MATCH($S$144,$A$155:$A$184,0),MATCH(Reykjavík!AA$145,$A$123:$M$123,0))</f>
        <v>#REF!</v>
      </c>
      <c r="AD147" s="12" t="s">
        <v>231</v>
      </c>
      <c r="AE147" s="23">
        <f>INDEX($A$123:$M$153,MATCH(A147,$A$123:$A$153,0),MATCH(Dashboard!$D$4,Reykjavík!$A$123:$M$123,0))</f>
        <v>104772.70263874003</v>
      </c>
    </row>
    <row r="148" spans="1:31" x14ac:dyDescent="0.25">
      <c r="A148" s="12" t="s">
        <v>236</v>
      </c>
      <c r="B148" s="12" t="s">
        <v>393</v>
      </c>
      <c r="C148" s="12"/>
      <c r="D148" s="12">
        <f t="shared" ref="D148:K148" si="79">D126+D132+D137-D26</f>
        <v>398461.27810226975</v>
      </c>
      <c r="E148" s="12">
        <f t="shared" si="79"/>
        <v>424484.73503347801</v>
      </c>
      <c r="F148" s="12">
        <f t="shared" si="79"/>
        <v>441697.06867385854</v>
      </c>
      <c r="G148" s="12">
        <f t="shared" si="79"/>
        <v>445821.98354376038</v>
      </c>
      <c r="H148" s="12">
        <f t="shared" si="79"/>
        <v>410897.19854802109</v>
      </c>
      <c r="I148" s="12">
        <f t="shared" si="79"/>
        <v>434506.95741438027</v>
      </c>
      <c r="J148" s="12">
        <f t="shared" si="79"/>
        <v>416292.90356580273</v>
      </c>
      <c r="K148" s="12">
        <f t="shared" si="79"/>
        <v>447478.44946677727</v>
      </c>
      <c r="L148" s="845">
        <f>L126+L132+L137-L26</f>
        <v>445882.79524029628</v>
      </c>
      <c r="M148" s="845">
        <f>M126+M132+M137-M26</f>
        <v>425641.28316233394</v>
      </c>
      <c r="O148" s="23">
        <f>INDEX($A$123:$M$153,MATCH(A148,$A$123:$A$153,0),MATCH(Mælaborð!$D$4,Reykjavík!$A$123:$M$123,0))</f>
        <v>425641.28316233394</v>
      </c>
      <c r="R148" s="23"/>
      <c r="S148" s="23"/>
      <c r="T148" s="23"/>
      <c r="U148" s="23"/>
      <c r="V148" s="23"/>
      <c r="W148" s="16"/>
      <c r="AD148" s="12" t="s">
        <v>236</v>
      </c>
      <c r="AE148" s="23">
        <f>INDEX($A$123:$M$153,MATCH(A148,$A$123:$A$153,0),MATCH(Dashboard!$D$4,Reykjavík!$A$123:$M$123,0))</f>
        <v>425641.28316233394</v>
      </c>
    </row>
    <row r="149" spans="1:31" x14ac:dyDescent="0.25">
      <c r="A149" s="12" t="s">
        <v>244</v>
      </c>
      <c r="B149" s="12" t="s">
        <v>393</v>
      </c>
      <c r="C149" s="12"/>
      <c r="D149" s="12">
        <f t="shared" ref="D149:M149" si="80">D148+D141+D142+D26</f>
        <v>466434.48190792475</v>
      </c>
      <c r="E149" s="12">
        <f t="shared" si="80"/>
        <v>495387.54964947014</v>
      </c>
      <c r="F149" s="12">
        <f t="shared" si="80"/>
        <v>514819.55922034342</v>
      </c>
      <c r="G149" s="12">
        <f t="shared" si="80"/>
        <v>522605.25108272373</v>
      </c>
      <c r="H149" s="12">
        <f t="shared" si="80"/>
        <v>490963.97520302155</v>
      </c>
      <c r="I149" s="12">
        <f t="shared" si="80"/>
        <v>507581.91122789454</v>
      </c>
      <c r="J149" s="12">
        <f t="shared" si="80"/>
        <v>484629.41996219428</v>
      </c>
      <c r="K149" s="12">
        <f t="shared" si="80"/>
        <v>510464.18710276426</v>
      </c>
      <c r="L149" s="12">
        <f t="shared" si="80"/>
        <v>505112.12943228381</v>
      </c>
      <c r="M149" s="845">
        <f t="shared" si="80"/>
        <v>491058.4231615609</v>
      </c>
      <c r="O149" s="23">
        <f>INDEX($A$123:$M$153,MATCH(A149,$A$123:$A$153,0),MATCH(Mælaborð!$D$4,Reykjavík!$A$123:$M$123,0))</f>
        <v>491058.4231615609</v>
      </c>
      <c r="R149" t="e">
        <f>#REF!</f>
        <v>#REF!</v>
      </c>
      <c r="S149" t="e">
        <f>#REF!</f>
        <v>#REF!</v>
      </c>
      <c r="W149" s="16"/>
      <c r="AD149" s="12" t="s">
        <v>244</v>
      </c>
      <c r="AE149" s="23">
        <f>INDEX($A$123:$M$153,MATCH(A149,$A$123:$A$153,0),MATCH(Dashboard!$D$4,Reykjavík!$A$123:$M$123,0))</f>
        <v>491058.4231615609</v>
      </c>
    </row>
    <row r="150" spans="1:31" x14ac:dyDescent="0.25">
      <c r="A150" s="12" t="s">
        <v>293</v>
      </c>
      <c r="B150" s="12" t="s">
        <v>393</v>
      </c>
      <c r="C150" s="12"/>
      <c r="D150" s="12">
        <f>D149+D145+D146</f>
        <v>496503.60808381101</v>
      </c>
      <c r="E150" s="12">
        <f t="shared" ref="E150:K150" si="81">E149+E145+E146</f>
        <v>530538.70676820376</v>
      </c>
      <c r="F150" s="12">
        <f t="shared" si="81"/>
        <v>560579.05166642123</v>
      </c>
      <c r="G150" s="12">
        <f t="shared" si="81"/>
        <v>576785.58435005893</v>
      </c>
      <c r="H150" s="12">
        <f t="shared" si="81"/>
        <v>554953.81831999205</v>
      </c>
      <c r="I150" s="12">
        <f t="shared" si="81"/>
        <v>579224.4205163928</v>
      </c>
      <c r="J150" s="12">
        <f t="shared" si="81"/>
        <v>563223.35407954222</v>
      </c>
      <c r="K150" s="12">
        <f t="shared" si="81"/>
        <v>589902.98938593676</v>
      </c>
      <c r="L150" s="12">
        <f t="shared" ref="L150:M150" si="82">L149+L145+L146</f>
        <v>577363.23679500446</v>
      </c>
      <c r="M150" s="12">
        <f t="shared" si="82"/>
        <v>563886.28928729065</v>
      </c>
      <c r="O150" s="23">
        <f>INDEX($A$123:$M$153,MATCH(A150,$A$123:$A$153,0),MATCH(Mælaborð!$D$4,Reykjavík!$A$123:$M$123,0))</f>
        <v>563886.28928729065</v>
      </c>
      <c r="R150">
        <v>2016</v>
      </c>
      <c r="S150">
        <v>2017</v>
      </c>
      <c r="T150">
        <v>2018</v>
      </c>
      <c r="U150">
        <v>2019</v>
      </c>
      <c r="V150">
        <v>2020</v>
      </c>
      <c r="W150">
        <v>2021</v>
      </c>
      <c r="X150">
        <v>2022</v>
      </c>
      <c r="Y150">
        <v>2023</v>
      </c>
      <c r="Z150">
        <v>2024</v>
      </c>
      <c r="AA150">
        <v>2025</v>
      </c>
      <c r="AD150" s="12" t="s">
        <v>293</v>
      </c>
      <c r="AE150" s="23">
        <f>INDEX($A$123:$M$153,MATCH(A150,$A$123:$A$153,0),MATCH(Dashboard!$D$4,Reykjavík!$A$123:$M$123,0))</f>
        <v>563886.28928729065</v>
      </c>
    </row>
    <row r="151" spans="1:31" x14ac:dyDescent="0.25">
      <c r="A151" s="1" t="s">
        <v>248</v>
      </c>
      <c r="B151" s="1" t="s">
        <v>393</v>
      </c>
      <c r="C151" s="1"/>
      <c r="D151" s="1">
        <f>D132+D137-D135+D141+D142+D146+D144</f>
        <v>449196.01468940673</v>
      </c>
      <c r="E151" s="1">
        <f t="shared" ref="E151:J151" si="83">E132+E137-E135+E141+E142+E146+E144</f>
        <v>477226.82036787615</v>
      </c>
      <c r="F151" s="1">
        <f t="shared" si="83"/>
        <v>498132.03189413971</v>
      </c>
      <c r="G151" s="1">
        <f t="shared" si="83"/>
        <v>506964.46083041449</v>
      </c>
      <c r="H151" s="1">
        <f t="shared" si="83"/>
        <v>474558.45216301153</v>
      </c>
      <c r="I151" s="1">
        <f t="shared" si="83"/>
        <v>490868.91483320866</v>
      </c>
      <c r="J151" s="1">
        <f t="shared" si="83"/>
        <v>468117.94050638319</v>
      </c>
      <c r="K151" s="1">
        <f>K132+K137-K135+K141+K142+K144</f>
        <v>480327.83715194027</v>
      </c>
      <c r="L151" s="1">
        <f>L132+L137-L135+L141+L142+L144</f>
        <v>463518.9108829287</v>
      </c>
      <c r="M151" s="844">
        <f>M132+M137-M135+M141+M142+M144</f>
        <v>448730.55345176515</v>
      </c>
      <c r="N151" s="580"/>
      <c r="O151" s="23">
        <f>INDEX($A$123:$M$153,MATCH(A151,$A$123:$A$153,0),MATCH(Mælaborð!$D$4,Reykjavík!$A$123:$M$123,0))</f>
        <v>448730.55345176515</v>
      </c>
      <c r="R151" s="23" t="e">
        <f>INDEX($A$123:$K$153,MATCH($S$149,$A$123:$A$153,0),MATCH(R$150,Reykjavík!$A$123:$K$123,0))</f>
        <v>#REF!</v>
      </c>
      <c r="S151" s="23" t="e">
        <f>INDEX($A$123:$K$153,MATCH($S$149,$A$123:$A$153,0),MATCH(S$150,Reykjavík!$A$123:$K$123,0))</f>
        <v>#REF!</v>
      </c>
      <c r="T151" s="23" t="e">
        <f>INDEX($A$123:$K$153,MATCH($S$149,$A$123:$A$153,0),MATCH(T$150,Reykjavík!$A$123:$K$123,0))</f>
        <v>#REF!</v>
      </c>
      <c r="U151" s="23" t="e">
        <f>INDEX($A$123:$K$153,MATCH($S$149,$A$123:$A$153,0),MATCH(U$150,Reykjavík!$A$123:$K$123,0))</f>
        <v>#REF!</v>
      </c>
      <c r="V151" s="23" t="e">
        <f>INDEX($A$123:$K$153,MATCH($S$149,$A$123:$A$153,0),MATCH(V$150,Reykjavík!$A$123:$K$123,0))</f>
        <v>#REF!</v>
      </c>
      <c r="W151" s="23" t="e">
        <f>INDEX($A$123:$K$153,MATCH($S$149,$A$123:$A$153,0),MATCH(W$150,Reykjavík!$A$123:$K$123,0))</f>
        <v>#REF!</v>
      </c>
      <c r="X151" s="23" t="e">
        <f>INDEX($A$123:$K$153,MATCH($S$149,$A$123:$A$153,0),MATCH(X$150,Reykjavík!$A$123:$K$123,0))</f>
        <v>#REF!</v>
      </c>
      <c r="Y151" s="23" t="e">
        <f>INDEX($A$123:$K$153,MATCH($S$149,$A$123:$A$153,0),MATCH(Y$150,Reykjavík!$A$123:$K$123,0))</f>
        <v>#REF!</v>
      </c>
      <c r="Z151" s="23" t="e">
        <f>INDEX($A$123:$L$153,MATCH($S$149,$A$123:$A$153,0),MATCH(Z$150,Reykjavík!$A$123:$L$123,0))</f>
        <v>#REF!</v>
      </c>
      <c r="AA151" s="23" t="e">
        <f>INDEX($A$123:$M$153,MATCH($S$149,$A$123:$A$153,0),MATCH(AA$150,Reykjavík!$A$123:$M$123,0))</f>
        <v>#REF!</v>
      </c>
      <c r="AD151" s="1" t="s">
        <v>208</v>
      </c>
      <c r="AE151" s="23">
        <f>INDEX($A$123:$M$153,MATCH(A151,$A$123:$A$153,0),MATCH(Dashboard!$D$4,Reykjavík!$A$123:$M$123,0))</f>
        <v>448730.55345176515</v>
      </c>
    </row>
    <row r="152" spans="1:31" x14ac:dyDescent="0.25">
      <c r="A152" s="1" t="s">
        <v>249</v>
      </c>
      <c r="B152" s="1" t="s">
        <v>393</v>
      </c>
      <c r="C152" s="1"/>
      <c r="D152" s="1">
        <f t="shared" ref="D152:M152" si="84">D126-D26-D144</f>
        <v>15719.108339999999</v>
      </c>
      <c r="E152" s="1">
        <f t="shared" si="84"/>
        <v>15469.313760000001</v>
      </c>
      <c r="F152" s="1">
        <f t="shared" si="84"/>
        <v>14780.928764950002</v>
      </c>
      <c r="G152" s="1">
        <f t="shared" si="84"/>
        <v>15090.091737320003</v>
      </c>
      <c r="H152" s="1">
        <f t="shared" si="84"/>
        <v>15755.221124939999</v>
      </c>
      <c r="I152" s="1">
        <f t="shared" si="84"/>
        <v>15268.603645014891</v>
      </c>
      <c r="J152" s="1">
        <f t="shared" si="84"/>
        <v>15180.973611299998</v>
      </c>
      <c r="K152" s="1">
        <f t="shared" si="84"/>
        <v>15571.158399411279</v>
      </c>
      <c r="L152" s="1">
        <f t="shared" si="84"/>
        <v>17970.926737199999</v>
      </c>
      <c r="M152" s="844">
        <f t="shared" si="84"/>
        <v>14705.370054438288</v>
      </c>
      <c r="N152" s="580"/>
      <c r="O152" s="23">
        <f>INDEX($A$123:$M$153,MATCH(A152,$A$123:$A$153,0),MATCH(Mælaborð!$D$4,Reykjavík!$A$123:$M$123,0))</f>
        <v>14705.370054438288</v>
      </c>
      <c r="R152" s="194" t="e">
        <f>INDEX($A$155:$K$184,MATCH($S$149,$A$155:$A$184,0),MATCH(R$150,Reykjavík!$A$123:$K$123,0))</f>
        <v>#REF!</v>
      </c>
      <c r="S152" s="194" t="e">
        <f>INDEX($A$155:$K$184,MATCH($S$149,$A$155:$A$184,0),MATCH(S$150,Reykjavík!$A$123:$K$123,0))</f>
        <v>#REF!</v>
      </c>
      <c r="T152" s="194" t="e">
        <f>INDEX($A$155:$K$184,MATCH($S$149,$A$155:$A$184,0),MATCH(T$150,Reykjavík!$A$123:$K$123,0))</f>
        <v>#REF!</v>
      </c>
      <c r="U152" s="194" t="e">
        <f>INDEX($A$155:$K$184,MATCH($S$149,$A$155:$A$184,0),MATCH(U$150,Reykjavík!$A$123:$K$123,0))</f>
        <v>#REF!</v>
      </c>
      <c r="V152" s="194" t="e">
        <f>INDEX($A$155:$K$184,MATCH($S$149,$A$155:$A$184,0),MATCH(V$150,Reykjavík!$A$123:$K$123,0))</f>
        <v>#REF!</v>
      </c>
      <c r="W152" s="194" t="e">
        <f>INDEX($A$155:$K$184,MATCH($S$149,$A$155:$A$184,0),MATCH(W$150,Reykjavík!$A$123:$K$123,0))</f>
        <v>#REF!</v>
      </c>
      <c r="X152" s="194" t="e">
        <f>INDEX($A$155:$K$184,MATCH($S$149,$A$155:$A$184,0),MATCH(X$150,Reykjavík!$A$123:$K$123,0))</f>
        <v>#REF!</v>
      </c>
      <c r="Y152" s="194" t="e">
        <f>INDEX($A$155:$K$184,MATCH($S$149,$A$155:$A$184,0),MATCH(Y$150,Reykjavík!$A$123:$K$123,0))</f>
        <v>#REF!</v>
      </c>
      <c r="Z152" s="194" t="e">
        <f>INDEX($A$155:$L$184,MATCH($S$149,$A$155:$A$184,0),MATCH(Z$150,Reykjavík!$A$123:$L$123,0))</f>
        <v>#REF!</v>
      </c>
      <c r="AA152" s="194" t="e">
        <f>INDEX($A$155:$M$184,MATCH($S$149,$A$155:$A$184,0),MATCH(AA$150,Reykjavík!$A$123:$M$123,0))</f>
        <v>#REF!</v>
      </c>
      <c r="AD152" s="1" t="s">
        <v>209</v>
      </c>
      <c r="AE152" s="23">
        <f>INDEX($A$123:$M$153,MATCH(A152,$A$123:$A$153,0),MATCH(Dashboard!$D$4,Reykjavík!$A$123:$M$123,0))</f>
        <v>14705.370054438288</v>
      </c>
    </row>
    <row r="153" spans="1:31" x14ac:dyDescent="0.25">
      <c r="A153" s="1" t="s">
        <v>250</v>
      </c>
      <c r="B153" s="1" t="s">
        <v>393</v>
      </c>
      <c r="C153" s="1"/>
      <c r="D153" s="844">
        <f t="shared" ref="D153:M153" si="85">D135+D145+D26+D146</f>
        <v>34378.422660290504</v>
      </c>
      <c r="E153" s="1">
        <f t="shared" si="85"/>
        <v>39625.573539061246</v>
      </c>
      <c r="F153" s="1">
        <f t="shared" si="85"/>
        <v>50391.766243409336</v>
      </c>
      <c r="G153" s="1">
        <f t="shared" si="85"/>
        <v>58426.614629659751</v>
      </c>
      <c r="H153" s="1">
        <f t="shared" si="85"/>
        <v>68448.90183901097</v>
      </c>
      <c r="I153" s="1">
        <f t="shared" si="85"/>
        <v>76710.88806666751</v>
      </c>
      <c r="J153" s="1">
        <f t="shared" si="85"/>
        <v>83343.396649207119</v>
      </c>
      <c r="K153" s="1">
        <f t="shared" si="85"/>
        <v>94003.993834585257</v>
      </c>
      <c r="L153" s="1">
        <f t="shared" si="85"/>
        <v>95873.399174875754</v>
      </c>
      <c r="M153" s="844">
        <f t="shared" si="85"/>
        <v>100450.36578108722</v>
      </c>
      <c r="N153" s="580"/>
      <c r="O153" s="23">
        <f>INDEX($A$123:$M$153,MATCH(A153,$A$123:$A$153,0),MATCH(Mælaborð!$D$4,Reykjavík!$A$123:$M$123,0))</f>
        <v>100450.36578108722</v>
      </c>
      <c r="AD153" s="1" t="s">
        <v>210</v>
      </c>
      <c r="AE153" s="23">
        <f>INDEX($A$123:$M$153,MATCH(A153,$A$123:$A$153,0),MATCH(Dashboard!$D$4,Reykjavík!$A$123:$M$123,0))</f>
        <v>100450.36578108722</v>
      </c>
    </row>
    <row r="154" spans="1:31" x14ac:dyDescent="0.25">
      <c r="A154" s="1"/>
      <c r="B154" s="1"/>
      <c r="C154" s="1"/>
      <c r="D154" s="1"/>
      <c r="E154" s="1"/>
      <c r="F154" s="1"/>
      <c r="G154" s="1"/>
      <c r="H154" s="1"/>
      <c r="I154" s="1"/>
      <c r="J154" s="1"/>
      <c r="K154" s="1"/>
      <c r="L154" s="1"/>
      <c r="M154" s="1"/>
      <c r="N154" s="23">
        <f>K153+K152+K151</f>
        <v>589902.98938593676</v>
      </c>
      <c r="O154" s="580"/>
    </row>
    <row r="155" spans="1:31" x14ac:dyDescent="0.25">
      <c r="A155" s="6" t="s">
        <v>449</v>
      </c>
      <c r="B155" s="6" t="s">
        <v>2</v>
      </c>
      <c r="C155" s="6">
        <v>2015</v>
      </c>
      <c r="D155" s="6">
        <v>2016</v>
      </c>
      <c r="E155" s="6">
        <v>2017</v>
      </c>
      <c r="F155" s="6">
        <v>2018</v>
      </c>
      <c r="G155" s="6">
        <v>2019</v>
      </c>
      <c r="H155" s="6">
        <v>2020</v>
      </c>
      <c r="I155" s="6">
        <v>2021</v>
      </c>
      <c r="J155" s="6">
        <v>2022</v>
      </c>
      <c r="K155" s="6">
        <v>2023</v>
      </c>
      <c r="L155" s="6">
        <v>2024</v>
      </c>
      <c r="M155" s="6">
        <v>2025</v>
      </c>
      <c r="O155" s="23">
        <f>INDEX($A$155:$M$184,MATCH(A155,$A$155:$A$184,0),MATCH(Mælaborð!$D$4,Reykjavík!$A$123:$M$123,0))</f>
        <v>2025</v>
      </c>
      <c r="AD155" s="6" t="s">
        <v>450</v>
      </c>
      <c r="AE155">
        <f>Dashboard!$D$4</f>
        <v>2025</v>
      </c>
    </row>
    <row r="156" spans="1:31" x14ac:dyDescent="0.25">
      <c r="A156" s="12" t="s">
        <v>251</v>
      </c>
      <c r="B156" s="12" t="s">
        <v>393</v>
      </c>
      <c r="C156" s="12">
        <f t="shared" ref="C156:H156" si="86">C126/C$4</f>
        <v>0</v>
      </c>
      <c r="D156" s="12">
        <f t="shared" si="86"/>
        <v>0.16661137440678819</v>
      </c>
      <c r="E156" s="12">
        <f t="shared" si="86"/>
        <v>0.17050471235468373</v>
      </c>
      <c r="F156" s="12">
        <f t="shared" si="86"/>
        <v>0.1747916966450945</v>
      </c>
      <c r="G156" s="12">
        <f t="shared" si="86"/>
        <v>0.18314540741125201</v>
      </c>
      <c r="H156" s="12">
        <f t="shared" si="86"/>
        <v>0.19874311394489058</v>
      </c>
      <c r="I156" s="12">
        <f>I126/I$4</f>
        <v>0.2009202430170334</v>
      </c>
      <c r="J156" s="12">
        <f>J126/J$4</f>
        <v>0.20558404923184675</v>
      </c>
      <c r="K156" s="12">
        <f>K126/K$4</f>
        <v>0.2048882210126243</v>
      </c>
      <c r="L156" s="12">
        <f>L126/L$4</f>
        <v>0.21159889624393718</v>
      </c>
      <c r="M156" s="12">
        <f>M126/M$4</f>
        <v>0.18156890484744762</v>
      </c>
      <c r="O156" s="23">
        <f>INDEX($A$155:$M$184,MATCH(A156,$A$155:$A$184,0),MATCH(Mælaborð!$D$4,Reykjavík!$A$123:$M$123,0))</f>
        <v>0.18156890484744762</v>
      </c>
      <c r="AD156" s="12" t="s">
        <v>211</v>
      </c>
      <c r="AE156" s="194">
        <f>INDEX($A$155:$M$184,MATCH(A156,$A$155:$A$184,0),MATCH(Dashboard!$D$4,Reykjavík!$A$123:$M$123,0))</f>
        <v>0.18156890484744762</v>
      </c>
    </row>
    <row r="157" spans="1:31" x14ac:dyDescent="0.25">
      <c r="A157" s="12" t="s">
        <v>252</v>
      </c>
      <c r="B157" s="12" t="s">
        <v>393</v>
      </c>
      <c r="C157" s="12">
        <f t="shared" ref="C157:K157" si="87">C124/C$4</f>
        <v>0</v>
      </c>
      <c r="D157" s="12">
        <f t="shared" si="87"/>
        <v>5.440880049636946E-2</v>
      </c>
      <c r="E157" s="12">
        <f t="shared" si="87"/>
        <v>5.457937317965697E-2</v>
      </c>
      <c r="F157" s="12">
        <f t="shared" si="87"/>
        <v>4.279642150521417E-2</v>
      </c>
      <c r="G157" s="12">
        <f t="shared" si="87"/>
        <v>4.3479503773728063E-2</v>
      </c>
      <c r="H157" s="12">
        <f t="shared" si="87"/>
        <v>4.2442427048905634E-2</v>
      </c>
      <c r="I157" s="12">
        <f t="shared" si="87"/>
        <v>3.8813306495767572E-2</v>
      </c>
      <c r="J157" s="12">
        <f t="shared" si="87"/>
        <v>4.084977678432003E-2</v>
      </c>
      <c r="K157" s="12">
        <f t="shared" si="87"/>
        <v>3.8802343799262957E-2</v>
      </c>
      <c r="L157" s="12">
        <f t="shared" ref="L157" si="88">L124/L$4</f>
        <v>4.9130998399619673E-2</v>
      </c>
      <c r="M157" s="12">
        <f>M124/M$4</f>
        <v>4.1278386010794685E-2</v>
      </c>
      <c r="O157" s="23">
        <f>INDEX($A$155:$M$184,MATCH(A157,$A$155:$A$184,0),MATCH(Mælaborð!$D$4,Reykjavík!$A$123:$M$123,0))</f>
        <v>4.1278386010794685E-2</v>
      </c>
      <c r="AD157" s="12" t="s">
        <v>212</v>
      </c>
      <c r="AE157" s="194">
        <f>INDEX($A$155:$M$184,MATCH(A157,$A$155:$A$184,0),MATCH(Dashboard!$D$4,Reykjavík!$A$123:$M$123,0))</f>
        <v>4.1278386010794685E-2</v>
      </c>
    </row>
    <row r="158" spans="1:31" x14ac:dyDescent="0.25">
      <c r="A158" s="12" t="s">
        <v>254</v>
      </c>
      <c r="B158" s="12" t="s">
        <v>393</v>
      </c>
      <c r="C158" s="12">
        <f t="shared" ref="C158:K158" si="89">C125/C$4</f>
        <v>0</v>
      </c>
      <c r="D158" s="12">
        <f t="shared" si="89"/>
        <v>7.7389937953817517E-2</v>
      </c>
      <c r="E158" s="12">
        <f t="shared" si="89"/>
        <v>7.3782826417067029E-2</v>
      </c>
      <c r="F158" s="12">
        <f t="shared" si="89"/>
        <v>7.8805358540210008E-2</v>
      </c>
      <c r="G158" s="12">
        <f t="shared" si="89"/>
        <v>7.8371144224633066E-2</v>
      </c>
      <c r="H158" s="12">
        <f t="shared" si="89"/>
        <v>8.3919880093876673E-2</v>
      </c>
      <c r="I158" s="12">
        <f t="shared" si="89"/>
        <v>8.1610885514345699E-2</v>
      </c>
      <c r="J158" s="12">
        <f t="shared" si="89"/>
        <v>7.7150046112157242E-2</v>
      </c>
      <c r="K158" s="12">
        <f t="shared" si="89"/>
        <v>7.8868752312022505E-2</v>
      </c>
      <c r="L158" s="12">
        <f t="shared" ref="L158" si="90">L125/L$4</f>
        <v>8.4124796758806089E-2</v>
      </c>
      <c r="M158" s="12">
        <f>M125/M$4</f>
        <v>6.6422467068284655E-2</v>
      </c>
      <c r="O158" s="23">
        <f>INDEX($A$155:$M$184,MATCH(A158,$A$155:$A$184,0),MATCH(Mælaborð!$D$4,Reykjavík!$A$123:$M$123,0))</f>
        <v>6.6422467068284655E-2</v>
      </c>
      <c r="AD158" s="12" t="s">
        <v>214</v>
      </c>
      <c r="AE158" s="194">
        <f>INDEX($A$155:$M$184,MATCH(A158,$A$155:$A$184,0),MATCH(Dashboard!$D$4,Reykjavík!$A$123:$M$123,0))</f>
        <v>6.6422467068284655E-2</v>
      </c>
    </row>
    <row r="159" spans="1:31" x14ac:dyDescent="0.25">
      <c r="A159" s="12" t="s">
        <v>256</v>
      </c>
      <c r="B159" s="12" t="s">
        <v>393</v>
      </c>
      <c r="C159" s="12">
        <f t="shared" ref="C159:K159" si="91">C132/C$4</f>
        <v>0</v>
      </c>
      <c r="D159" s="12">
        <f t="shared" si="91"/>
        <v>2.6102132493462089</v>
      </c>
      <c r="E159" s="12">
        <f t="shared" si="91"/>
        <v>2.7931090274413446</v>
      </c>
      <c r="F159" s="12">
        <f t="shared" si="91"/>
        <v>2.8667991489819293</v>
      </c>
      <c r="G159" s="12">
        <f t="shared" si="91"/>
        <v>2.951429037706311</v>
      </c>
      <c r="H159" s="12">
        <f t="shared" si="91"/>
        <v>2.5047999602031488</v>
      </c>
      <c r="I159" s="12">
        <f t="shared" si="91"/>
        <v>2.6111668006524931</v>
      </c>
      <c r="J159" s="12">
        <f t="shared" si="91"/>
        <v>2.3921398688012294</v>
      </c>
      <c r="K159" s="12">
        <f t="shared" si="91"/>
        <v>2.5385102446249617</v>
      </c>
      <c r="L159" s="12">
        <f t="shared" ref="L159:M159" si="92">L132/L$4</f>
        <v>2.4437983637675229</v>
      </c>
      <c r="M159" s="12">
        <f t="shared" si="92"/>
        <v>2.3055713526309916</v>
      </c>
      <c r="O159" s="23">
        <f>INDEX($A$155:$M$184,MATCH(A159,$A$155:$A$184,0),MATCH(Mælaborð!$D$4,Reykjavík!$A$123:$M$123,0))</f>
        <v>2.3055713526309916</v>
      </c>
      <c r="AD159" s="12" t="s">
        <v>216</v>
      </c>
      <c r="AE159" s="194">
        <f>INDEX($A$155:$M$184,MATCH(A159,$A$155:$A$184,0),MATCH(Dashboard!$D$4,Reykjavík!$A$123:$M$123,0))</f>
        <v>2.3055713526309916</v>
      </c>
    </row>
    <row r="160" spans="1:31" x14ac:dyDescent="0.25">
      <c r="A160" s="12" t="s">
        <v>285</v>
      </c>
      <c r="B160" s="12" t="s">
        <v>393</v>
      </c>
      <c r="C160" s="12">
        <f t="shared" ref="C160:K160" si="93">C127/C$4</f>
        <v>0</v>
      </c>
      <c r="D160" s="12">
        <f t="shared" si="93"/>
        <v>1.6006790508090343</v>
      </c>
      <c r="E160" s="12">
        <f t="shared" si="93"/>
        <v>1.7108886558764003</v>
      </c>
      <c r="F160" s="12">
        <f t="shared" si="93"/>
        <v>1.7213295834209608</v>
      </c>
      <c r="G160" s="12">
        <f t="shared" si="93"/>
        <v>1.7483311186907815</v>
      </c>
      <c r="H160" s="12">
        <f t="shared" si="93"/>
        <v>1.530343187793076</v>
      </c>
      <c r="I160" s="12">
        <f t="shared" si="93"/>
        <v>1.5765916353990028</v>
      </c>
      <c r="J160" s="12">
        <f t="shared" si="93"/>
        <v>1.3385423772667262</v>
      </c>
      <c r="K160" s="12">
        <f t="shared" si="93"/>
        <v>1.406617378723884</v>
      </c>
      <c r="L160" s="12">
        <f t="shared" ref="L160:M160" si="94">L127/L$4</f>
        <v>1.3048300567753641</v>
      </c>
      <c r="M160" s="12">
        <f t="shared" si="94"/>
        <v>1.212728605189284</v>
      </c>
      <c r="O160" s="23">
        <f>INDEX($A$155:$M$184,MATCH(A160,$A$155:$A$184,0),MATCH(Mælaborð!$D$4,Reykjavík!$A$123:$M$123,0))</f>
        <v>1.212728605189284</v>
      </c>
      <c r="AD160" s="12" t="s">
        <v>451</v>
      </c>
      <c r="AE160" s="194">
        <f>INDEX($A$155:$M$184,MATCH(A160,$A$155:$A$184,0),MATCH(Dashboard!$D$4,Reykjavík!$A$123:$M$123,0))</f>
        <v>1.212728605189284</v>
      </c>
    </row>
    <row r="161" spans="1:31" x14ac:dyDescent="0.25">
      <c r="A161" s="12" t="s">
        <v>286</v>
      </c>
      <c r="B161" s="12" t="s">
        <v>393</v>
      </c>
      <c r="C161" s="12">
        <f t="shared" ref="C161:K161" si="95">C128/C$4</f>
        <v>0</v>
      </c>
      <c r="D161" s="12">
        <f t="shared" si="95"/>
        <v>0.11939348800434667</v>
      </c>
      <c r="E161" s="12">
        <f t="shared" si="95"/>
        <v>0.12761394241332</v>
      </c>
      <c r="F161" s="12">
        <f t="shared" si="95"/>
        <v>0.12839272361678214</v>
      </c>
      <c r="G161" s="12">
        <f t="shared" si="95"/>
        <v>0.12830398846011037</v>
      </c>
      <c r="H161" s="12">
        <f t="shared" si="95"/>
        <v>9.8518617852077842E-2</v>
      </c>
      <c r="I161" s="12">
        <f t="shared" si="95"/>
        <v>8.3716255025151454E-2</v>
      </c>
      <c r="J161" s="12">
        <f t="shared" si="95"/>
        <v>0.10956106190523243</v>
      </c>
      <c r="K161" s="12">
        <f t="shared" si="95"/>
        <v>0.15382443930994028</v>
      </c>
      <c r="L161" s="12">
        <f t="shared" ref="L161:M161" si="96">L128/L$4</f>
        <v>0.15031500712512574</v>
      </c>
      <c r="M161" s="12">
        <f t="shared" si="96"/>
        <v>0.14874103504658823</v>
      </c>
      <c r="O161" s="23">
        <f>INDEX($A$155:$M$184,MATCH(A161,$A$155:$A$184,0),MATCH(Mælaborð!$D$4,Reykjavík!$A$123:$M$123,0))</f>
        <v>0.14874103504658823</v>
      </c>
      <c r="AD161" s="12" t="s">
        <v>452</v>
      </c>
      <c r="AE161" s="194">
        <f>INDEX($A$155:$M$184,MATCH(A161,$A$155:$A$184,0),MATCH(Dashboard!$D$4,Reykjavík!$A$123:$M$123,0))</f>
        <v>0.14874103504658823</v>
      </c>
    </row>
    <row r="162" spans="1:31" x14ac:dyDescent="0.25">
      <c r="A162" s="12" t="s">
        <v>288</v>
      </c>
      <c r="B162" s="12" t="s">
        <v>393</v>
      </c>
      <c r="C162" s="12">
        <f t="shared" ref="C162:K162" si="97">C129/C$4</f>
        <v>0</v>
      </c>
      <c r="D162" s="12">
        <f t="shared" si="97"/>
        <v>0.58644379759150211</v>
      </c>
      <c r="E162" s="12">
        <f t="shared" si="97"/>
        <v>0.62682149810185661</v>
      </c>
      <c r="F162" s="12">
        <f t="shared" si="97"/>
        <v>0.63064676038445788</v>
      </c>
      <c r="G162" s="12">
        <f t="shared" si="97"/>
        <v>0.63974927300687046</v>
      </c>
      <c r="H162" s="12">
        <f t="shared" si="97"/>
        <v>0.56157329785104071</v>
      </c>
      <c r="I162" s="12">
        <f t="shared" si="97"/>
        <v>0.66605305243218726</v>
      </c>
      <c r="J162" s="12">
        <f t="shared" si="97"/>
        <v>0.558549996847305</v>
      </c>
      <c r="K162" s="12">
        <f t="shared" si="97"/>
        <v>0.54030129274561767</v>
      </c>
      <c r="L162" s="12">
        <f t="shared" ref="L162:M162" si="98">L129/L$4</f>
        <v>0.55452495677580105</v>
      </c>
      <c r="M162" s="12">
        <f t="shared" si="98"/>
        <v>0.56506303237544464</v>
      </c>
      <c r="O162" s="23">
        <f>INDEX($A$155:$M$184,MATCH(A162,$A$155:$A$184,0),MATCH(Mælaborð!$D$4,Reykjavík!$A$123:$M$123,0))</f>
        <v>0.56506303237544464</v>
      </c>
      <c r="R162" t="str">
        <f>Dashboard!B65</f>
        <v>Summary -</v>
      </c>
      <c r="S162" t="str">
        <f>Dashboard!C65</f>
        <v>BASIC</v>
      </c>
      <c r="AD162" s="12" t="s">
        <v>453</v>
      </c>
      <c r="AE162" s="194">
        <f>INDEX($A$155:$M$184,MATCH(A162,$A$155:$A$184,0),MATCH(Dashboard!$D$4,Reykjavík!$A$123:$M$123,0))</f>
        <v>0.56506303237544464</v>
      </c>
    </row>
    <row r="163" spans="1:31" x14ac:dyDescent="0.25">
      <c r="A163" s="12" t="s">
        <v>258</v>
      </c>
      <c r="B163" s="12" t="s">
        <v>393</v>
      </c>
      <c r="C163" s="12">
        <f t="shared" ref="C163:K163" si="99">C130/C$4</f>
        <v>0</v>
      </c>
      <c r="D163" s="12">
        <f t="shared" si="99"/>
        <v>0.25841396542183021</v>
      </c>
      <c r="E163" s="12">
        <f t="shared" si="99"/>
        <v>0.2880187199721192</v>
      </c>
      <c r="F163" s="12">
        <f t="shared" si="99"/>
        <v>0.32694228567252176</v>
      </c>
      <c r="G163" s="12">
        <f t="shared" si="99"/>
        <v>0.37970644543714105</v>
      </c>
      <c r="H163" s="12">
        <f t="shared" si="99"/>
        <v>0.27846920955519205</v>
      </c>
      <c r="I163" s="12">
        <f t="shared" si="99"/>
        <v>0.23271907316693879</v>
      </c>
      <c r="J163" s="12">
        <f t="shared" si="99"/>
        <v>0.34002357660098897</v>
      </c>
      <c r="K163" s="12">
        <f t="shared" si="99"/>
        <v>0.39010260763376969</v>
      </c>
      <c r="L163" s="12">
        <f t="shared" ref="L163:M163" si="100">L130/L$4</f>
        <v>0.38781831197861116</v>
      </c>
      <c r="M163" s="12">
        <f t="shared" si="100"/>
        <v>0.34848528521603783</v>
      </c>
      <c r="O163" s="23">
        <f>INDEX($A$155:$M$184,MATCH(A163,$A$155:$A$184,0),MATCH(Mælaborð!$D$4,Reykjavík!$A$123:$M$123,0))</f>
        <v>0.34848528521603783</v>
      </c>
      <c r="R163">
        <v>2016</v>
      </c>
      <c r="S163">
        <v>2017</v>
      </c>
      <c r="T163">
        <v>2018</v>
      </c>
      <c r="U163">
        <v>2019</v>
      </c>
      <c r="V163">
        <v>2020</v>
      </c>
      <c r="W163">
        <v>2021</v>
      </c>
      <c r="X163">
        <v>2022</v>
      </c>
      <c r="Y163">
        <v>2023</v>
      </c>
      <c r="Z163">
        <v>2024</v>
      </c>
      <c r="AA163">
        <v>2025</v>
      </c>
      <c r="AD163" s="12" t="s">
        <v>218</v>
      </c>
      <c r="AE163" s="194">
        <f>INDEX($A$155:$M$184,MATCH(A163,$A$155:$A$184,0),MATCH(Dashboard!$D$4,Reykjavík!$A$123:$M$123,0))</f>
        <v>0.34848528521603783</v>
      </c>
    </row>
    <row r="164" spans="1:31" x14ac:dyDescent="0.25">
      <c r="A164" s="12" t="s">
        <v>260</v>
      </c>
      <c r="B164" s="12" t="s">
        <v>393</v>
      </c>
      <c r="C164" s="12">
        <f t="shared" ref="C164:K164" si="101">C131/C$4</f>
        <v>0</v>
      </c>
      <c r="D164" s="12">
        <f t="shared" si="101"/>
        <v>4.5282947519495562E-2</v>
      </c>
      <c r="E164" s="12">
        <f t="shared" si="101"/>
        <v>3.9766211077648515E-2</v>
      </c>
      <c r="F164" s="12">
        <f t="shared" si="101"/>
        <v>5.9487795887207297E-2</v>
      </c>
      <c r="G164" s="12">
        <f t="shared" si="101"/>
        <v>5.533821211140804E-2</v>
      </c>
      <c r="H164" s="12">
        <f t="shared" si="101"/>
        <v>3.5895647151762203E-2</v>
      </c>
      <c r="I164" s="12">
        <f t="shared" si="101"/>
        <v>5.208678462921279E-2</v>
      </c>
      <c r="J164" s="12">
        <f t="shared" si="101"/>
        <v>4.5462856180976625E-2</v>
      </c>
      <c r="K164" s="12">
        <f t="shared" si="101"/>
        <v>4.7664526211749873E-2</v>
      </c>
      <c r="L164" s="12">
        <f t="shared" ref="L164:M164" si="102">L131/L$4</f>
        <v>4.6310031112620512E-2</v>
      </c>
      <c r="M164" s="12">
        <f t="shared" si="102"/>
        <v>3.0553394803636322E-2</v>
      </c>
      <c r="O164" s="23">
        <f>INDEX($A$155:$M$184,MATCH(A164,$A$155:$A$184,0),MATCH(Mælaborð!$D$4,Reykjavík!$A$123:$M$123,0))</f>
        <v>3.0553394803636322E-2</v>
      </c>
      <c r="R164" s="23">
        <f>IFERROR(INDEX($A$123:$J$153,MATCH($S$162,$AD$123:$AD$153,0),MATCH(R$163,Reykjavík!$A$123:$J$123,0)),0)</f>
        <v>398461.27810226975</v>
      </c>
      <c r="S164" s="23">
        <f>IFERROR(INDEX($A$123:$J$153,MATCH($S$162,$AD$123:$AD$153,0),MATCH(S$163,Reykjavík!$A$123:$J$123,0)),0)</f>
        <v>424484.73503347801</v>
      </c>
      <c r="T164" s="23">
        <f>IFERROR(INDEX($A$123:$J$153,MATCH($S$162,$AD$123:$AD$153,0),MATCH(T$163,Reykjavík!$A$123:$J$123,0)),0)</f>
        <v>441697.06867385854</v>
      </c>
      <c r="U164" s="23">
        <f>IFERROR(INDEX($A$123:$J$153,MATCH($S$162,$AD$123:$AD$153,0),MATCH(U$163,Reykjavík!$A$123:$J$123,0)),0)</f>
        <v>445821.98354376038</v>
      </c>
      <c r="V164" s="23">
        <f>IFERROR(INDEX($A$123:$K$153,MATCH($S$162,$AD$123:$AD$153,0),MATCH(V$163,Reykjavík!$A$123:$K$123,0)),0)</f>
        <v>410897.19854802109</v>
      </c>
      <c r="W164" s="23">
        <f>IFERROR(INDEX($A$123:$J$153,MATCH($S$162,$AD$123:$AD$153,0),MATCH(W$163,Reykjavík!$A$123:$J$123,0)),0)</f>
        <v>434506.95741438027</v>
      </c>
      <c r="X164" s="23">
        <f>IFERROR(INDEX($A$123:$J$153,MATCH($S$162,$AD$123:$AD$153,0),MATCH(X$163,Reykjavík!$A$123:$J$123,0)),0)</f>
        <v>416292.90356580273</v>
      </c>
      <c r="Y164" s="23">
        <f>IFERROR(INDEX($A$123:$K$153,MATCH($S$162,$AD$123:$AD$153,0),MATCH(Y$163,Reykjavík!$A$123:$K$123,0)),0)</f>
        <v>447478.44946677727</v>
      </c>
      <c r="Z164" s="23">
        <f>IFERROR(INDEX($A$123:$L$153,MATCH($S$162,$AD$123:$AD$153,0),MATCH(Z$163,Reykjavík!$A$123:$L$123,0)),0)</f>
        <v>445882.79524029628</v>
      </c>
      <c r="AA164" s="23">
        <f>IFERROR(INDEX($A$123:$M$153,MATCH($S$162,$AD$123:$AD$153,0),MATCH(AA$163,Reykjavík!$A$123:$M$123,0)),0)</f>
        <v>425641.28316233394</v>
      </c>
      <c r="AD164" s="12" t="s">
        <v>220</v>
      </c>
      <c r="AE164" s="194">
        <f>INDEX($A$155:$M$184,MATCH(A164,$A$155:$A$184,0),MATCH(Dashboard!$D$4,Reykjavík!$A$123:$M$123,0))</f>
        <v>3.0553394803636322E-2</v>
      </c>
    </row>
    <row r="165" spans="1:31" x14ac:dyDescent="0.25">
      <c r="A165" s="12" t="s">
        <v>9</v>
      </c>
      <c r="B165" s="12" t="s">
        <v>393</v>
      </c>
      <c r="C165" s="12">
        <f t="shared" ref="C165:H165" si="103">C137/C$4</f>
        <v>0</v>
      </c>
      <c r="D165" s="12">
        <f t="shared" si="103"/>
        <v>0.56412148077192847</v>
      </c>
      <c r="E165" s="12">
        <f t="shared" si="103"/>
        <v>0.55870115597022074</v>
      </c>
      <c r="F165" s="12">
        <f t="shared" si="103"/>
        <v>0.54689962225517719</v>
      </c>
      <c r="G165" s="12">
        <f t="shared" si="103"/>
        <v>0.42323577376816524</v>
      </c>
      <c r="H165" s="12">
        <f t="shared" si="103"/>
        <v>0.54526174477343048</v>
      </c>
      <c r="I165" s="12">
        <f>I137/I$4</f>
        <v>0.56810197043346766</v>
      </c>
      <c r="J165" s="12">
        <f>J137/J$4</f>
        <v>0.59068367254587317</v>
      </c>
      <c r="K165" s="12">
        <f>K137/K$4</f>
        <v>0.59030928825986129</v>
      </c>
      <c r="L165" s="12">
        <f>L137/L$4</f>
        <v>0.60372138160551236</v>
      </c>
      <c r="M165" s="12">
        <f>M137/M$4</f>
        <v>0.58179134177346825</v>
      </c>
      <c r="O165" s="23">
        <f>INDEX($A$155:$M$184,MATCH(A165,$A$155:$A$184,0),MATCH(Mælaborð!$D$4,Reykjavík!$A$123:$M$123,0))</f>
        <v>0.58179134177346825</v>
      </c>
      <c r="R165" s="194">
        <f>IFERROR(INDEX($A$155:$J$184,MATCH($S$162,$AD$155:$AD$184,0),MATCH(R$163,Reykjavík!$A$155:$J$155,0)),0)</f>
        <v>3.3409461045249254</v>
      </c>
      <c r="S165" s="194">
        <f>IFERROR(INDEX($A$155:$J$184,MATCH($S$162,$AD$155:$AD$184,0),MATCH(S$163,Reykjavík!$A$155:$J$155,0)),0)</f>
        <v>3.5223148957662493</v>
      </c>
      <c r="T165" s="194">
        <f>IFERROR(INDEX($A$155:$J$184,MATCH($S$162,$AD$155:$AD$184,0),MATCH(T$163,Reykjavík!$A$155:$J$155,0)),0)</f>
        <v>3.5869212421034304</v>
      </c>
      <c r="U165" s="194">
        <f>IFERROR(INDEX($A$155:$J$184,MATCH($S$162,$AD$155:$AD$184,0),MATCH(U$163,Reykjavík!$A$155:$J$155,0)),0)</f>
        <v>3.5563336275028745</v>
      </c>
      <c r="V165" s="194">
        <f>IFERROR(INDEX($A$155:$K$184,MATCH($S$162,$AD$155:$AD$184,0),MATCH(V$163,Reykjavík!$A$155:$K$155,0)),0)</f>
        <v>3.2469414894469422</v>
      </c>
      <c r="W165" s="194">
        <f>IFERROR(INDEX($A$155:$J$184,MATCH($S$162,$AD$155:$AD$184,0),MATCH(W$163,Reykjavík!$A$155:$J$155,0)),0)</f>
        <v>3.3784850121637531</v>
      </c>
      <c r="X165" s="194">
        <f>IFERROR(INDEX($A$155:$J$184,MATCH($S$162,$AD$155:$AD$184,0),MATCH(X$163,Reykjavík!$A$155:$J$155,0)),0)</f>
        <v>3.186614182441577</v>
      </c>
      <c r="Y165" s="194">
        <f>IFERROR(INDEX($A$155:$K$184,MATCH($S$162,$AD$155:$AD$184,0),MATCH(Y$163,Reykjavík!$A$155:$K$155,0)),0)</f>
        <v>3.3319814849571645</v>
      </c>
      <c r="Z165" s="194">
        <f>IFERROR(INDEX($A$155:$L$184,MATCH($S$162,$AD$155:$AD$184,0),MATCH(Z$163,Reykjavík!$A$155:$L$155,0)),0)</f>
        <v>3.2571390655565349</v>
      </c>
      <c r="AA165" s="194">
        <f>IFERROR(INDEX($A$155:$M$184,MATCH($S$162,$AD$155:$AD$184,0),MATCH(AA$163,Reykjavík!$A$155:$M$155,0)),0)</f>
        <v>3.0671985931047612</v>
      </c>
      <c r="AD165" s="12" t="s">
        <v>221</v>
      </c>
      <c r="AE165" s="194">
        <f>INDEX($A$155:$M$184,MATCH(A165,$A$155:$A$184,0),MATCH(Dashboard!$D$4,Reykjavík!$A$123:$M$123,0))</f>
        <v>0.58179134177346825</v>
      </c>
    </row>
    <row r="166" spans="1:31" x14ac:dyDescent="0.25">
      <c r="A166" s="12" t="s">
        <v>261</v>
      </c>
      <c r="B166" s="12" t="s">
        <v>393</v>
      </c>
      <c r="C166" s="12">
        <f t="shared" ref="C166:K166" si="104">C133/C$4</f>
        <v>0.49213835638405967</v>
      </c>
      <c r="D166" s="12">
        <f t="shared" si="104"/>
        <v>0.49843620040882836</v>
      </c>
      <c r="E166" s="12">
        <f t="shared" si="104"/>
        <v>0.49362099326183123</v>
      </c>
      <c r="F166" s="12">
        <f t="shared" si="104"/>
        <v>0.48196776099740668</v>
      </c>
      <c r="G166" s="12">
        <f t="shared" si="104"/>
        <v>0.3650488801127284</v>
      </c>
      <c r="H166" s="12">
        <f t="shared" si="104"/>
        <v>0.48187713355927786</v>
      </c>
      <c r="I166" s="12">
        <f t="shared" si="104"/>
        <v>0.48622838803276691</v>
      </c>
      <c r="J166" s="12">
        <f t="shared" si="104"/>
        <v>0.50511874369733456</v>
      </c>
      <c r="K166" s="12">
        <f t="shared" si="104"/>
        <v>0.43125037647691516</v>
      </c>
      <c r="L166" s="12">
        <f t="shared" ref="L166:M166" si="105">L133/L$4</f>
        <v>0.39025497656414571</v>
      </c>
      <c r="M166" s="12">
        <f t="shared" si="105"/>
        <v>0.34182076364487596</v>
      </c>
      <c r="O166" s="23">
        <f>INDEX($A$155:$M$184,MATCH(A166,$A$155:$A$184,0),MATCH(Mælaborð!$D$4,Reykjavík!$A$123:$M$123,0))</f>
        <v>0.34182076364487596</v>
      </c>
      <c r="R166" s="23"/>
      <c r="S166" s="23"/>
      <c r="T166" s="23"/>
      <c r="U166" s="23"/>
      <c r="V166" s="23"/>
      <c r="W166" s="16"/>
      <c r="AD166" s="12" t="s">
        <v>454</v>
      </c>
      <c r="AE166" s="194">
        <f>INDEX($A$155:$M$184,MATCH(A166,$A$155:$A$184,0),MATCH(Dashboard!$D$4,Reykjavík!$A$123:$M$123,0))</f>
        <v>0.34182076364487596</v>
      </c>
    </row>
    <row r="167" spans="1:31" x14ac:dyDescent="0.25">
      <c r="A167" s="12" t="s">
        <v>31</v>
      </c>
      <c r="B167" s="12" t="s">
        <v>393</v>
      </c>
      <c r="C167" s="12">
        <f t="shared" ref="C167:K167" si="106">C134/C$4</f>
        <v>0</v>
      </c>
      <c r="D167" s="12">
        <f t="shared" si="106"/>
        <v>0</v>
      </c>
      <c r="E167" s="12">
        <f t="shared" si="106"/>
        <v>0</v>
      </c>
      <c r="F167" s="12">
        <f t="shared" si="106"/>
        <v>0</v>
      </c>
      <c r="G167" s="12">
        <f t="shared" si="106"/>
        <v>0</v>
      </c>
      <c r="H167" s="12">
        <f t="shared" si="106"/>
        <v>1.9239961759082219E-3</v>
      </c>
      <c r="I167" s="12">
        <f t="shared" si="106"/>
        <v>1.6241521803567381E-2</v>
      </c>
      <c r="J167" s="12">
        <f t="shared" si="106"/>
        <v>2.3881507663139293E-2</v>
      </c>
      <c r="K167" s="12">
        <f t="shared" si="106"/>
        <v>2.5766093199561534E-2</v>
      </c>
      <c r="L167" s="12">
        <f t="shared" ref="L167:M167" si="107">L134/L$4</f>
        <v>1.6298063204158941E-2</v>
      </c>
      <c r="M167" s="12">
        <f t="shared" si="107"/>
        <v>1.614122844749611E-2</v>
      </c>
      <c r="O167" s="23">
        <f>INDEX($A$155:$M$184,MATCH(A167,$A$155:$A$184,0),MATCH(Mælaborð!$D$4,Reykjavík!$A$123:$M$123,0))</f>
        <v>1.614122844749611E-2</v>
      </c>
      <c r="R167" t="str">
        <f>Dashboard!$B$89</f>
        <v>Summary -</v>
      </c>
      <c r="S167" t="str">
        <f>Dashboard!$C$89</f>
        <v>BASIC+</v>
      </c>
      <c r="W167" s="16"/>
      <c r="AD167" s="12" t="s">
        <v>224</v>
      </c>
      <c r="AE167" s="194">
        <f>INDEX($A$155:$M$184,MATCH(A167,$A$155:$A$184,0),MATCH(Dashboard!$D$4,Reykjavík!$A$123:$M$123,0))</f>
        <v>1.614122844749611E-2</v>
      </c>
    </row>
    <row r="168" spans="1:31" x14ac:dyDescent="0.25">
      <c r="A168" s="12" t="s">
        <v>290</v>
      </c>
      <c r="B168" s="12" t="s">
        <v>393</v>
      </c>
      <c r="C168" s="12">
        <f t="shared" ref="C168:K168" si="108">C135/C$4</f>
        <v>0</v>
      </c>
      <c r="D168" s="12">
        <f t="shared" si="108"/>
        <v>3.6131810276225085E-2</v>
      </c>
      <c r="E168" s="12">
        <f t="shared" si="108"/>
        <v>3.7128080956640462E-2</v>
      </c>
      <c r="F168" s="12">
        <f t="shared" si="108"/>
        <v>3.6048414140764894E-2</v>
      </c>
      <c r="G168" s="12">
        <f t="shared" si="108"/>
        <v>3.2396106146856535E-2</v>
      </c>
      <c r="H168" s="12">
        <f t="shared" si="108"/>
        <v>3.3372497928616962E-2</v>
      </c>
      <c r="I168" s="12">
        <f t="shared" si="108"/>
        <v>3.7704899220616185E-2</v>
      </c>
      <c r="J168" s="12">
        <f t="shared" si="108"/>
        <v>3.4562495442437453E-2</v>
      </c>
      <c r="K168" s="12">
        <f t="shared" si="108"/>
        <v>0.10672800105191931</v>
      </c>
      <c r="L168" s="12">
        <f t="shared" ref="L168:M168" si="109">L135/L$4</f>
        <v>0.1705794244228204</v>
      </c>
      <c r="M168" s="12">
        <f t="shared" si="109"/>
        <v>0.19731651144543411</v>
      </c>
      <c r="O168" s="23">
        <f>INDEX($A$155:$M$184,MATCH(A168,$A$155:$A$184,0),MATCH(Mælaborð!$D$4,Reykjavík!$A$123:$M$123,0))</f>
        <v>0.19731651144543411</v>
      </c>
      <c r="R168">
        <v>2016</v>
      </c>
      <c r="S168">
        <v>2017</v>
      </c>
      <c r="T168">
        <v>2018</v>
      </c>
      <c r="U168">
        <v>2019</v>
      </c>
      <c r="V168">
        <v>2020</v>
      </c>
      <c r="W168">
        <v>2021</v>
      </c>
      <c r="X168">
        <v>2022</v>
      </c>
      <c r="Y168">
        <v>2023</v>
      </c>
      <c r="Z168">
        <v>2024</v>
      </c>
      <c r="AA168">
        <v>2025</v>
      </c>
      <c r="AD168" s="12" t="s">
        <v>460</v>
      </c>
      <c r="AE168" s="194">
        <f>INDEX($A$155:$M$184,MATCH(A168,$A$155:$A$184,0),MATCH(Dashboard!$D$4,Reykjavík!$A$123:$M$123,0))</f>
        <v>0.19731651144543411</v>
      </c>
    </row>
    <row r="169" spans="1:31" x14ac:dyDescent="0.25">
      <c r="A169" s="12" t="s">
        <v>33</v>
      </c>
      <c r="B169" s="12" t="s">
        <v>393</v>
      </c>
      <c r="C169" s="12">
        <f t="shared" ref="C169:K169" si="110">C136/C$4</f>
        <v>3.072663923290344E-2</v>
      </c>
      <c r="D169" s="12">
        <f t="shared" si="110"/>
        <v>2.9553470086875026E-2</v>
      </c>
      <c r="E169" s="12">
        <f t="shared" si="110"/>
        <v>2.7952081751749052E-2</v>
      </c>
      <c r="F169" s="12">
        <f t="shared" si="110"/>
        <v>2.8883447117005596E-2</v>
      </c>
      <c r="G169" s="12">
        <f t="shared" si="110"/>
        <v>2.5790787508580309E-2</v>
      </c>
      <c r="H169" s="12">
        <f t="shared" si="110"/>
        <v>2.8088117109627456E-2</v>
      </c>
      <c r="I169" s="12">
        <f t="shared" si="110"/>
        <v>2.7927161376517132E-2</v>
      </c>
      <c r="J169" s="12">
        <f t="shared" si="110"/>
        <v>2.7120925742961939E-2</v>
      </c>
      <c r="K169" s="12">
        <f t="shared" si="110"/>
        <v>2.6564817531465289E-2</v>
      </c>
      <c r="L169" s="12">
        <f t="shared" ref="L169:M169" si="111">L136/L$4</f>
        <v>2.6588917414387282E-2</v>
      </c>
      <c r="M169" s="12">
        <f t="shared" si="111"/>
        <v>2.6512838235662139E-2</v>
      </c>
      <c r="O169" s="23">
        <f>INDEX($A$155:$M$184,MATCH(A169,$A$155:$A$184,0),MATCH(Mælaborð!$D$4,Reykjavík!$A$123:$M$123,0))</f>
        <v>2.6512838235662139E-2</v>
      </c>
      <c r="R169" s="23">
        <f>INDEX($A$123:$K$153,MATCH($S$167,$AD$123:$AD$153,0),MATCH(R$168,Reykjavík!$A$123:$K$123,0))</f>
        <v>466434.48190792475</v>
      </c>
      <c r="S169" s="23">
        <f>INDEX($A$123:$K$153,MATCH($S$167,$AD$123:$AD$153,0),MATCH(S$168,Reykjavík!$A$123:$K$123,0))</f>
        <v>495387.54964947014</v>
      </c>
      <c r="T169" s="23">
        <f>INDEX($A$123:$K$153,MATCH($S$167,$AD$123:$AD$153,0),MATCH(T$168,Reykjavík!$A$123:$K$123,0))</f>
        <v>514819.55922034342</v>
      </c>
      <c r="U169" s="23">
        <f>INDEX($A$123:$K$153,MATCH($S$167,$AD$123:$AD$153,0),MATCH(U$168,Reykjavík!$A$123:$K$123,0))</f>
        <v>522605.25108272373</v>
      </c>
      <c r="V169" s="23">
        <f>INDEX($A$123:$K$153,MATCH($S$167,$AD$123:$AD$153,0),MATCH(V$168,Reykjavík!$A$123:$K$123,0))</f>
        <v>490963.97520302155</v>
      </c>
      <c r="W169" s="23">
        <f>INDEX($A$123:$K$153,MATCH($S$167,$AD$123:$AD$153,0),MATCH(W$168,Reykjavík!$A$123:$K$123,0))</f>
        <v>507581.91122789454</v>
      </c>
      <c r="X169" s="23">
        <f>INDEX($A$123:$K$153,MATCH($S$167,$AD$123:$AD$153,0),MATCH(X$168,Reykjavík!$A$123:$K$123,0))</f>
        <v>484629.41996219428</v>
      </c>
      <c r="Y169" s="23">
        <f>INDEX($A$123:$K$153,MATCH($S$167,$AD$123:$AD$153,0),MATCH(Y$168,Reykjavík!$A$123:$K$123,0))</f>
        <v>510464.18710276426</v>
      </c>
      <c r="Z169" s="23">
        <f>INDEX($A$123:$L$153,MATCH($S$167,$AD$123:$AD$153,0),MATCH(Z$168,Reykjavík!$A$123:$L$123,0))</f>
        <v>505112.12943228381</v>
      </c>
      <c r="AA169" s="23">
        <f>INDEX($A$123:$M$153,MATCH($S$167,$AD$123:$AD$153,0),MATCH(AA$168,Reykjavík!$A$123:$M$123,0))</f>
        <v>491058.4231615609</v>
      </c>
      <c r="AD169" s="12" t="s">
        <v>461</v>
      </c>
      <c r="AE169" s="194">
        <f>INDEX($A$155:$M$184,MATCH(A169,$A$155:$A$184,0),MATCH(Dashboard!$D$4,Reykjavík!$A$123:$M$123,0))</f>
        <v>2.6512838235662139E-2</v>
      </c>
    </row>
    <row r="170" spans="1:31" x14ac:dyDescent="0.25">
      <c r="A170" s="12" t="s">
        <v>265</v>
      </c>
      <c r="B170" s="12" t="s">
        <v>393</v>
      </c>
      <c r="C170" s="12">
        <f t="shared" ref="C170:H170" si="112">C141/C$4</f>
        <v>0</v>
      </c>
      <c r="D170" s="12">
        <f t="shared" si="112"/>
        <v>0.27553886251101783</v>
      </c>
      <c r="E170" s="12">
        <f t="shared" si="112"/>
        <v>0.27613789316955306</v>
      </c>
      <c r="F170" s="12">
        <f t="shared" si="112"/>
        <v>0.26574731832956311</v>
      </c>
      <c r="G170" s="12">
        <f t="shared" si="112"/>
        <v>0.26118995082365065</v>
      </c>
      <c r="H170" s="12">
        <f t="shared" si="112"/>
        <v>0.26618298494986165</v>
      </c>
      <c r="I170" s="12">
        <f>I141/I$4</f>
        <v>0.26193014805231174</v>
      </c>
      <c r="J170" s="12">
        <f>J141/J$4</f>
        <v>0.25718457174420695</v>
      </c>
      <c r="K170" s="12">
        <f>K141/K$4</f>
        <v>0.24764706126508601</v>
      </c>
      <c r="L170" s="12">
        <f>L141/L$4</f>
        <v>0.24311428626132411</v>
      </c>
      <c r="M170" s="12">
        <f>M141/M$4</f>
        <v>0.23947057588825496</v>
      </c>
      <c r="O170" s="23">
        <f>INDEX($A$155:$M$184,MATCH(A170,$A$155:$A$184,0),MATCH(Mælaborð!$D$4,Reykjavík!$A$123:$M$123,0))</f>
        <v>0.23947057588825496</v>
      </c>
      <c r="R170" s="194">
        <f>INDEX($A$155:$K$184,MATCH($S$167,$AD$155:$AD$184,0),MATCH(Reykjavík!R$168,Reykjavík!$A$123:$J$123,0))</f>
        <v>3.9108755379397713</v>
      </c>
      <c r="S170" s="194">
        <f>INDEX($A$155:$J$184,MATCH($S$167,$AD$155:$AD$184,0),MATCH(Reykjavík!S$168,Reykjavík!$A$123:$J$123,0))</f>
        <v>4.1106565237731214</v>
      </c>
      <c r="T170" s="194">
        <f>INDEX($A$155:$J$184,MATCH($S$167,$AD$155:$AD$184,0),MATCH(Reykjavík!T$168,Reykjavík!$A$123:$J$123,0))</f>
        <v>4.1807323248986403</v>
      </c>
      <c r="U170" s="194">
        <f>INDEX($A$155:$J$184,MATCH($S$167,$AD$155:$AD$184,0),MATCH(Reykjavík!U$168,Reykjavík!$A$123:$J$123,0))</f>
        <v>4.168835761668185</v>
      </c>
      <c r="V170" s="194">
        <f>INDEX($A$155:$J$184,MATCH($S$167,$AD$155:$AD$184,0),MATCH(Reykjavík!V$168,Reykjavík!$A$123:$J$123,0))</f>
        <v>3.8796353602400773</v>
      </c>
      <c r="W170" s="194">
        <f>INDEX($A$155:$J$184,MATCH($S$167,$AD$155:$AD$184,0),MATCH(Reykjavík!W$168,Reykjavík!$A$123:$J$123,0))</f>
        <v>3.9466753069582032</v>
      </c>
      <c r="X170" s="194">
        <f>INDEX($A$155:$J$184,MATCH($S$167,$AD$155:$AD$184,0),MATCH(Reykjavík!X$168,Reykjavík!$A$123:$J$123,0))</f>
        <v>3.7097124876543908</v>
      </c>
      <c r="Y170" s="194">
        <f>INDEX($A$155:$K$184,MATCH($S$167,$AD$155:$AD$184,0),MATCH(Reykjavík!Y$168,Reykjavík!$A$123:$K$123,0))</f>
        <v>3.8009813035396229</v>
      </c>
      <c r="Z170" s="194">
        <f>INDEX($A$155:$L$184,MATCH($S$167,$AD$155:$AD$184,0),MATCH(Reykjavík!Z$168,Reykjavík!$A$123:$L$123,0))</f>
        <v>3.6898047352863079</v>
      </c>
      <c r="AA170" s="194">
        <f>INDEX($A$155:$M$184,MATCH($S$167,$AD$155:$AD$184,0),MATCH(Reykjavík!AA$168,Reykjavík!$A$123:$M$123,0))</f>
        <v>3.5385987314556315</v>
      </c>
      <c r="AD170" s="12" t="s">
        <v>463</v>
      </c>
      <c r="AE170" s="194">
        <f>INDEX($A$155:$M$184,MATCH(A170,$A$155:$A$184,0),MATCH(Dashboard!$D$4,Reykjavík!$A$123:$M$123,0))</f>
        <v>0.23947057588825496</v>
      </c>
    </row>
    <row r="171" spans="1:31" x14ac:dyDescent="0.25">
      <c r="A171" s="12" t="s">
        <v>291</v>
      </c>
      <c r="B171" s="12" t="s">
        <v>393</v>
      </c>
      <c r="C171" s="12">
        <f t="shared" ref="C171:K171" si="113">C138/C$4</f>
        <v>0</v>
      </c>
      <c r="D171" s="12">
        <f t="shared" si="113"/>
        <v>1.5340934882884304E-2</v>
      </c>
      <c r="E171" s="12">
        <f t="shared" si="113"/>
        <v>1.8632345747308328E-2</v>
      </c>
      <c r="F171" s="12">
        <f t="shared" si="113"/>
        <v>1.3737297000379638E-2</v>
      </c>
      <c r="G171" s="12">
        <f t="shared" si="113"/>
        <v>1.3640764189182062E-2</v>
      </c>
      <c r="H171" s="12">
        <f t="shared" si="113"/>
        <v>2.0959664050471116E-2</v>
      </c>
      <c r="I171" s="12">
        <f t="shared" si="113"/>
        <v>2.0636578061665765E-2</v>
      </c>
      <c r="J171" s="12">
        <f t="shared" si="113"/>
        <v>1.9636798228866999E-2</v>
      </c>
      <c r="K171" s="12">
        <f t="shared" si="113"/>
        <v>1.6573135841796108E-2</v>
      </c>
      <c r="L171" s="12">
        <f t="shared" ref="L171:M171" si="114">L138/L$4</f>
        <v>1.6422349167682457E-2</v>
      </c>
      <c r="M171" s="12">
        <f t="shared" si="114"/>
        <v>1.584645836817174E-2</v>
      </c>
      <c r="O171" s="23">
        <f>INDEX($A$155:$M$184,MATCH(A171,$A$155:$A$184,0),MATCH(Mælaborð!$D$4,Reykjavík!$A$123:$M$123,0))</f>
        <v>1.584645836817174E-2</v>
      </c>
      <c r="AD171" s="12" t="s">
        <v>229</v>
      </c>
      <c r="AE171" s="194">
        <f>INDEX($A$155:$M$184,MATCH(A171,$A$155:$A$184,0),MATCH(Dashboard!$D$4,Reykjavík!$A$123:$M$123,0))</f>
        <v>1.584645836817174E-2</v>
      </c>
    </row>
    <row r="172" spans="1:31" x14ac:dyDescent="0.25">
      <c r="A172" s="12" t="s">
        <v>44</v>
      </c>
      <c r="B172" s="12" t="s">
        <v>393</v>
      </c>
      <c r="C172" s="12">
        <f t="shared" ref="C172:K172" si="115">C139/C$4</f>
        <v>0</v>
      </c>
      <c r="D172" s="12">
        <f t="shared" si="115"/>
        <v>0.38380718634942501</v>
      </c>
      <c r="E172" s="12">
        <f t="shared" si="115"/>
        <v>0.37983576781882888</v>
      </c>
      <c r="F172" s="12">
        <f t="shared" si="115"/>
        <v>0.37172954488879029</v>
      </c>
      <c r="G172" s="12">
        <f t="shared" si="115"/>
        <v>0.36514955238633157</v>
      </c>
      <c r="H172" s="12">
        <f t="shared" si="115"/>
        <v>0.36171876417158988</v>
      </c>
      <c r="I172" s="12">
        <f t="shared" si="115"/>
        <v>0.355922151365761</v>
      </c>
      <c r="J172" s="12">
        <f t="shared" si="115"/>
        <v>0.350396882125802</v>
      </c>
      <c r="K172" s="12">
        <f t="shared" si="115"/>
        <v>0.34084757693450779</v>
      </c>
      <c r="L172" s="12">
        <f t="shared" ref="L172" si="116">L139/L$4</f>
        <v>0.3343838874395556</v>
      </c>
      <c r="M172" s="12">
        <f>M139/M$4</f>
        <v>0.32985867384739376</v>
      </c>
      <c r="O172" s="23">
        <f>INDEX($A$155:$M$184,MATCH(A172,$A$155:$A$184,0),MATCH(Mælaborð!$D$4,Reykjavík!$A$123:$M$123,0))</f>
        <v>0.32985867384739376</v>
      </c>
      <c r="AD172" s="12" t="s">
        <v>230</v>
      </c>
      <c r="AE172" s="194">
        <f>INDEX($A$155:$M$184,MATCH(A172,$A$155:$A$184,0),MATCH(Dashboard!$D$4,Reykjavík!$A$123:$M$123,0))</f>
        <v>0.32985867384739376</v>
      </c>
    </row>
    <row r="173" spans="1:31" x14ac:dyDescent="0.25">
      <c r="A173" s="12" t="s">
        <v>268</v>
      </c>
      <c r="B173" s="12" t="s">
        <v>393</v>
      </c>
      <c r="C173" s="12">
        <f t="shared" ref="C173:H173" si="117">C147/C$4</f>
        <v>0</v>
      </c>
      <c r="D173" s="12">
        <f t="shared" si="117"/>
        <v>0.54650874520233939</v>
      </c>
      <c r="E173" s="12">
        <f t="shared" si="117"/>
        <v>0.60388311481071233</v>
      </c>
      <c r="F173" s="12">
        <f t="shared" si="117"/>
        <v>0.69809694930622979</v>
      </c>
      <c r="G173" s="12">
        <f t="shared" si="117"/>
        <v>0.78203352804156989</v>
      </c>
      <c r="H173" s="12">
        <f t="shared" si="117"/>
        <v>0.87030025308677994</v>
      </c>
      <c r="I173" s="12">
        <f>I147/I$4</f>
        <v>0.86160854577092705</v>
      </c>
      <c r="J173" s="12">
        <f>J147/J$4</f>
        <v>0.86573650222729825</v>
      </c>
      <c r="K173" s="12">
        <f>K147/K$4</f>
        <v>0.81113792029098608</v>
      </c>
      <c r="L173" s="12">
        <f>L147/L$4</f>
        <v>0.71536051518717336</v>
      </c>
      <c r="M173" s="12">
        <f>M147/M$4</f>
        <v>0.75499886604459132</v>
      </c>
      <c r="O173" s="23">
        <f>INDEX($A$155:$M$184,MATCH(A173,$A$155:$A$184,0),MATCH(Mælaborð!$D$4,Reykjavík!$A$123:$M$123,0))</f>
        <v>0.75499886604459132</v>
      </c>
      <c r="R173" s="16" t="s">
        <v>466</v>
      </c>
      <c r="S173" s="16" t="s">
        <v>467</v>
      </c>
      <c r="T173" s="16" t="s">
        <v>468</v>
      </c>
      <c r="U173" s="16" t="s">
        <v>469</v>
      </c>
      <c r="V173" s="16" t="s">
        <v>470</v>
      </c>
      <c r="W173" s="16" t="s">
        <v>241</v>
      </c>
      <c r="AD173" s="12" t="s">
        <v>231</v>
      </c>
      <c r="AE173" s="194">
        <f>INDEX($A$155:$M$184,MATCH(A173,$A$155:$A$184,0),MATCH(Dashboard!$D$4,Reykjavík!$A$123:$M$123,0))</f>
        <v>0.75499886604459132</v>
      </c>
    </row>
    <row r="174" spans="1:31" x14ac:dyDescent="0.25">
      <c r="A174" s="12" t="s">
        <v>25</v>
      </c>
      <c r="B174" s="12" t="s">
        <v>393</v>
      </c>
      <c r="C174" s="12">
        <f t="shared" ref="C174:H174" si="118">C142/C$4</f>
        <v>0</v>
      </c>
      <c r="D174" s="12">
        <f t="shared" si="118"/>
        <v>0.29439057090382814</v>
      </c>
      <c r="E174" s="12">
        <f t="shared" si="118"/>
        <v>0.31220373483731839</v>
      </c>
      <c r="F174" s="12">
        <f t="shared" si="118"/>
        <v>0.32649453868687617</v>
      </c>
      <c r="G174" s="12">
        <f t="shared" si="118"/>
        <v>0.34983559195880637</v>
      </c>
      <c r="H174" s="12">
        <f t="shared" si="118"/>
        <v>0.36464755636874596</v>
      </c>
      <c r="I174" s="12">
        <f t="shared" ref="I174:K178" si="119">I142/I$4</f>
        <v>0.30455614480289739</v>
      </c>
      <c r="J174" s="12">
        <f t="shared" si="119"/>
        <v>0.26412032533123453</v>
      </c>
      <c r="K174" s="12">
        <f t="shared" si="119"/>
        <v>0.21962648837708967</v>
      </c>
      <c r="L174" s="12">
        <f t="shared" ref="L174" si="120">L142/L$4</f>
        <v>0.18757180740801113</v>
      </c>
      <c r="M174" s="12">
        <f>M142/M$4</f>
        <v>0.23019655631546926</v>
      </c>
      <c r="O174" s="23">
        <f>INDEX($A$155:$M$184,MATCH(A174,$A$155:$A$184,0),MATCH(Mælaborð!$D$4,Reykjavík!$A$123:$M$123,0))</f>
        <v>0.23019655631546926</v>
      </c>
      <c r="R174" t="s">
        <v>211</v>
      </c>
      <c r="S174" t="s">
        <v>216</v>
      </c>
      <c r="T174" t="s">
        <v>221</v>
      </c>
      <c r="U174" t="s">
        <v>228</v>
      </c>
      <c r="V174" t="s">
        <v>231</v>
      </c>
      <c r="W174" t="s">
        <v>236</v>
      </c>
      <c r="AD174" s="12" t="s">
        <v>232</v>
      </c>
      <c r="AE174" s="194">
        <f>INDEX($A$155:$M$184,MATCH(A174,$A$155:$A$184,0),MATCH(Dashboard!$D$4,Reykjavík!$A$123:$M$123,0))</f>
        <v>0.23019655631546926</v>
      </c>
    </row>
    <row r="175" spans="1:31" x14ac:dyDescent="0.25">
      <c r="A175" s="12" t="s">
        <v>435</v>
      </c>
      <c r="B175" s="12" t="s">
        <v>393</v>
      </c>
      <c r="C175" s="12">
        <f t="shared" ref="C175:H175" si="121">C143/C$4</f>
        <v>0.22328193109311606</v>
      </c>
      <c r="D175" s="12">
        <f t="shared" si="121"/>
        <v>0.26353824568611339</v>
      </c>
      <c r="E175" s="12">
        <f t="shared" si="121"/>
        <v>0.31902680092604113</v>
      </c>
      <c r="F175" s="12">
        <f t="shared" si="121"/>
        <v>0.40265773974549501</v>
      </c>
      <c r="G175" s="12">
        <f t="shared" si="121"/>
        <v>0.46401293442884489</v>
      </c>
      <c r="H175" s="12">
        <f t="shared" si="121"/>
        <v>0.54793641221977263</v>
      </c>
      <c r="I175" s="12">
        <f t="shared" si="119"/>
        <v>0.60937034740688911</v>
      </c>
      <c r="J175" s="12">
        <f t="shared" si="119"/>
        <v>0.66302917673265049</v>
      </c>
      <c r="K175" s="12">
        <f t="shared" si="119"/>
        <v>0.66025014936931303</v>
      </c>
      <c r="L175" s="12">
        <f t="shared" ref="L175" si="122">L143/L$4</f>
        <v>0.59307210885794848</v>
      </c>
      <c r="M175" s="12">
        <f>M143/M$4</f>
        <v>0.55919513821231948</v>
      </c>
      <c r="O175" s="23">
        <f>INDEX($A$155:$M$184,MATCH(A175,$A$155:$A$184,0),MATCH(Mælaborð!$D$4,Reykjavík!$A$123:$M$123,0))</f>
        <v>0.55919513821231948</v>
      </c>
      <c r="R175" t="s">
        <v>212</v>
      </c>
      <c r="S175" t="s">
        <v>451</v>
      </c>
      <c r="T175" t="s">
        <v>454</v>
      </c>
      <c r="U175" t="s">
        <v>229</v>
      </c>
      <c r="V175" t="s">
        <v>232</v>
      </c>
      <c r="W175" t="s">
        <v>244</v>
      </c>
      <c r="AD175" s="12" t="s">
        <v>464</v>
      </c>
      <c r="AE175" s="194">
        <f>INDEX($A$155:$M$184,MATCH(A175,$A$155:$A$184,0),MATCH(Dashboard!$D$4,Reykjavík!$A$123:$M$123,0))</f>
        <v>0.55919513821231948</v>
      </c>
    </row>
    <row r="176" spans="1:31" x14ac:dyDescent="0.25">
      <c r="A176" s="12" t="s">
        <v>442</v>
      </c>
      <c r="B176" s="12" t="s">
        <v>393</v>
      </c>
      <c r="C176" s="12">
        <f>C144/C$4</f>
        <v>2.9494893853431878E-2</v>
      </c>
      <c r="D176" s="12">
        <f t="shared" ref="D176:H177" si="123">D144/D$4</f>
        <v>3.4812635956601216E-2</v>
      </c>
      <c r="E176" s="12">
        <f t="shared" si="123"/>
        <v>4.2142512757959723E-2</v>
      </c>
      <c r="F176" s="12">
        <f t="shared" si="123"/>
        <v>5.3189916599670296E-2</v>
      </c>
      <c r="G176" s="12">
        <f t="shared" si="123"/>
        <v>6.1294759412890872E-2</v>
      </c>
      <c r="H176" s="12">
        <f t="shared" si="123"/>
        <v>7.2380806802108275E-2</v>
      </c>
      <c r="I176" s="12">
        <f t="shared" si="119"/>
        <v>8.0496051006920144E-2</v>
      </c>
      <c r="J176" s="12">
        <f t="shared" si="119"/>
        <v>8.7584226335369483E-2</v>
      </c>
      <c r="K176" s="12">
        <f t="shared" si="119"/>
        <v>8.7217124901338816E-2</v>
      </c>
      <c r="L176" s="12">
        <f t="shared" ref="L176" si="124">L144/L$4</f>
        <v>7.8343101085511416E-2</v>
      </c>
      <c r="M176" s="12">
        <f>M144/M$4</f>
        <v>7.3868051768368248E-2</v>
      </c>
      <c r="O176" s="23">
        <f>INDEX($A$155:$M$184,MATCH(A176,$A$155:$A$184,0),MATCH(Mælaborð!$D$4,Reykjavík!$A$123:$M$123,0))</f>
        <v>7.3868051768368248E-2</v>
      </c>
      <c r="R176" t="s">
        <v>214</v>
      </c>
      <c r="S176" t="s">
        <v>452</v>
      </c>
      <c r="T176" t="s">
        <v>224</v>
      </c>
      <c r="U176" t="s">
        <v>230</v>
      </c>
      <c r="V176" s="16" t="s">
        <v>464</v>
      </c>
      <c r="W176" t="s">
        <v>293</v>
      </c>
      <c r="AD176" s="12" t="s">
        <v>465</v>
      </c>
      <c r="AE176" s="194">
        <f>INDEX($A$155:$M$184,MATCH(A176,$A$155:$A$184,0),MATCH(Dashboard!$D$4,Reykjavík!$A$123:$M$123,0))</f>
        <v>7.3868051768368248E-2</v>
      </c>
    </row>
    <row r="177" spans="1:31" x14ac:dyDescent="0.25">
      <c r="A177" s="12" t="s">
        <v>269</v>
      </c>
      <c r="B177" s="12"/>
      <c r="C177" s="12">
        <f>C145/C$4</f>
        <v>0.19378703723968416</v>
      </c>
      <c r="D177" s="12">
        <f t="shared" si="123"/>
        <v>0.22872560972951217</v>
      </c>
      <c r="E177" s="12">
        <f t="shared" si="123"/>
        <v>0.27688428816808142</v>
      </c>
      <c r="F177" s="12">
        <f t="shared" si="123"/>
        <v>0.3494678231458247</v>
      </c>
      <c r="G177" s="12">
        <f t="shared" si="123"/>
        <v>0.40271817501595403</v>
      </c>
      <c r="H177" s="12">
        <f t="shared" si="123"/>
        <v>0.47555560541766428</v>
      </c>
      <c r="I177" s="12">
        <f t="shared" si="119"/>
        <v>0.52887429639996886</v>
      </c>
      <c r="J177" s="12">
        <f t="shared" si="119"/>
        <v>0.57544495039728094</v>
      </c>
      <c r="K177" s="12">
        <f t="shared" si="119"/>
        <v>0.57303302446797433</v>
      </c>
      <c r="L177" s="12">
        <f t="shared" ref="L177" si="125">L145/L$4</f>
        <v>0.51472900777243702</v>
      </c>
      <c r="M177" s="12">
        <f>M145/M$4</f>
        <v>0.48532708644395123</v>
      </c>
      <c r="O177" s="23">
        <f>INDEX($A$155:$M$184,MATCH(A177,$A$155:$A$184,0),MATCH(Mælaborð!$D$4,Reykjavík!$A$123:$M$123,0))</f>
        <v>0.48532708644395123</v>
      </c>
      <c r="S177" t="s">
        <v>453</v>
      </c>
      <c r="T177" t="s">
        <v>460</v>
      </c>
      <c r="V177" t="s">
        <v>234</v>
      </c>
      <c r="W177" t="s">
        <v>208</v>
      </c>
      <c r="AD177" s="12" t="s">
        <v>233</v>
      </c>
      <c r="AE177" s="194">
        <f>INDEX($A$155:$M$184,MATCH(A177,$A$155:$A$184,0),MATCH(Dashboard!$D$4,Reykjavík!$A$123:$M$123,0))</f>
        <v>0.48532708644395123</v>
      </c>
    </row>
    <row r="178" spans="1:31" x14ac:dyDescent="0.25">
      <c r="A178" s="12" t="s">
        <v>292</v>
      </c>
      <c r="B178" s="12" t="s">
        <v>393</v>
      </c>
      <c r="C178" s="12">
        <f t="shared" ref="C178:H178" si="126">C146/C$4</f>
        <v>0</v>
      </c>
      <c r="D178" s="12">
        <f t="shared" si="126"/>
        <v>2.3392564568999075E-2</v>
      </c>
      <c r="E178" s="12">
        <f t="shared" si="126"/>
        <v>1.4795091805312644E-2</v>
      </c>
      <c r="F178" s="12">
        <f t="shared" si="126"/>
        <v>2.2134587473528918E-2</v>
      </c>
      <c r="G178" s="12">
        <f t="shared" si="126"/>
        <v>2.9479761066809738E-2</v>
      </c>
      <c r="H178" s="12">
        <f t="shared" si="126"/>
        <v>3.0097091300369614E-2</v>
      </c>
      <c r="I178" s="12">
        <f t="shared" si="119"/>
        <v>2.8178104568060674E-2</v>
      </c>
      <c r="J178" s="12">
        <f t="shared" si="119"/>
        <v>2.6171226498782851E-2</v>
      </c>
      <c r="K178" s="12">
        <f t="shared" si="119"/>
        <v>1.8478407445922083E-2</v>
      </c>
      <c r="L178" s="12">
        <f t="shared" ref="L178" si="127">L146/L$4</f>
        <v>1.3059700006725202E-2</v>
      </c>
      <c r="M178" s="12">
        <f>M146/M$4</f>
        <v>3.9475223285170835E-2</v>
      </c>
      <c r="O178" s="23">
        <f>INDEX($A$155:$M$184,MATCH(A178,$A$155:$A$184,0),MATCH(Mælaborð!$D$4,Reykjavík!$A$123:$M$123,0))</f>
        <v>3.9475223285170835E-2</v>
      </c>
      <c r="S178" t="s">
        <v>218</v>
      </c>
      <c r="T178" t="s">
        <v>461</v>
      </c>
      <c r="W178" t="s">
        <v>209</v>
      </c>
      <c r="AD178" s="12" t="s">
        <v>234</v>
      </c>
      <c r="AE178" s="194">
        <f>INDEX($A$155:$M$184,MATCH(A178,$A$155:$A$184,0),MATCH(Dashboard!$D$4,Reykjavík!$A$123:$M$123,0))</f>
        <v>3.9475223285170835E-2</v>
      </c>
    </row>
    <row r="179" spans="1:31" x14ac:dyDescent="0.25">
      <c r="A179" s="12" t="s">
        <v>236</v>
      </c>
      <c r="B179" s="12" t="s">
        <v>393</v>
      </c>
      <c r="C179" s="12">
        <f t="shared" ref="C179:H179" si="128">C148/C$4</f>
        <v>0</v>
      </c>
      <c r="D179" s="12">
        <f t="shared" si="128"/>
        <v>3.3409461045249254</v>
      </c>
      <c r="E179" s="12">
        <f t="shared" si="128"/>
        <v>3.5223148957662493</v>
      </c>
      <c r="F179" s="12">
        <f t="shared" si="128"/>
        <v>3.5869212421034304</v>
      </c>
      <c r="G179" s="12">
        <f t="shared" si="128"/>
        <v>3.5563336275028745</v>
      </c>
      <c r="H179" s="12">
        <f t="shared" si="128"/>
        <v>3.2469414894469422</v>
      </c>
      <c r="I179" s="12">
        <f t="shared" ref="I179:K184" si="129">I148/I$4</f>
        <v>3.3784850121637531</v>
      </c>
      <c r="J179" s="12">
        <f t="shared" si="129"/>
        <v>3.186614182441577</v>
      </c>
      <c r="K179" s="12">
        <f t="shared" si="129"/>
        <v>3.3319814849571645</v>
      </c>
      <c r="L179" s="12">
        <f t="shared" ref="L179" si="130">L148/L$4</f>
        <v>3.2571390655565349</v>
      </c>
      <c r="M179" s="12">
        <f>M148/M$4</f>
        <v>3.0671985931047612</v>
      </c>
      <c r="O179" s="23">
        <f>INDEX($A$155:$M$184,MATCH(A179,$A$155:$A$184,0),MATCH(Mælaborð!$D$4,Reykjavík!$A$123:$M$123,0))</f>
        <v>3.0671985931047612</v>
      </c>
      <c r="S179" t="s">
        <v>220</v>
      </c>
      <c r="W179" t="s">
        <v>210</v>
      </c>
      <c r="AD179" s="12" t="s">
        <v>236</v>
      </c>
      <c r="AE179" s="194">
        <f>INDEX($A$155:$M$184,MATCH(A179,$A$155:$A$184,0),MATCH(Dashboard!$D$4,Reykjavík!$A$123:$M$123,0))</f>
        <v>3.0671985931047612</v>
      </c>
    </row>
    <row r="180" spans="1:31" x14ac:dyDescent="0.25">
      <c r="A180" s="12" t="s">
        <v>244</v>
      </c>
      <c r="B180" s="12" t="s">
        <v>393</v>
      </c>
      <c r="C180" s="12">
        <f t="shared" ref="C180:H180" si="131">C149/C$4</f>
        <v>0</v>
      </c>
      <c r="D180" s="12">
        <f t="shared" si="131"/>
        <v>3.9108755379397713</v>
      </c>
      <c r="E180" s="12">
        <f t="shared" si="131"/>
        <v>4.1106565237731214</v>
      </c>
      <c r="F180" s="12">
        <f t="shared" si="131"/>
        <v>4.1807323248986403</v>
      </c>
      <c r="G180" s="12">
        <f t="shared" si="131"/>
        <v>4.168835761668185</v>
      </c>
      <c r="H180" s="12">
        <f t="shared" si="131"/>
        <v>3.8796353602400773</v>
      </c>
      <c r="I180" s="12">
        <f t="shared" si="129"/>
        <v>3.9466753069582032</v>
      </c>
      <c r="J180" s="12">
        <f t="shared" si="129"/>
        <v>3.7097124876543908</v>
      </c>
      <c r="K180" s="12">
        <f t="shared" si="129"/>
        <v>3.8009813035396229</v>
      </c>
      <c r="L180" s="12">
        <f t="shared" ref="L180:M180" si="132">L149/L$4</f>
        <v>3.6898047352863079</v>
      </c>
      <c r="M180" s="12">
        <f t="shared" si="132"/>
        <v>3.5385987314556315</v>
      </c>
      <c r="O180" s="23">
        <f>INDEX($A$155:$M$184,MATCH(A180,$A$155:$A$184,0),MATCH(Mælaborð!$D$4,Reykjavík!$A$123:$M$123,0))</f>
        <v>3.5385987314556315</v>
      </c>
      <c r="AD180" s="12" t="s">
        <v>244</v>
      </c>
      <c r="AE180" s="194">
        <f>INDEX($A$155:$M$184,MATCH(A180,$A$155:$A$184,0),MATCH(Dashboard!$D$4,Reykjavík!$A$123:$M$123,0))</f>
        <v>3.5385987314556315</v>
      </c>
    </row>
    <row r="181" spans="1:31" x14ac:dyDescent="0.25">
      <c r="A181" s="12" t="s">
        <v>293</v>
      </c>
      <c r="B181" s="12" t="s">
        <v>393</v>
      </c>
      <c r="C181" s="12">
        <f t="shared" ref="C181:H181" si="133">C150/C$4</f>
        <v>0</v>
      </c>
      <c r="D181" s="12">
        <f t="shared" si="133"/>
        <v>4.1629937122382827</v>
      </c>
      <c r="E181" s="12">
        <f t="shared" si="133"/>
        <v>4.4023359037465148</v>
      </c>
      <c r="F181" s="12">
        <f t="shared" si="133"/>
        <v>4.5523347355179933</v>
      </c>
      <c r="G181" s="12">
        <f t="shared" si="133"/>
        <v>4.6010336977509487</v>
      </c>
      <c r="H181" s="12">
        <f t="shared" si="133"/>
        <v>4.3852880569581112</v>
      </c>
      <c r="I181" s="12">
        <f t="shared" si="129"/>
        <v>4.5037277079262328</v>
      </c>
      <c r="J181" s="12">
        <f t="shared" si="129"/>
        <v>4.3113286645504543</v>
      </c>
      <c r="K181" s="12">
        <f t="shared" si="129"/>
        <v>4.3924927354535193</v>
      </c>
      <c r="L181" s="12">
        <f t="shared" ref="L181:M181" si="134">L150/L$4</f>
        <v>4.2175934430654705</v>
      </c>
      <c r="M181" s="12">
        <f t="shared" si="134"/>
        <v>4.0634010411847541</v>
      </c>
      <c r="O181" s="23">
        <f>INDEX($A$155:$M$184,MATCH(A181,$A$155:$A$184,0),MATCH(Mælaborð!$D$4,Reykjavík!$A$123:$M$123,0))</f>
        <v>4.0634010411847541</v>
      </c>
      <c r="AD181" s="12" t="s">
        <v>293</v>
      </c>
      <c r="AE181" s="194">
        <f>INDEX($A$155:$M$184,MATCH(A181,$A$155:$A$184,0),MATCH(Dashboard!$D$4,Reykjavík!$A$123:$M$123,0))</f>
        <v>4.0634010411847541</v>
      </c>
    </row>
    <row r="182" spans="1:31" x14ac:dyDescent="0.25">
      <c r="A182" s="1" t="s">
        <v>248</v>
      </c>
      <c r="B182" s="1" t="s">
        <v>393</v>
      </c>
      <c r="C182" s="1">
        <f t="shared" ref="C182:H182" si="135">C151/C$4</f>
        <v>0</v>
      </c>
      <c r="D182" s="1">
        <f t="shared" si="135"/>
        <v>3.7663375537823582</v>
      </c>
      <c r="E182" s="1">
        <f t="shared" si="135"/>
        <v>3.9599613350250689</v>
      </c>
      <c r="F182" s="1">
        <f t="shared" si="135"/>
        <v>4.0452167181859799</v>
      </c>
      <c r="G182" s="1">
        <f t="shared" si="135"/>
        <v>4.0440687685897778</v>
      </c>
      <c r="H182" s="1">
        <f t="shared" si="135"/>
        <v>3.7499976464690477</v>
      </c>
      <c r="I182" s="1">
        <f t="shared" si="129"/>
        <v>3.8167243202955343</v>
      </c>
      <c r="J182" s="1">
        <f t="shared" si="129"/>
        <v>3.5833213958142593</v>
      </c>
      <c r="K182" s="1">
        <f t="shared" si="129"/>
        <v>3.5765822063764188</v>
      </c>
      <c r="L182" s="1">
        <f t="shared" ref="L182:M182" si="136">L151/L$4</f>
        <v>3.3859695157050615</v>
      </c>
      <c r="M182" s="1">
        <f t="shared" si="136"/>
        <v>3.2335813669311184</v>
      </c>
      <c r="O182" s="23">
        <f>INDEX($A$155:$M$184,MATCH(A182,$A$155:$A$184,0),MATCH(Mælaborð!$D$4,Reykjavík!$A$123:$M$123,0))</f>
        <v>3.2335813669311184</v>
      </c>
      <c r="AD182" s="1" t="s">
        <v>208</v>
      </c>
      <c r="AE182" s="194">
        <f>INDEX($A$155:$M$184,MATCH(A182,$A$155:$A$184,0),MATCH(Dashboard!$D$4,Reykjavík!$A$123:$M$123,0))</f>
        <v>3.2335813669311184</v>
      </c>
    </row>
    <row r="183" spans="1:31" x14ac:dyDescent="0.25">
      <c r="A183" s="1" t="s">
        <v>249</v>
      </c>
      <c r="B183" s="1" t="s">
        <v>393</v>
      </c>
      <c r="C183" s="1">
        <f t="shared" ref="C183:H183" si="137">C152/C$4</f>
        <v>0</v>
      </c>
      <c r="D183" s="1">
        <f t="shared" si="137"/>
        <v>0.13179873845018697</v>
      </c>
      <c r="E183" s="1">
        <f t="shared" si="137"/>
        <v>0.12836219959672401</v>
      </c>
      <c r="F183" s="1">
        <f t="shared" si="137"/>
        <v>0.12003255426665368</v>
      </c>
      <c r="G183" s="1">
        <f t="shared" si="137"/>
        <v>0.12037405661550736</v>
      </c>
      <c r="H183" s="1">
        <f t="shared" si="137"/>
        <v>0.12449897766825498</v>
      </c>
      <c r="I183" s="1">
        <f t="shared" si="129"/>
        <v>0.11872019007087234</v>
      </c>
      <c r="J183" s="1">
        <f t="shared" si="129"/>
        <v>0.1162064147591053</v>
      </c>
      <c r="K183" s="1">
        <f t="shared" si="129"/>
        <v>0.11594482717100239</v>
      </c>
      <c r="L183" s="1">
        <f t="shared" ref="L183:M183" si="138">L152/L$4</f>
        <v>0.13127621909798823</v>
      </c>
      <c r="M183" s="1">
        <f t="shared" si="138"/>
        <v>0.10596784693193359</v>
      </c>
      <c r="O183" s="23">
        <f>INDEX($A$155:$M$184,MATCH(A183,$A$155:$A$184,0),MATCH(Mælaborð!$D$4,Reykjavík!$A$123:$M$123,0))</f>
        <v>0.10596784693193359</v>
      </c>
      <c r="AD183" s="1" t="s">
        <v>209</v>
      </c>
      <c r="AE183" s="194">
        <f>INDEX($A$155:$M$184,MATCH(A183,$A$155:$A$184,0),MATCH(Dashboard!$D$4,Reykjavík!$A$123:$M$123,0))</f>
        <v>0.10596784693193359</v>
      </c>
    </row>
    <row r="184" spans="1:31" x14ac:dyDescent="0.25">
      <c r="A184" s="1" t="s">
        <v>250</v>
      </c>
      <c r="B184" s="1" t="s">
        <v>393</v>
      </c>
      <c r="C184" s="1">
        <f t="shared" ref="C184:H184" si="139">C153/C$4</f>
        <v>0</v>
      </c>
      <c r="D184" s="1">
        <f t="shared" si="139"/>
        <v>0.28824998457473633</v>
      </c>
      <c r="E184" s="1">
        <f t="shared" si="139"/>
        <v>0.32880746093003449</v>
      </c>
      <c r="F184" s="1">
        <f t="shared" si="139"/>
        <v>0.40922005053888905</v>
      </c>
      <c r="G184" s="1">
        <f t="shared" si="139"/>
        <v>0.46607063361247408</v>
      </c>
      <c r="H184" s="1">
        <f t="shared" si="139"/>
        <v>0.54088852412117816</v>
      </c>
      <c r="I184" s="1">
        <f t="shared" si="129"/>
        <v>0.59646130212788673</v>
      </c>
      <c r="J184" s="1">
        <f t="shared" si="129"/>
        <v>0.63797208047587317</v>
      </c>
      <c r="K184" s="1">
        <f t="shared" si="129"/>
        <v>0.69996570190609875</v>
      </c>
      <c r="L184" s="1">
        <f t="shared" ref="L184:M184" si="140">L153/L$4</f>
        <v>0.70034770826242021</v>
      </c>
      <c r="M184" s="1">
        <f t="shared" si="140"/>
        <v>0.72385182732170195</v>
      </c>
      <c r="O184" s="23">
        <f>INDEX($A$155:$M$184,MATCH(A184,$A$155:$A$184,0),MATCH(Mælaborð!$D$4,Reykjavík!$A$123:$M$123,0))</f>
        <v>0.72385182732170195</v>
      </c>
      <c r="AD184" s="1" t="s">
        <v>210</v>
      </c>
      <c r="AE184" s="194">
        <f>INDEX($A$155:$M$184,MATCH(A184,$A$155:$A$184,0),MATCH(Dashboard!$D$4,Reykjavík!$A$123:$M$123,0))</f>
        <v>0.72385182732170195</v>
      </c>
    </row>
    <row r="185" spans="1:31" x14ac:dyDescent="0.25">
      <c r="A185" s="1"/>
      <c r="B185" s="1"/>
      <c r="C185" s="1"/>
      <c r="D185" s="1"/>
      <c r="E185" s="1"/>
      <c r="F185" s="1"/>
      <c r="G185" s="1"/>
      <c r="H185" s="1"/>
      <c r="I185" s="1"/>
      <c r="J185" s="1"/>
      <c r="K185" s="1"/>
      <c r="L185" s="1"/>
      <c r="M185" s="1"/>
    </row>
    <row r="186" spans="1:31" x14ac:dyDescent="0.25">
      <c r="A186" s="1"/>
      <c r="B186" s="1"/>
      <c r="C186" s="1"/>
      <c r="D186" s="1"/>
      <c r="E186" s="1"/>
      <c r="F186" s="1"/>
      <c r="G186" s="1"/>
      <c r="H186" s="1"/>
      <c r="I186" s="1"/>
      <c r="J186" s="1"/>
      <c r="K186" s="1"/>
      <c r="L186" s="1"/>
      <c r="M186" s="1"/>
    </row>
    <row r="187" spans="1:31" x14ac:dyDescent="0.25">
      <c r="A187" s="6" t="s">
        <v>471</v>
      </c>
      <c r="B187" s="6" t="s">
        <v>2</v>
      </c>
      <c r="C187" s="6">
        <v>2015</v>
      </c>
      <c r="D187" s="6">
        <v>2016</v>
      </c>
      <c r="E187" s="6">
        <v>2017</v>
      </c>
      <c r="F187" s="6">
        <v>2018</v>
      </c>
      <c r="G187" s="6">
        <v>2019</v>
      </c>
      <c r="H187" s="6">
        <v>2020</v>
      </c>
      <c r="I187" s="6">
        <v>2021</v>
      </c>
      <c r="J187" s="6">
        <v>2022</v>
      </c>
      <c r="K187" s="6">
        <v>2023</v>
      </c>
      <c r="L187" s="6">
        <v>2024</v>
      </c>
      <c r="M187" s="6">
        <v>2025</v>
      </c>
      <c r="O187">
        <f>Mælaborð!$D$4</f>
        <v>2025</v>
      </c>
      <c r="AD187" s="6" t="s">
        <v>471</v>
      </c>
      <c r="AE187">
        <f>Dashboard!$D$4</f>
        <v>2025</v>
      </c>
    </row>
    <row r="188" spans="1:31" x14ac:dyDescent="0.25">
      <c r="A188" s="12" t="str">
        <f>A126</f>
        <v>Orkunotkun</v>
      </c>
      <c r="B188" s="12" t="str">
        <f t="shared" ref="B188:G188" si="141">B126</f>
        <v>tCO2Í</v>
      </c>
      <c r="C188" s="918">
        <f t="shared" si="141"/>
        <v>0</v>
      </c>
      <c r="D188" s="918">
        <f t="shared" si="141"/>
        <v>19871.072179999999</v>
      </c>
      <c r="E188" s="918">
        <f t="shared" si="141"/>
        <v>20548.0344</v>
      </c>
      <c r="F188" s="918">
        <f t="shared" si="141"/>
        <v>21524.024316573581</v>
      </c>
      <c r="G188" s="918">
        <f t="shared" si="141"/>
        <v>22959.108273074551</v>
      </c>
      <c r="H188" s="918">
        <f t="shared" ref="H188:L188" si="142">H126</f>
        <v>25150.742326611959</v>
      </c>
      <c r="I188" s="918">
        <f t="shared" si="142"/>
        <v>25840.352454420667</v>
      </c>
      <c r="J188" s="918">
        <f t="shared" si="142"/>
        <v>26857.089023549997</v>
      </c>
      <c r="K188" s="918">
        <f t="shared" si="142"/>
        <v>27516.078305553419</v>
      </c>
      <c r="L188" s="918">
        <f t="shared" si="142"/>
        <v>28966.619302417537</v>
      </c>
      <c r="M188" s="918">
        <f>M126</f>
        <v>25196.680063489999</v>
      </c>
      <c r="O188" s="23">
        <f>O126</f>
        <v>25196.680063489999</v>
      </c>
      <c r="AD188" s="12" t="str">
        <f t="shared" ref="AD188:AE191" si="143">AD126</f>
        <v>Energy</v>
      </c>
      <c r="AE188" s="23">
        <f t="shared" si="143"/>
        <v>25196.680063489999</v>
      </c>
    </row>
    <row r="189" spans="1:31" x14ac:dyDescent="0.25">
      <c r="A189" s="12" t="str">
        <f>A127</f>
        <v>Fólksbifreiðar</v>
      </c>
      <c r="B189" s="12" t="str">
        <f t="shared" ref="B189:O189" si="144">B127</f>
        <v>tCO2Í</v>
      </c>
      <c r="C189" s="918">
        <f t="shared" si="144"/>
        <v>0</v>
      </c>
      <c r="D189" s="918">
        <f t="shared" si="144"/>
        <v>190906.58767379029</v>
      </c>
      <c r="E189" s="918">
        <f t="shared" si="144"/>
        <v>206184.32458563262</v>
      </c>
      <c r="F189" s="918">
        <f t="shared" si="144"/>
        <v>211966.24623204052</v>
      </c>
      <c r="G189" s="918">
        <f t="shared" si="144"/>
        <v>219170.78903907636</v>
      </c>
      <c r="H189" s="918">
        <f t="shared" si="144"/>
        <v>193663.40007202598</v>
      </c>
      <c r="I189" s="918">
        <f t="shared" ref="I189:K191" si="145">I127</f>
        <v>202765.45022866575</v>
      </c>
      <c r="J189" s="918">
        <f t="shared" si="145"/>
        <v>174864.49908137057</v>
      </c>
      <c r="K189" s="918">
        <f t="shared" si="145"/>
        <v>188905.90072786019</v>
      </c>
      <c r="L189" s="918">
        <f t="shared" ref="L189" si="146">L127</f>
        <v>178623.4057922067</v>
      </c>
      <c r="M189" s="918">
        <f>M127</f>
        <v>168292.77399932733</v>
      </c>
      <c r="O189" s="23">
        <f t="shared" si="144"/>
        <v>168292.77399932733</v>
      </c>
      <c r="AD189" s="12" t="str">
        <f t="shared" si="143"/>
        <v>Private cars</v>
      </c>
      <c r="AE189" s="23">
        <f t="shared" si="143"/>
        <v>168292.77399932733</v>
      </c>
    </row>
    <row r="190" spans="1:31" x14ac:dyDescent="0.25">
      <c r="A190" s="12" t="str">
        <f>A128</f>
        <v>Hópbifreiðar</v>
      </c>
      <c r="B190" s="12" t="str">
        <f t="shared" ref="B190:O190" si="147">B128</f>
        <v>tCO2Í</v>
      </c>
      <c r="C190" s="918">
        <f t="shared" si="147"/>
        <v>0</v>
      </c>
      <c r="D190" s="918">
        <f t="shared" si="147"/>
        <v>14239.58374032641</v>
      </c>
      <c r="E190" s="918">
        <f t="shared" si="147"/>
        <v>15379.139042056431</v>
      </c>
      <c r="F190" s="918">
        <f t="shared" si="147"/>
        <v>15810.408378894168</v>
      </c>
      <c r="G190" s="918">
        <f t="shared" si="147"/>
        <v>16084.187993359437</v>
      </c>
      <c r="H190" s="918">
        <f t="shared" si="147"/>
        <v>12467.432570562598</v>
      </c>
      <c r="I190" s="918">
        <f t="shared" si="145"/>
        <v>10766.747558784729</v>
      </c>
      <c r="J190" s="918">
        <f t="shared" si="145"/>
        <v>14312.838005175754</v>
      </c>
      <c r="K190" s="918">
        <f t="shared" si="145"/>
        <v>20658.314550446357</v>
      </c>
      <c r="L190" s="918">
        <f t="shared" ref="L190" si="148">L128</f>
        <v>20577.222585386964</v>
      </c>
      <c r="M190" s="918">
        <f>M128</f>
        <v>20641.09091548514</v>
      </c>
      <c r="O190" s="23">
        <f t="shared" si="147"/>
        <v>20641.09091548514</v>
      </c>
      <c r="AD190" s="12" t="str">
        <f t="shared" si="143"/>
        <v>Public vehicles</v>
      </c>
      <c r="AE190" s="23">
        <f t="shared" si="143"/>
        <v>20641.09091548514</v>
      </c>
    </row>
    <row r="191" spans="1:31" x14ac:dyDescent="0.25">
      <c r="A191" s="12" t="str">
        <f>A129</f>
        <v>Vörubifreiðar</v>
      </c>
      <c r="B191" s="12" t="str">
        <f t="shared" ref="B191:O191" si="149">B129</f>
        <v>tCO2Í</v>
      </c>
      <c r="C191" s="918">
        <f t="shared" si="149"/>
        <v>0</v>
      </c>
      <c r="D191" s="918">
        <f t="shared" si="149"/>
        <v>69942.805963548089</v>
      </c>
      <c r="E191" s="918">
        <f t="shared" si="149"/>
        <v>75540.13920074905</v>
      </c>
      <c r="F191" s="918">
        <f t="shared" si="149"/>
        <v>77658.472720502526</v>
      </c>
      <c r="G191" s="918">
        <f t="shared" si="149"/>
        <v>80198.968864141279</v>
      </c>
      <c r="H191" s="918">
        <f t="shared" si="149"/>
        <v>71066.539269751345</v>
      </c>
      <c r="I191" s="918">
        <f t="shared" si="145"/>
        <v>85661.083073303598</v>
      </c>
      <c r="J191" s="918">
        <f t="shared" si="145"/>
        <v>72967.854488138226</v>
      </c>
      <c r="K191" s="918">
        <f t="shared" si="145"/>
        <v>72561.38301315096</v>
      </c>
      <c r="L191" s="918">
        <f t="shared" ref="L191" si="150">L129</f>
        <v>75911.139432866505</v>
      </c>
      <c r="M191" s="918">
        <f>M129</f>
        <v>78414.927128805197</v>
      </c>
      <c r="O191" s="23">
        <f t="shared" si="149"/>
        <v>78414.927128805197</v>
      </c>
      <c r="AD191" s="12" t="str">
        <f t="shared" si="143"/>
        <v>Goods vehicles</v>
      </c>
      <c r="AE191" s="23">
        <f t="shared" si="143"/>
        <v>78414.927128805197</v>
      </c>
    </row>
    <row r="192" spans="1:31" x14ac:dyDescent="0.25">
      <c r="A192" s="12" t="str">
        <f>A144</f>
        <v>Staðbundin eldsneytisnotkun</v>
      </c>
      <c r="B192" s="12" t="str">
        <f t="shared" ref="B192:O192" si="151">B144</f>
        <v>tCO2Í</v>
      </c>
      <c r="C192" s="918">
        <f t="shared" si="151"/>
        <v>3503.9344000000001</v>
      </c>
      <c r="D192" s="918">
        <f t="shared" si="151"/>
        <v>4151.9638400000003</v>
      </c>
      <c r="E192" s="918">
        <f t="shared" si="151"/>
        <v>5078.7206400000005</v>
      </c>
      <c r="F192" s="918">
        <f t="shared" si="151"/>
        <v>6549.85952</v>
      </c>
      <c r="G192" s="918">
        <f t="shared" si="151"/>
        <v>7683.91104</v>
      </c>
      <c r="H192" s="918">
        <f t="shared" si="151"/>
        <v>9159.7187200000008</v>
      </c>
      <c r="I192" s="918">
        <f t="shared" si="151"/>
        <v>10352.59712</v>
      </c>
      <c r="J192" s="918">
        <f>J144</f>
        <v>11441.828159999999</v>
      </c>
      <c r="K192" s="918">
        <f>K144</f>
        <v>11713.085440000001</v>
      </c>
      <c r="L192" s="918">
        <f>L144</f>
        <v>10724.70048</v>
      </c>
      <c r="M192" s="918">
        <f>M144</f>
        <v>10250.817279999999</v>
      </c>
      <c r="O192" s="23">
        <f t="shared" si="151"/>
        <v>10250.817279999999</v>
      </c>
      <c r="AD192" s="12" t="str">
        <f>AD144</f>
        <v>Stationary energy</v>
      </c>
      <c r="AE192" s="23">
        <f>AE144</f>
        <v>10250.817279999999</v>
      </c>
    </row>
    <row r="193" spans="1:31" x14ac:dyDescent="0.25">
      <c r="A193" s="12" t="str">
        <f>A130</f>
        <v>Skipaumferð</v>
      </c>
      <c r="B193" s="12" t="str">
        <f t="shared" ref="B193:O193" si="152">B130</f>
        <v>tCO2Í</v>
      </c>
      <c r="C193" s="918">
        <f t="shared" si="152"/>
        <v>0</v>
      </c>
      <c r="D193" s="918">
        <f t="shared" si="152"/>
        <v>30820</v>
      </c>
      <c r="E193" s="918">
        <f t="shared" si="152"/>
        <v>34710</v>
      </c>
      <c r="F193" s="918">
        <f t="shared" si="152"/>
        <v>40260</v>
      </c>
      <c r="G193" s="918">
        <f t="shared" si="152"/>
        <v>47600</v>
      </c>
      <c r="H193" s="918">
        <f t="shared" si="152"/>
        <v>35240</v>
      </c>
      <c r="I193" s="918">
        <f t="shared" ref="I193:K194" si="153">I130</f>
        <v>29930</v>
      </c>
      <c r="J193" s="918">
        <f t="shared" si="153"/>
        <v>44420</v>
      </c>
      <c r="K193" s="918">
        <f t="shared" si="153"/>
        <v>52390</v>
      </c>
      <c r="L193" s="918">
        <f t="shared" ref="L193" si="154">L130</f>
        <v>53090</v>
      </c>
      <c r="M193" s="918">
        <f>M130</f>
        <v>48360</v>
      </c>
      <c r="O193" s="23">
        <f t="shared" si="152"/>
        <v>48360</v>
      </c>
      <c r="AD193" s="12" t="str">
        <f>AD130</f>
        <v>Waterborne navigation</v>
      </c>
      <c r="AE193" s="23">
        <f>AE130</f>
        <v>48360</v>
      </c>
    </row>
    <row r="194" spans="1:31" x14ac:dyDescent="0.25">
      <c r="A194" s="12" t="str">
        <f>A131</f>
        <v>Flugumferð</v>
      </c>
      <c r="B194" s="12" t="str">
        <f t="shared" ref="B194:O194" si="155">B131</f>
        <v>tCO2Í</v>
      </c>
      <c r="C194" s="918">
        <f t="shared" si="155"/>
        <v>0</v>
      </c>
      <c r="D194" s="918">
        <f t="shared" si="155"/>
        <v>5400.7160188601574</v>
      </c>
      <c r="E194" s="918">
        <f t="shared" si="155"/>
        <v>4792.3453956006551</v>
      </c>
      <c r="F194" s="918">
        <f t="shared" si="155"/>
        <v>7325.3866733465939</v>
      </c>
      <c r="G194" s="918">
        <f t="shared" si="155"/>
        <v>6937.1982702861123</v>
      </c>
      <c r="H194" s="918">
        <f t="shared" si="155"/>
        <v>4542.5582514083553</v>
      </c>
      <c r="I194" s="918">
        <f t="shared" si="153"/>
        <v>6698.8813711630573</v>
      </c>
      <c r="J194" s="918">
        <f t="shared" si="153"/>
        <v>5939.1766057704244</v>
      </c>
      <c r="K194" s="918">
        <f t="shared" si="153"/>
        <v>6401.2505411855846</v>
      </c>
      <c r="L194" s="918">
        <f t="shared" ref="L194" si="156">L131</f>
        <v>6339.5653991310719</v>
      </c>
      <c r="M194" s="918">
        <f>M131</f>
        <v>4239.9557036902197</v>
      </c>
      <c r="O194" s="23">
        <f t="shared" si="155"/>
        <v>4239.9557036902197</v>
      </c>
      <c r="AD194" s="12" t="str">
        <f>AD131</f>
        <v>Aviation</v>
      </c>
      <c r="AE194" s="23">
        <f>AE131</f>
        <v>4239.9557036902197</v>
      </c>
    </row>
    <row r="195" spans="1:31" x14ac:dyDescent="0.25">
      <c r="A195" s="12" t="str">
        <f t="shared" ref="A195:K195" si="157">A137</f>
        <v>Úrgangur</v>
      </c>
      <c r="B195" s="12" t="str">
        <f t="shared" si="157"/>
        <v>tCO2Í</v>
      </c>
      <c r="C195" s="918">
        <f t="shared" si="157"/>
        <v>0</v>
      </c>
      <c r="D195" s="918">
        <f t="shared" si="157"/>
        <v>67280.512525744824</v>
      </c>
      <c r="E195" s="918">
        <f t="shared" si="157"/>
        <v>67330.752409439214</v>
      </c>
      <c r="F195" s="918">
        <f t="shared" si="157"/>
        <v>67345.76638412477</v>
      </c>
      <c r="G195" s="918">
        <f t="shared" si="157"/>
        <v>53056.836599577196</v>
      </c>
      <c r="H195" s="918">
        <f t="shared" si="157"/>
        <v>69002.328539332855</v>
      </c>
      <c r="I195" s="918">
        <f t="shared" si="157"/>
        <v>73063.594417448272</v>
      </c>
      <c r="J195" s="918">
        <f t="shared" si="157"/>
        <v>77165.733614047786</v>
      </c>
      <c r="K195" s="918">
        <f t="shared" si="157"/>
        <v>79277.356794722858</v>
      </c>
      <c r="L195" s="918">
        <f t="shared" ref="L195" si="158">L137</f>
        <v>82645.834813505004</v>
      </c>
      <c r="M195" s="918">
        <f>M137</f>
        <v>80736.348080587733</v>
      </c>
      <c r="O195" s="23">
        <f>O137</f>
        <v>80736.348080587733</v>
      </c>
      <c r="AD195" s="12" t="str">
        <f>AD137</f>
        <v>Waste</v>
      </c>
      <c r="AE195" s="23">
        <f>AE137</f>
        <v>80736.348080587733</v>
      </c>
    </row>
    <row r="196" spans="1:31" x14ac:dyDescent="0.25">
      <c r="A196" s="12" t="str">
        <f t="shared" ref="A196:K196" si="159">A138</f>
        <v>Búfjárrækt</v>
      </c>
      <c r="B196" s="12" t="str">
        <f t="shared" si="159"/>
        <v>tCO2Í</v>
      </c>
      <c r="C196" s="918">
        <f t="shared" si="159"/>
        <v>0</v>
      </c>
      <c r="D196" s="918">
        <f t="shared" si="159"/>
        <v>1829.6519397420795</v>
      </c>
      <c r="E196" s="918">
        <f t="shared" si="159"/>
        <v>2245.4398830453683</v>
      </c>
      <c r="F196" s="918">
        <f t="shared" si="159"/>
        <v>1691.624489923749</v>
      </c>
      <c r="G196" s="918">
        <f t="shared" si="159"/>
        <v>1710.0061987558634</v>
      </c>
      <c r="H196" s="918">
        <f t="shared" si="159"/>
        <v>2652.4245259230693</v>
      </c>
      <c r="I196" s="918">
        <f t="shared" si="159"/>
        <v>2654.0703045108339</v>
      </c>
      <c r="J196" s="918">
        <f t="shared" si="159"/>
        <v>2565.3120470227268</v>
      </c>
      <c r="K196" s="918">
        <f t="shared" si="159"/>
        <v>2225.7389972815336</v>
      </c>
      <c r="L196" s="918">
        <f t="shared" ref="L196" si="160">L138</f>
        <v>2248.1210669607221</v>
      </c>
      <c r="M196" s="918">
        <f>M138</f>
        <v>2199.0447206679287</v>
      </c>
      <c r="O196" s="23">
        <f>O138</f>
        <v>2199.0447206679287</v>
      </c>
      <c r="AD196" s="12" t="str">
        <f>AD138</f>
        <v>Livestock farming</v>
      </c>
      <c r="AE196" s="23">
        <f>AE138</f>
        <v>2199.0447206679287</v>
      </c>
    </row>
    <row r="197" spans="1:31" x14ac:dyDescent="0.25">
      <c r="A197" s="845" t="s">
        <v>44</v>
      </c>
      <c r="B197" s="845" t="str">
        <f>B67</f>
        <v>tCO2í</v>
      </c>
      <c r="C197" s="918">
        <f t="shared" ref="C197" si="161">C69+C68+C70</f>
        <v>0</v>
      </c>
      <c r="D197" s="918">
        <f t="shared" ref="D197:L197" si="162">D69+D68+D70</f>
        <v>45775.147887150524</v>
      </c>
      <c r="E197" s="918">
        <f t="shared" si="162"/>
        <v>45775.147887150524</v>
      </c>
      <c r="F197" s="918">
        <f t="shared" si="162"/>
        <v>45775.147887150524</v>
      </c>
      <c r="G197" s="918">
        <f t="shared" si="162"/>
        <v>45775.147887150524</v>
      </c>
      <c r="H197" s="918">
        <f t="shared" si="162"/>
        <v>45775.147887150524</v>
      </c>
      <c r="I197" s="918">
        <f t="shared" si="162"/>
        <v>45775.147887150524</v>
      </c>
      <c r="J197" s="918">
        <f t="shared" si="162"/>
        <v>45775.147887150524</v>
      </c>
      <c r="K197" s="918">
        <f t="shared" si="162"/>
        <v>45775.147887150524</v>
      </c>
      <c r="L197" s="918">
        <f t="shared" si="162"/>
        <v>45775.147887150524</v>
      </c>
      <c r="M197" s="918">
        <f>M69+M68+M70</f>
        <v>45775.147887150524</v>
      </c>
      <c r="O197" s="23">
        <f>O139</f>
        <v>45775.147887150524</v>
      </c>
      <c r="AD197" s="12" t="s">
        <v>472</v>
      </c>
      <c r="AE197" s="23">
        <f>AE139</f>
        <v>45775.147887150524</v>
      </c>
    </row>
    <row r="198" spans="1:31" x14ac:dyDescent="0.25">
      <c r="A198" s="845" t="s">
        <v>267</v>
      </c>
      <c r="B198" s="845" t="str">
        <f>B68</f>
        <v>tCO2í</v>
      </c>
      <c r="C198" s="918">
        <f t="shared" ref="C198" si="163">C67</f>
        <v>0</v>
      </c>
      <c r="D198" s="918">
        <f t="shared" ref="D198:L198" si="164">D67</f>
        <v>-14742.381850653543</v>
      </c>
      <c r="E198" s="918">
        <f t="shared" si="164"/>
        <v>-14742.381850653543</v>
      </c>
      <c r="F198" s="918">
        <f t="shared" si="164"/>
        <v>-14742.381850653543</v>
      </c>
      <c r="G198" s="918">
        <f t="shared" si="164"/>
        <v>-14742.381850653543</v>
      </c>
      <c r="H198" s="918">
        <f t="shared" si="164"/>
        <v>-14742.381850653543</v>
      </c>
      <c r="I198" s="918">
        <f t="shared" si="164"/>
        <v>-14742.381850653543</v>
      </c>
      <c r="J198" s="918">
        <f t="shared" si="164"/>
        <v>-14742.381850653543</v>
      </c>
      <c r="K198" s="918">
        <f t="shared" si="164"/>
        <v>-14742.381850653543</v>
      </c>
      <c r="L198" s="918">
        <f t="shared" si="164"/>
        <v>-14742.381850653543</v>
      </c>
      <c r="M198" s="918">
        <f>M67</f>
        <v>-14742.381850653543</v>
      </c>
      <c r="O198" s="23">
        <f>O140</f>
        <v>-14742.381850653543</v>
      </c>
      <c r="AD198" s="12" t="s">
        <v>462</v>
      </c>
      <c r="AE198" s="23">
        <f>AE140</f>
        <v>-14742.381850653543</v>
      </c>
    </row>
    <row r="199" spans="1:31" x14ac:dyDescent="0.25">
      <c r="A199" s="12" t="str">
        <f t="shared" ref="A199:H199" si="165">A142</f>
        <v>Efnanotkun</v>
      </c>
      <c r="B199" s="12" t="str">
        <f t="shared" si="165"/>
        <v>tCO2Í</v>
      </c>
      <c r="C199" s="918">
        <f t="shared" si="165"/>
        <v>0</v>
      </c>
      <c r="D199" s="918">
        <f t="shared" si="165"/>
        <v>35110.785829415967</v>
      </c>
      <c r="E199" s="918">
        <f t="shared" si="165"/>
        <v>37624.608696449752</v>
      </c>
      <c r="F199" s="918">
        <f t="shared" si="165"/>
        <v>40204.863988440615</v>
      </c>
      <c r="G199" s="918">
        <f t="shared" si="165"/>
        <v>43855.389807955966</v>
      </c>
      <c r="H199" s="918">
        <f t="shared" si="165"/>
        <v>46145.783610908431</v>
      </c>
      <c r="I199" s="918">
        <f>I142</f>
        <v>39168.965783100633</v>
      </c>
      <c r="J199" s="918">
        <f>J142</f>
        <v>34504.151060621814</v>
      </c>
      <c r="K199" s="918">
        <f>K142</f>
        <v>29495.398136066389</v>
      </c>
      <c r="L199" s="918">
        <f>L142</f>
        <v>25677.455003312276</v>
      </c>
      <c r="M199" s="918">
        <f>M142</f>
        <v>31944.836513010301</v>
      </c>
      <c r="O199" s="23">
        <f>O142</f>
        <v>31944.836513010301</v>
      </c>
      <c r="AD199" s="12" t="str">
        <f>AD142</f>
        <v>Product use</v>
      </c>
      <c r="AE199" s="23">
        <f>AE142</f>
        <v>31944.836513010301</v>
      </c>
    </row>
    <row r="200" spans="1:31" x14ac:dyDescent="0.25">
      <c r="A200" s="12" t="str">
        <f>A145</f>
        <v>Byggingariðnaður - efni</v>
      </c>
      <c r="B200" s="12" t="str">
        <f t="shared" ref="B200:O200" si="166">B145</f>
        <v>tCO2Í</v>
      </c>
      <c r="C200" s="918">
        <f t="shared" si="166"/>
        <v>23021.512449999998</v>
      </c>
      <c r="D200" s="918">
        <f t="shared" si="166"/>
        <v>27279.188569999998</v>
      </c>
      <c r="E200" s="918">
        <f t="shared" si="166"/>
        <v>33368.156219999997</v>
      </c>
      <c r="F200" s="918">
        <f t="shared" si="166"/>
        <v>43033.817210000001</v>
      </c>
      <c r="G200" s="918">
        <f t="shared" si="166"/>
        <v>50484.750419999997</v>
      </c>
      <c r="H200" s="918">
        <f t="shared" si="166"/>
        <v>60181.086309999999</v>
      </c>
      <c r="I200" s="918">
        <f t="shared" si="166"/>
        <v>68018.523260000002</v>
      </c>
      <c r="J200" s="918">
        <f t="shared" ref="J200:L201" si="167">J145</f>
        <v>75174.977429999984</v>
      </c>
      <c r="K200" s="918">
        <f t="shared" si="167"/>
        <v>76957.18912000001</v>
      </c>
      <c r="L200" s="918">
        <f t="shared" si="167"/>
        <v>70463.312789999996</v>
      </c>
      <c r="M200" s="918">
        <f t="shared" ref="M200" si="168">M145</f>
        <v>67349.810440000001</v>
      </c>
      <c r="O200" s="23">
        <f t="shared" si="166"/>
        <v>67349.810440000001</v>
      </c>
      <c r="AD200" s="12" t="str">
        <f>AD145</f>
        <v>Construction materials</v>
      </c>
      <c r="AE200" s="23">
        <f>AE145</f>
        <v>67349.810440000001</v>
      </c>
    </row>
    <row r="201" spans="1:31" x14ac:dyDescent="0.25">
      <c r="A201" s="12" t="str">
        <f>A146</f>
        <v>Annar iðnaður</v>
      </c>
      <c r="B201" s="12" t="str">
        <f t="shared" ref="B201:H201" si="169">B146</f>
        <v>tCO2Í</v>
      </c>
      <c r="C201" s="918">
        <f t="shared" si="169"/>
        <v>0</v>
      </c>
      <c r="D201" s="918">
        <f t="shared" si="169"/>
        <v>2789.9376058862435</v>
      </c>
      <c r="E201" s="918">
        <f t="shared" si="169"/>
        <v>1783.0008987336428</v>
      </c>
      <c r="F201" s="918">
        <f t="shared" si="169"/>
        <v>2725.6752360778246</v>
      </c>
      <c r="G201" s="918">
        <f t="shared" si="169"/>
        <v>3695.582847335269</v>
      </c>
      <c r="H201" s="918">
        <f t="shared" si="169"/>
        <v>3808.7568069704744</v>
      </c>
      <c r="I201" s="918">
        <f>I146</f>
        <v>3623.9860284982833</v>
      </c>
      <c r="J201" s="918">
        <f t="shared" si="167"/>
        <v>3418.9566873479939</v>
      </c>
      <c r="K201" s="918">
        <f t="shared" si="167"/>
        <v>2481.6131631724438</v>
      </c>
      <c r="L201" s="918">
        <f t="shared" si="167"/>
        <v>1787.79457272064</v>
      </c>
      <c r="M201" s="918">
        <f t="shared" ref="M201" si="170">M146</f>
        <v>5478.055685729727</v>
      </c>
      <c r="O201" s="23">
        <f>O146</f>
        <v>5478.055685729727</v>
      </c>
      <c r="AD201" s="12" t="str">
        <f>AD146</f>
        <v>Other industry</v>
      </c>
      <c r="AE201" s="23">
        <f>AE146</f>
        <v>5478.055685729727</v>
      </c>
    </row>
    <row r="202" spans="1:31" x14ac:dyDescent="0.25">
      <c r="A202" s="12" t="str">
        <f t="shared" ref="A202:H204" si="171">A148</f>
        <v>BASIC</v>
      </c>
      <c r="B202" s="12" t="str">
        <f t="shared" si="171"/>
        <v>tCO2Í</v>
      </c>
      <c r="C202" s="918">
        <f t="shared" si="171"/>
        <v>0</v>
      </c>
      <c r="D202" s="918">
        <f t="shared" si="171"/>
        <v>398461.27810226975</v>
      </c>
      <c r="E202" s="918">
        <f t="shared" si="171"/>
        <v>424484.73503347801</v>
      </c>
      <c r="F202" s="918">
        <f t="shared" si="171"/>
        <v>441697.06867385854</v>
      </c>
      <c r="G202" s="918">
        <f t="shared" si="171"/>
        <v>445821.98354376038</v>
      </c>
      <c r="H202" s="918">
        <f t="shared" si="171"/>
        <v>410897.19854802109</v>
      </c>
      <c r="I202" s="918">
        <f t="shared" ref="I202:K204" si="172">I148</f>
        <v>434506.95741438027</v>
      </c>
      <c r="J202" s="918">
        <f t="shared" si="172"/>
        <v>416292.90356580273</v>
      </c>
      <c r="K202" s="918">
        <f t="shared" si="172"/>
        <v>447478.44946677727</v>
      </c>
      <c r="L202" s="918">
        <f t="shared" ref="L202" si="173">L148</f>
        <v>445882.79524029628</v>
      </c>
      <c r="M202" s="918">
        <f>M148</f>
        <v>425641.28316233394</v>
      </c>
      <c r="O202" s="23">
        <f>O148</f>
        <v>425641.28316233394</v>
      </c>
      <c r="AD202" s="12" t="str">
        <f t="shared" ref="AD202:AE204" si="174">AD148</f>
        <v>BASIC</v>
      </c>
      <c r="AE202" s="23">
        <f t="shared" si="174"/>
        <v>425641.28316233394</v>
      </c>
    </row>
    <row r="203" spans="1:31" x14ac:dyDescent="0.25">
      <c r="A203" s="12" t="str">
        <f t="shared" si="171"/>
        <v>BASIC+</v>
      </c>
      <c r="B203" s="12" t="str">
        <f t="shared" si="171"/>
        <v>tCO2Í</v>
      </c>
      <c r="C203" s="918">
        <f t="shared" si="171"/>
        <v>0</v>
      </c>
      <c r="D203" s="918">
        <f t="shared" si="171"/>
        <v>466434.48190792475</v>
      </c>
      <c r="E203" s="918">
        <f t="shared" si="171"/>
        <v>495387.54964947014</v>
      </c>
      <c r="F203" s="918">
        <f t="shared" si="171"/>
        <v>514819.55922034342</v>
      </c>
      <c r="G203" s="918">
        <f t="shared" si="171"/>
        <v>522605.25108272373</v>
      </c>
      <c r="H203" s="918">
        <f t="shared" si="171"/>
        <v>490963.97520302155</v>
      </c>
      <c r="I203" s="918">
        <f t="shared" si="172"/>
        <v>507581.91122789454</v>
      </c>
      <c r="J203" s="918">
        <f t="shared" si="172"/>
        <v>484629.41996219428</v>
      </c>
      <c r="K203" s="918">
        <f t="shared" si="172"/>
        <v>510464.18710276426</v>
      </c>
      <c r="L203" s="918">
        <f t="shared" ref="L203:M203" si="175">L149</f>
        <v>505112.12943228381</v>
      </c>
      <c r="M203" s="918">
        <f t="shared" si="175"/>
        <v>491058.4231615609</v>
      </c>
      <c r="O203" s="23">
        <f>O149</f>
        <v>491058.4231615609</v>
      </c>
      <c r="AD203" s="12" t="str">
        <f t="shared" si="174"/>
        <v>BASIC+</v>
      </c>
      <c r="AE203" s="23">
        <f t="shared" si="174"/>
        <v>491058.4231615609</v>
      </c>
    </row>
    <row r="204" spans="1:31" x14ac:dyDescent="0.25">
      <c r="A204" s="12" t="str">
        <f t="shared" si="171"/>
        <v>BASIC+ S3</v>
      </c>
      <c r="B204" s="12" t="str">
        <f t="shared" si="171"/>
        <v>tCO2Í</v>
      </c>
      <c r="C204" s="918">
        <f t="shared" si="171"/>
        <v>0</v>
      </c>
      <c r="D204" s="918">
        <f t="shared" si="171"/>
        <v>496503.60808381101</v>
      </c>
      <c r="E204" s="918">
        <f t="shared" si="171"/>
        <v>530538.70676820376</v>
      </c>
      <c r="F204" s="918">
        <f t="shared" si="171"/>
        <v>560579.05166642123</v>
      </c>
      <c r="G204" s="918">
        <f t="shared" si="171"/>
        <v>576785.58435005893</v>
      </c>
      <c r="H204" s="918">
        <f t="shared" si="171"/>
        <v>554953.81831999205</v>
      </c>
      <c r="I204" s="918">
        <f t="shared" si="172"/>
        <v>579224.4205163928</v>
      </c>
      <c r="J204" s="918">
        <f t="shared" si="172"/>
        <v>563223.35407954222</v>
      </c>
      <c r="K204" s="918">
        <f t="shared" si="172"/>
        <v>589902.98938593676</v>
      </c>
      <c r="L204" s="918">
        <f t="shared" ref="L204:M204" si="176">L150</f>
        <v>577363.23679500446</v>
      </c>
      <c r="M204" s="918">
        <f t="shared" si="176"/>
        <v>563886.28928729065</v>
      </c>
      <c r="O204" s="23">
        <f>O150</f>
        <v>563886.28928729065</v>
      </c>
      <c r="AD204" s="12" t="str">
        <f t="shared" si="174"/>
        <v>BASIC+ S3</v>
      </c>
      <c r="AE204" s="23">
        <f t="shared" si="174"/>
        <v>563886.28928729065</v>
      </c>
    </row>
    <row r="205" spans="1:31" x14ac:dyDescent="0.25">
      <c r="A205" s="1"/>
      <c r="B205" s="2"/>
      <c r="C205" s="3"/>
      <c r="D205" s="3"/>
      <c r="E205" s="3"/>
      <c r="F205" s="3"/>
      <c r="G205" s="3"/>
      <c r="H205" s="3"/>
      <c r="I205" s="3"/>
      <c r="J205" s="3"/>
      <c r="K205" s="3"/>
      <c r="L205" s="3"/>
      <c r="M205" s="3"/>
    </row>
    <row r="206" spans="1:31" x14ac:dyDescent="0.25">
      <c r="A206" s="1"/>
      <c r="B206" s="2"/>
      <c r="C206" s="3"/>
      <c r="D206" s="3"/>
      <c r="E206" s="3"/>
      <c r="F206" s="3"/>
      <c r="G206" s="3"/>
      <c r="H206" s="3"/>
      <c r="I206" s="3"/>
      <c r="J206" s="3"/>
      <c r="K206" s="3"/>
      <c r="L206" s="3"/>
      <c r="M206" s="3"/>
    </row>
    <row r="207" spans="1:31" x14ac:dyDescent="0.25">
      <c r="A207" s="1"/>
      <c r="B207" s="2"/>
      <c r="C207" s="3"/>
      <c r="D207" s="3"/>
      <c r="E207" s="3"/>
      <c r="F207" s="3"/>
      <c r="G207" s="3"/>
      <c r="I207" s="3"/>
      <c r="J207" s="3"/>
      <c r="K207" s="3"/>
      <c r="L207" s="3"/>
      <c r="M207" s="3"/>
    </row>
    <row r="208" spans="1:31" x14ac:dyDescent="0.25">
      <c r="A208" s="6"/>
      <c r="B208" s="4"/>
      <c r="C208" s="5"/>
      <c r="D208" s="5"/>
      <c r="E208" s="5"/>
      <c r="F208" s="5"/>
      <c r="G208" s="5"/>
      <c r="H208" s="5"/>
      <c r="I208" s="5"/>
      <c r="J208" s="5"/>
      <c r="K208" s="5"/>
      <c r="L208" s="5"/>
      <c r="M208" s="5"/>
    </row>
    <row r="209" spans="1:13" x14ac:dyDescent="0.25">
      <c r="A209" s="1"/>
      <c r="B209" s="2"/>
      <c r="C209" s="3"/>
      <c r="D209" s="3"/>
      <c r="E209" s="3"/>
      <c r="F209" s="3"/>
      <c r="G209" s="3"/>
      <c r="I209" s="3"/>
      <c r="J209" s="3"/>
      <c r="K209" s="3"/>
      <c r="L209" s="3"/>
      <c r="M209" s="3"/>
    </row>
    <row r="210" spans="1:13" x14ac:dyDescent="0.25">
      <c r="A210" s="1"/>
      <c r="B210" s="2"/>
      <c r="C210" s="3"/>
      <c r="D210" s="3">
        <f>D202/D$4</f>
        <v>3.3409461045249254</v>
      </c>
      <c r="E210" s="3">
        <f t="shared" ref="E210:L210" si="177">E202/E$4</f>
        <v>3.5223148957662493</v>
      </c>
      <c r="F210" s="3">
        <f t="shared" si="177"/>
        <v>3.5869212421034304</v>
      </c>
      <c r="G210" s="3">
        <f t="shared" si="177"/>
        <v>3.5563336275028745</v>
      </c>
      <c r="H210" s="3">
        <f t="shared" si="177"/>
        <v>3.2469414894469422</v>
      </c>
      <c r="I210" s="3">
        <f t="shared" si="177"/>
        <v>3.3784850121637531</v>
      </c>
      <c r="J210" s="3">
        <f t="shared" si="177"/>
        <v>3.186614182441577</v>
      </c>
      <c r="K210" s="3">
        <f t="shared" si="177"/>
        <v>3.3319814849571645</v>
      </c>
      <c r="L210" s="3">
        <f t="shared" si="177"/>
        <v>3.2571390655565349</v>
      </c>
      <c r="M210" s="3">
        <f t="shared" ref="M210" si="178">M202/M$4</f>
        <v>3.0671985931047612</v>
      </c>
    </row>
    <row r="211" spans="1:13" x14ac:dyDescent="0.25">
      <c r="A211" s="1"/>
      <c r="B211" s="2"/>
      <c r="C211" s="3"/>
      <c r="D211" s="3">
        <f t="shared" ref="D211:L211" si="179">D203/D$4</f>
        <v>3.9108755379397713</v>
      </c>
      <c r="E211" s="3">
        <f t="shared" si="179"/>
        <v>4.1106565237731214</v>
      </c>
      <c r="F211" s="3">
        <f t="shared" si="179"/>
        <v>4.1807323248986403</v>
      </c>
      <c r="G211" s="3">
        <f t="shared" si="179"/>
        <v>4.168835761668185</v>
      </c>
      <c r="H211" s="3">
        <f t="shared" si="179"/>
        <v>3.8796353602400773</v>
      </c>
      <c r="I211" s="3">
        <f t="shared" si="179"/>
        <v>3.9466753069582032</v>
      </c>
      <c r="J211" s="3">
        <f t="shared" si="179"/>
        <v>3.7097124876543908</v>
      </c>
      <c r="K211" s="3">
        <f t="shared" si="179"/>
        <v>3.8009813035396229</v>
      </c>
      <c r="L211" s="3">
        <f t="shared" si="179"/>
        <v>3.6898047352863079</v>
      </c>
      <c r="M211" s="3">
        <f t="shared" ref="M211" si="180">M203/M$4</f>
        <v>3.5385987314556315</v>
      </c>
    </row>
    <row r="212" spans="1:13" x14ac:dyDescent="0.25">
      <c r="A212" s="1"/>
      <c r="B212" s="2"/>
      <c r="C212" s="3"/>
      <c r="D212" s="3">
        <f t="shared" ref="D212:L212" si="181">D204/D$4</f>
        <v>4.1629937122382827</v>
      </c>
      <c r="E212" s="3">
        <f t="shared" si="181"/>
        <v>4.4023359037465148</v>
      </c>
      <c r="F212" s="3">
        <f t="shared" si="181"/>
        <v>4.5523347355179933</v>
      </c>
      <c r="G212" s="3">
        <f t="shared" si="181"/>
        <v>4.6010336977509487</v>
      </c>
      <c r="H212" s="3">
        <f t="shared" si="181"/>
        <v>4.3852880569581112</v>
      </c>
      <c r="I212" s="3">
        <f t="shared" si="181"/>
        <v>4.5037277079262328</v>
      </c>
      <c r="J212" s="3">
        <f t="shared" si="181"/>
        <v>4.3113286645504543</v>
      </c>
      <c r="K212" s="3">
        <f t="shared" si="181"/>
        <v>4.3924927354535193</v>
      </c>
      <c r="L212" s="3">
        <f t="shared" si="181"/>
        <v>4.2175934430654705</v>
      </c>
      <c r="M212" s="3">
        <f t="shared" ref="M212" si="182">M204/M$4</f>
        <v>4.0634010411847541</v>
      </c>
    </row>
    <row r="213" spans="1:13" x14ac:dyDescent="0.25">
      <c r="A213" s="1"/>
      <c r="B213" s="2"/>
      <c r="C213" s="3"/>
      <c r="D213" s="3"/>
      <c r="E213" s="3"/>
      <c r="F213" s="3"/>
      <c r="G213" s="3"/>
      <c r="H213" s="3"/>
      <c r="I213" s="3"/>
      <c r="J213" s="3"/>
      <c r="K213" s="3"/>
      <c r="L213" s="3"/>
      <c r="M213" s="3"/>
    </row>
    <row r="214" spans="1:13" x14ac:dyDescent="0.25">
      <c r="A214" s="1"/>
      <c r="B214" s="2"/>
      <c r="C214" s="3"/>
      <c r="D214" s="3"/>
      <c r="E214" s="3"/>
      <c r="F214" s="3"/>
      <c r="G214" s="3"/>
      <c r="H214" s="3"/>
      <c r="I214" s="3"/>
      <c r="J214" s="3"/>
      <c r="K214" s="3"/>
      <c r="L214" s="3"/>
      <c r="M214" s="3"/>
    </row>
    <row r="215" spans="1:13" x14ac:dyDescent="0.25">
      <c r="A215" s="1"/>
      <c r="B215" s="2"/>
      <c r="C215" s="3"/>
      <c r="D215" s="3"/>
      <c r="E215" s="3"/>
      <c r="F215" s="3"/>
      <c r="G215" s="3"/>
      <c r="H215" s="3"/>
      <c r="I215" s="3"/>
      <c r="J215" s="3">
        <f>L211-G211</f>
        <v>-0.47903102638187711</v>
      </c>
      <c r="K215" s="3"/>
      <c r="L215" s="3"/>
      <c r="M215" s="3"/>
    </row>
    <row r="216" spans="1:13" x14ac:dyDescent="0.25">
      <c r="A216" s="1"/>
      <c r="B216" s="2"/>
      <c r="C216" s="3"/>
      <c r="D216" s="3"/>
      <c r="E216" s="3"/>
      <c r="F216" s="3"/>
      <c r="G216" s="3"/>
      <c r="H216" s="3"/>
      <c r="I216" s="3"/>
      <c r="J216" s="3">
        <f>J215/G211</f>
        <v>-0.11490762739719684</v>
      </c>
      <c r="K216" s="3"/>
      <c r="L216" s="3"/>
      <c r="M216" s="3"/>
    </row>
    <row r="217" spans="1:13" x14ac:dyDescent="0.25">
      <c r="A217" s="1"/>
      <c r="B217" s="2"/>
      <c r="C217" s="3"/>
      <c r="D217" s="3"/>
      <c r="E217" s="3"/>
      <c r="F217" s="3"/>
      <c r="G217" s="3"/>
      <c r="H217" s="3"/>
      <c r="I217" s="3"/>
      <c r="J217" s="3"/>
      <c r="K217" s="3"/>
      <c r="L217" s="3"/>
      <c r="M217" s="3"/>
    </row>
    <row r="218" spans="1:13" x14ac:dyDescent="0.25">
      <c r="A218" s="1"/>
      <c r="B218" s="2"/>
      <c r="C218" s="3"/>
      <c r="D218" s="3"/>
      <c r="E218" s="3"/>
      <c r="F218" s="3"/>
      <c r="G218" s="3"/>
      <c r="H218" s="3"/>
      <c r="I218" s="3"/>
      <c r="J218" s="3"/>
      <c r="K218" s="3"/>
      <c r="L218" s="3"/>
      <c r="M218" s="3"/>
    </row>
    <row r="219" spans="1:13" x14ac:dyDescent="0.25">
      <c r="A219" s="1"/>
      <c r="B219" s="2"/>
      <c r="C219" s="3"/>
      <c r="D219" s="3"/>
      <c r="E219" s="3"/>
      <c r="F219" s="3"/>
      <c r="G219" s="3"/>
      <c r="H219" s="3"/>
      <c r="I219" s="3"/>
      <c r="J219" s="3"/>
      <c r="K219" s="3"/>
      <c r="L219" s="3"/>
      <c r="M219" s="3"/>
    </row>
    <row r="220" spans="1:13" x14ac:dyDescent="0.25">
      <c r="A220" s="1"/>
      <c r="B220" s="2"/>
      <c r="C220" s="3"/>
      <c r="D220" s="3"/>
      <c r="E220" s="3"/>
      <c r="F220" s="3"/>
      <c r="G220" s="3"/>
      <c r="H220" s="3"/>
      <c r="I220" s="3"/>
      <c r="J220" s="3"/>
      <c r="K220" s="3"/>
      <c r="L220" s="3"/>
      <c r="M220" s="3"/>
    </row>
    <row r="221" spans="1:13" x14ac:dyDescent="0.25">
      <c r="A221" s="1"/>
      <c r="B221" s="2"/>
      <c r="C221" s="3"/>
      <c r="D221" s="3"/>
      <c r="E221" s="3"/>
      <c r="F221" s="3"/>
      <c r="G221" s="3"/>
      <c r="H221" s="3"/>
      <c r="I221" s="3"/>
      <c r="J221" s="3"/>
      <c r="K221" s="3"/>
      <c r="L221" s="3"/>
      <c r="M221" s="3"/>
    </row>
    <row r="222" spans="1:13" x14ac:dyDescent="0.25">
      <c r="A222" s="1"/>
      <c r="B222" s="2"/>
      <c r="C222" s="3"/>
      <c r="D222" s="3"/>
      <c r="E222" s="3"/>
      <c r="F222" s="3"/>
      <c r="G222" s="3"/>
      <c r="H222" s="3"/>
      <c r="I222" s="3"/>
      <c r="J222" s="3"/>
      <c r="K222" s="3"/>
      <c r="L222" s="3"/>
      <c r="M222" s="3"/>
    </row>
    <row r="223" spans="1:13" x14ac:dyDescent="0.25">
      <c r="A223" s="1"/>
      <c r="B223" s="2"/>
      <c r="C223" s="3"/>
      <c r="D223" s="3"/>
      <c r="E223" s="3"/>
      <c r="F223" s="3"/>
      <c r="G223" s="3"/>
      <c r="H223" s="3"/>
      <c r="I223" s="3"/>
      <c r="J223" s="3"/>
      <c r="K223" s="3"/>
      <c r="L223" s="3"/>
      <c r="M223" s="3"/>
    </row>
    <row r="224" spans="1:13" x14ac:dyDescent="0.25">
      <c r="A224" s="1"/>
      <c r="B224" s="2"/>
      <c r="C224" s="3"/>
      <c r="D224" s="3"/>
      <c r="E224" s="3"/>
      <c r="F224" s="3"/>
      <c r="G224" s="3"/>
      <c r="H224" s="3"/>
      <c r="I224" s="3"/>
      <c r="J224" s="3"/>
      <c r="K224" s="3"/>
      <c r="L224" s="3"/>
      <c r="M224" s="3"/>
    </row>
    <row r="225" spans="1:13" x14ac:dyDescent="0.25">
      <c r="A225" s="1"/>
      <c r="B225" s="2"/>
      <c r="C225" s="3"/>
      <c r="D225" s="3"/>
      <c r="E225" s="3"/>
      <c r="F225" s="3"/>
      <c r="G225" s="3"/>
      <c r="H225" s="3"/>
      <c r="I225" s="3"/>
      <c r="J225" s="3"/>
      <c r="K225" s="3"/>
      <c r="L225" s="3"/>
      <c r="M225" s="3"/>
    </row>
    <row r="226" spans="1:13" x14ac:dyDescent="0.25">
      <c r="A226" s="1"/>
      <c r="B226" s="2"/>
      <c r="C226" s="3"/>
      <c r="D226" s="3"/>
      <c r="E226" s="3"/>
      <c r="F226" s="3"/>
      <c r="G226" s="3"/>
      <c r="H226" s="3"/>
      <c r="I226" s="3"/>
      <c r="J226" s="3"/>
      <c r="K226" s="3"/>
      <c r="L226" s="3"/>
      <c r="M226" s="3"/>
    </row>
    <row r="227" spans="1:13" x14ac:dyDescent="0.25">
      <c r="A227" s="1"/>
      <c r="B227" s="2"/>
      <c r="C227" s="3"/>
      <c r="D227" s="3"/>
      <c r="E227" s="3"/>
      <c r="F227" s="3"/>
      <c r="G227" s="3"/>
      <c r="H227" s="3"/>
      <c r="I227" s="3"/>
      <c r="J227" s="3"/>
      <c r="K227" s="3"/>
      <c r="L227" s="3"/>
      <c r="M227" s="3"/>
    </row>
    <row r="228" spans="1:13" x14ac:dyDescent="0.25">
      <c r="A228" s="1"/>
      <c r="B228" s="2"/>
      <c r="C228" s="3"/>
      <c r="D228" s="3"/>
      <c r="E228" s="3"/>
      <c r="F228" s="3"/>
      <c r="G228" s="3"/>
      <c r="H228" s="3"/>
      <c r="I228" s="3"/>
      <c r="J228" s="3"/>
      <c r="K228" s="3"/>
      <c r="L228" s="3"/>
      <c r="M228" s="3"/>
    </row>
    <row r="229" spans="1:13" x14ac:dyDescent="0.25">
      <c r="A229" s="1"/>
      <c r="B229" s="2"/>
      <c r="C229" s="3"/>
      <c r="D229" s="3"/>
      <c r="E229" s="3"/>
      <c r="F229" s="3"/>
      <c r="G229" s="3"/>
      <c r="H229" s="3"/>
      <c r="I229" s="3"/>
      <c r="J229" s="3"/>
      <c r="K229" s="3"/>
      <c r="L229" s="3"/>
      <c r="M229" s="3"/>
    </row>
    <row r="230" spans="1:13" x14ac:dyDescent="0.25">
      <c r="A230" s="1"/>
      <c r="B230" s="2"/>
      <c r="C230" s="3"/>
      <c r="D230" s="3"/>
      <c r="E230" s="3"/>
      <c r="F230" s="3"/>
      <c r="G230" s="3"/>
      <c r="H230" s="3"/>
      <c r="I230" s="3"/>
      <c r="J230" s="3"/>
      <c r="K230" s="3"/>
      <c r="L230" s="3"/>
      <c r="M230" s="3"/>
    </row>
    <row r="231" spans="1:13" x14ac:dyDescent="0.25">
      <c r="A231" s="1"/>
      <c r="B231" s="2"/>
      <c r="C231" s="3"/>
      <c r="D231" s="3"/>
      <c r="E231" s="3"/>
      <c r="F231" s="3"/>
      <c r="G231" s="3"/>
      <c r="H231" s="3"/>
      <c r="I231" s="3"/>
      <c r="J231" s="3"/>
      <c r="K231" s="3"/>
      <c r="L231" s="3"/>
      <c r="M231" s="3"/>
    </row>
    <row r="232" spans="1:13" x14ac:dyDescent="0.25">
      <c r="A232" s="1"/>
      <c r="B232" s="2"/>
      <c r="C232" s="3"/>
      <c r="D232" s="3"/>
      <c r="E232" s="3"/>
      <c r="F232" s="3"/>
      <c r="G232" s="3"/>
      <c r="H232" s="3"/>
      <c r="I232" s="3"/>
      <c r="J232" s="3"/>
      <c r="K232" s="3"/>
      <c r="L232" s="3"/>
      <c r="M232" s="3"/>
    </row>
    <row r="233" spans="1:13" x14ac:dyDescent="0.25">
      <c r="A233" s="1"/>
      <c r="B233" s="2"/>
      <c r="C233" s="3"/>
      <c r="D233" s="3"/>
      <c r="E233" s="3"/>
      <c r="F233" s="3"/>
      <c r="G233" s="3"/>
      <c r="H233" s="3"/>
      <c r="I233" s="3"/>
      <c r="J233" s="3"/>
      <c r="K233" s="3"/>
      <c r="L233" s="3"/>
      <c r="M233" s="3"/>
    </row>
    <row r="234" spans="1:13" x14ac:dyDescent="0.25">
      <c r="A234" s="1"/>
      <c r="B234" s="2"/>
      <c r="C234" s="3"/>
      <c r="D234" s="3"/>
      <c r="E234" s="3"/>
      <c r="F234" s="3"/>
      <c r="G234" s="3"/>
      <c r="H234" s="3"/>
      <c r="I234" s="3"/>
      <c r="J234" s="3"/>
      <c r="K234" s="3"/>
      <c r="L234" s="3"/>
      <c r="M234" s="3"/>
    </row>
    <row r="235" spans="1:13" x14ac:dyDescent="0.25">
      <c r="A235" s="1"/>
      <c r="B235" s="2"/>
      <c r="C235" s="3"/>
      <c r="D235" s="3"/>
      <c r="E235" s="3"/>
      <c r="F235" s="3"/>
      <c r="G235" s="3"/>
      <c r="H235" s="3"/>
      <c r="I235" s="3"/>
      <c r="J235" s="3"/>
      <c r="K235" s="3"/>
      <c r="L235" s="3"/>
      <c r="M235" s="3"/>
    </row>
    <row r="236" spans="1:13" x14ac:dyDescent="0.25">
      <c r="A236" s="1"/>
      <c r="B236" s="2"/>
      <c r="C236" s="3"/>
      <c r="D236" s="3"/>
      <c r="E236" s="3"/>
      <c r="F236" s="3"/>
      <c r="G236" s="3"/>
      <c r="H236" s="3"/>
      <c r="I236" s="3"/>
      <c r="J236" s="3"/>
      <c r="K236" s="3"/>
      <c r="L236" s="3"/>
      <c r="M236" s="3"/>
    </row>
    <row r="237" spans="1:13" x14ac:dyDescent="0.25">
      <c r="A237" s="1"/>
      <c r="B237" s="2"/>
      <c r="C237" s="3"/>
      <c r="D237" s="3"/>
      <c r="E237" s="3"/>
      <c r="F237" s="3"/>
      <c r="G237" s="3"/>
      <c r="H237" s="3"/>
      <c r="I237" s="3"/>
      <c r="J237" s="3"/>
      <c r="K237" s="3"/>
      <c r="L237" s="3"/>
      <c r="M237" s="3"/>
    </row>
    <row r="238" spans="1:13" x14ac:dyDescent="0.25">
      <c r="A238" s="1"/>
      <c r="B238" s="2"/>
      <c r="C238" s="3"/>
      <c r="D238" s="3"/>
      <c r="E238" s="3"/>
      <c r="F238" s="3"/>
      <c r="G238" s="3"/>
      <c r="H238" s="3"/>
      <c r="I238" s="3"/>
      <c r="J238" s="3"/>
      <c r="K238" s="3"/>
      <c r="L238" s="3"/>
      <c r="M238" s="3"/>
    </row>
    <row r="239" spans="1:13" x14ac:dyDescent="0.25">
      <c r="A239" s="1"/>
      <c r="B239" s="2"/>
      <c r="C239" s="3"/>
      <c r="D239" s="3"/>
      <c r="E239" s="3"/>
      <c r="F239" s="3"/>
      <c r="G239" s="3"/>
      <c r="H239" s="3"/>
      <c r="I239" s="3"/>
      <c r="J239" s="3"/>
      <c r="K239" s="3"/>
      <c r="L239" s="3"/>
      <c r="M239" s="3"/>
    </row>
    <row r="240" spans="1:13" x14ac:dyDescent="0.25">
      <c r="A240" s="1"/>
      <c r="B240" s="2"/>
      <c r="C240" s="3"/>
      <c r="D240" s="3"/>
      <c r="E240" s="3"/>
      <c r="F240" s="3"/>
      <c r="G240" s="3"/>
      <c r="H240" s="3"/>
      <c r="I240" s="3"/>
      <c r="J240" s="3"/>
      <c r="K240" s="3"/>
      <c r="L240" s="3"/>
      <c r="M240" s="3"/>
    </row>
    <row r="241" spans="1:13" x14ac:dyDescent="0.25">
      <c r="A241" s="1"/>
      <c r="B241" s="2"/>
      <c r="C241" s="3"/>
      <c r="D241" s="3"/>
      <c r="E241" s="3"/>
      <c r="F241" s="3"/>
      <c r="G241" s="3"/>
      <c r="H241" s="3"/>
      <c r="I241" s="3"/>
      <c r="J241" s="3"/>
      <c r="K241" s="3"/>
      <c r="L241" s="3"/>
      <c r="M241" s="3"/>
    </row>
    <row r="242" spans="1:13" x14ac:dyDescent="0.25">
      <c r="A242" s="1"/>
      <c r="B242" s="2"/>
      <c r="C242" s="3"/>
      <c r="D242" s="3"/>
      <c r="E242" s="3"/>
      <c r="F242" s="3"/>
      <c r="G242" s="3"/>
      <c r="H242" s="3"/>
      <c r="I242" s="3"/>
      <c r="J242" s="3"/>
      <c r="K242" s="3"/>
      <c r="L242" s="3"/>
      <c r="M242" s="3"/>
    </row>
    <row r="243" spans="1:13" x14ac:dyDescent="0.25">
      <c r="A243" s="1"/>
      <c r="B243" s="2"/>
      <c r="C243" s="3"/>
      <c r="D243" s="3"/>
      <c r="E243" s="3"/>
      <c r="F243" s="3"/>
      <c r="G243" s="3"/>
      <c r="H243" s="3"/>
      <c r="I243" s="3"/>
      <c r="J243" s="3"/>
      <c r="K243" s="3"/>
      <c r="L243" s="3"/>
      <c r="M243" s="3"/>
    </row>
    <row r="244" spans="1:13" x14ac:dyDescent="0.25">
      <c r="A244" s="1"/>
      <c r="B244" s="2"/>
      <c r="C244" s="3"/>
      <c r="D244" s="3"/>
      <c r="E244" s="3"/>
      <c r="F244" s="3"/>
      <c r="G244" s="3"/>
      <c r="H244" s="3"/>
      <c r="I244" s="3"/>
      <c r="J244" s="3"/>
      <c r="K244" s="3"/>
      <c r="L244" s="3"/>
      <c r="M244" s="3"/>
    </row>
    <row r="245" spans="1:13" x14ac:dyDescent="0.25">
      <c r="A245" s="1"/>
      <c r="B245" s="2"/>
      <c r="C245" s="3"/>
      <c r="D245" s="3"/>
      <c r="E245" s="3"/>
      <c r="F245" s="3"/>
      <c r="G245" s="3"/>
      <c r="H245" s="3"/>
      <c r="I245" s="3"/>
      <c r="J245" s="3"/>
      <c r="K245" s="3"/>
      <c r="L245" s="3"/>
      <c r="M245" s="3"/>
    </row>
    <row r="246" spans="1:13" x14ac:dyDescent="0.25">
      <c r="A246" s="1"/>
      <c r="B246" s="2"/>
      <c r="C246" s="3"/>
      <c r="D246" s="3"/>
      <c r="E246" s="3"/>
      <c r="F246" s="3"/>
      <c r="G246" s="3"/>
      <c r="H246" s="3"/>
      <c r="I246" s="3"/>
      <c r="J246" s="3"/>
      <c r="K246" s="3"/>
      <c r="L246" s="3"/>
      <c r="M246" s="3"/>
    </row>
    <row r="247" spans="1:13" x14ac:dyDescent="0.25">
      <c r="A247" s="1"/>
      <c r="B247" s="2"/>
      <c r="C247" s="3"/>
      <c r="D247" s="3"/>
      <c r="E247" s="3"/>
      <c r="F247" s="3"/>
      <c r="G247" s="3"/>
      <c r="H247" s="3"/>
      <c r="I247" s="3"/>
      <c r="J247" s="3"/>
      <c r="K247" s="3"/>
      <c r="L247" s="3"/>
      <c r="M247" s="3"/>
    </row>
    <row r="248" spans="1:13" x14ac:dyDescent="0.25">
      <c r="A248" s="1"/>
      <c r="B248" s="2"/>
      <c r="C248" s="3"/>
      <c r="D248" s="3"/>
      <c r="E248" s="3"/>
      <c r="F248" s="3"/>
      <c r="G248" s="3"/>
      <c r="H248" s="3"/>
      <c r="I248" s="3"/>
      <c r="J248" s="3"/>
      <c r="K248" s="3"/>
      <c r="L248" s="3"/>
      <c r="M248" s="3"/>
    </row>
    <row r="249" spans="1:13" x14ac:dyDescent="0.25">
      <c r="A249" s="1"/>
      <c r="B249" s="2"/>
      <c r="C249" s="3"/>
      <c r="D249" s="3"/>
      <c r="E249" s="3"/>
      <c r="F249" s="3"/>
      <c r="G249" s="3"/>
      <c r="H249" s="3"/>
      <c r="I249" s="3"/>
      <c r="J249" s="3"/>
      <c r="K249" s="3"/>
      <c r="L249" s="3"/>
      <c r="M249" s="3"/>
    </row>
    <row r="250" spans="1:13" x14ac:dyDescent="0.25">
      <c r="A250" s="1"/>
      <c r="B250" s="2"/>
      <c r="C250" s="3"/>
      <c r="D250" s="3"/>
      <c r="E250" s="3"/>
      <c r="F250" s="3"/>
      <c r="G250" s="3"/>
      <c r="H250" s="3"/>
      <c r="I250" s="3"/>
      <c r="J250" s="3"/>
      <c r="K250" s="3"/>
      <c r="L250" s="3"/>
      <c r="M250" s="3"/>
    </row>
    <row r="251" spans="1:13" x14ac:dyDescent="0.25">
      <c r="A251" s="1"/>
      <c r="B251" s="2"/>
      <c r="C251" s="3"/>
      <c r="D251" s="3"/>
      <c r="E251" s="3"/>
      <c r="F251" s="3"/>
      <c r="G251" s="3"/>
      <c r="H251" s="3"/>
      <c r="I251" s="3"/>
      <c r="J251" s="3"/>
      <c r="K251" s="3"/>
      <c r="L251" s="3"/>
      <c r="M251" s="3"/>
    </row>
    <row r="252" spans="1:13" x14ac:dyDescent="0.25">
      <c r="A252" s="1"/>
      <c r="B252" s="2"/>
      <c r="C252" s="3"/>
      <c r="D252" s="3"/>
      <c r="E252" s="3"/>
      <c r="F252" s="3"/>
      <c r="G252" s="3"/>
      <c r="H252" s="3"/>
      <c r="I252" s="3"/>
      <c r="J252" s="3"/>
      <c r="K252" s="3"/>
      <c r="L252" s="3"/>
      <c r="M252" s="3"/>
    </row>
    <row r="253" spans="1:13" x14ac:dyDescent="0.25">
      <c r="A253" s="1"/>
      <c r="B253" s="2"/>
      <c r="C253" s="3"/>
      <c r="D253" s="3"/>
      <c r="E253" s="3"/>
      <c r="F253" s="3"/>
      <c r="G253" s="3"/>
      <c r="H253" s="3"/>
      <c r="I253" s="3"/>
      <c r="J253" s="3"/>
      <c r="K253" s="3"/>
      <c r="L253" s="3"/>
      <c r="M253" s="3"/>
    </row>
    <row r="254" spans="1:13" x14ac:dyDescent="0.25">
      <c r="A254" s="1"/>
      <c r="B254" s="2"/>
      <c r="C254" s="3"/>
      <c r="D254" s="3"/>
      <c r="E254" s="3"/>
      <c r="F254" s="3"/>
      <c r="G254" s="3"/>
      <c r="H254" s="3"/>
      <c r="I254" s="3"/>
      <c r="J254" s="3"/>
      <c r="K254" s="3"/>
      <c r="L254" s="3"/>
      <c r="M254" s="3"/>
    </row>
  </sheetData>
  <phoneticPr fontId="160" type="noConversion"/>
  <dataValidations disablePrompts="1" count="1">
    <dataValidation type="list" allowBlank="1" showInputMessage="1" showErrorMessage="1" sqref="O106" xr:uid="{B69298E5-C000-432A-91FB-3CBAC1F32C4E}">
      <formula1>"1,0"</formula1>
    </dataValidation>
  </dataValidations>
  <hyperlinks>
    <hyperlink ref="O29" r:id="rId1" xr:uid="{933FBAF7-D9C5-4F99-A8B0-F267FFF1265C}"/>
    <hyperlink ref="O66" r:id="rId2" xr:uid="{783307DB-92CA-4640-AEAB-770877F1C0D7}"/>
    <hyperlink ref="O16" r:id="rId3" xr:uid="{4C8E00BE-4B07-46E9-9EC1-EE165623D343}"/>
    <hyperlink ref="O42" r:id="rId4" xr:uid="{33E108DD-DC41-40A7-81A5-BCB4CDDB9856}"/>
    <hyperlink ref="O46" r:id="rId5" xr:uid="{5E8F44BE-2D16-478D-8453-CE9C73D6539C}"/>
    <hyperlink ref="O35" r:id="rId6" xr:uid="{F6A127BA-A9FA-4146-9A55-1918173B5FB1}"/>
  </hyperlinks>
  <pageMargins left="0.7" right="0.7" top="0.75" bottom="0.75" header="0.3" footer="0.3"/>
  <pageSetup paperSize="9" orientation="portrait" r:id="rId7"/>
  <drawing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9F6E3-71EB-458A-92BC-31F2D2A331C6}">
  <dimension ref="B2:AR164"/>
  <sheetViews>
    <sheetView showGridLines="0" workbookViewId="0"/>
  </sheetViews>
  <sheetFormatPr defaultRowHeight="13.2" x14ac:dyDescent="0.25"/>
  <cols>
    <col min="17" max="17" width="30.109375" bestFit="1" customWidth="1"/>
  </cols>
  <sheetData>
    <row r="2" spans="2:2" x14ac:dyDescent="0.25">
      <c r="B2">
        <v>2024</v>
      </c>
    </row>
    <row r="42" spans="35:39" x14ac:dyDescent="0.25">
      <c r="AI42">
        <v>2010</v>
      </c>
      <c r="AJ42">
        <v>2011</v>
      </c>
      <c r="AK42">
        <v>2012</v>
      </c>
      <c r="AL42">
        <v>2013</v>
      </c>
      <c r="AM42">
        <v>2014</v>
      </c>
    </row>
    <row r="43" spans="35:39" x14ac:dyDescent="0.25">
      <c r="AI43">
        <f>564</f>
        <v>564</v>
      </c>
      <c r="AJ43">
        <f>(500+481)/2</f>
        <v>490.5</v>
      </c>
      <c r="AK43">
        <f>(376)</f>
        <v>376</v>
      </c>
      <c r="AL43">
        <f>(421+509)/2</f>
        <v>465</v>
      </c>
      <c r="AM43">
        <f>(897+577)</f>
        <v>1474</v>
      </c>
    </row>
    <row r="44" spans="35:39" x14ac:dyDescent="0.25">
      <c r="AI44">
        <v>10</v>
      </c>
      <c r="AJ44">
        <v>113</v>
      </c>
      <c r="AK44">
        <v>356</v>
      </c>
      <c r="AL44">
        <v>614</v>
      </c>
      <c r="AM44">
        <v>597</v>
      </c>
    </row>
    <row r="50" spans="36:44" x14ac:dyDescent="0.25">
      <c r="AO50" s="712">
        <v>44440</v>
      </c>
      <c r="AP50" s="712">
        <v>44621</v>
      </c>
      <c r="AQ50" s="712">
        <v>44805</v>
      </c>
      <c r="AR50" s="712">
        <v>45139</v>
      </c>
    </row>
    <row r="51" spans="36:44" x14ac:dyDescent="0.25">
      <c r="AO51">
        <v>2462</v>
      </c>
      <c r="AP51">
        <v>2637</v>
      </c>
      <c r="AQ51">
        <v>2433</v>
      </c>
      <c r="AR51">
        <v>2331</v>
      </c>
    </row>
    <row r="53" spans="36:44" x14ac:dyDescent="0.25">
      <c r="AJ53">
        <v>2015</v>
      </c>
      <c r="AK53">
        <v>2016</v>
      </c>
      <c r="AL53">
        <v>2017</v>
      </c>
      <c r="AM53">
        <v>2018</v>
      </c>
      <c r="AN53">
        <v>2019</v>
      </c>
      <c r="AO53">
        <v>2020</v>
      </c>
      <c r="AP53">
        <v>2021</v>
      </c>
      <c r="AQ53">
        <v>2022</v>
      </c>
      <c r="AR53">
        <v>2023</v>
      </c>
    </row>
    <row r="54" spans="36:44" x14ac:dyDescent="0.25">
      <c r="AJ54" s="14">
        <f>(867+1027)/2</f>
        <v>947</v>
      </c>
      <c r="AK54" s="14">
        <f>(1103+1266)/2</f>
        <v>1184.5</v>
      </c>
      <c r="AL54" s="14">
        <f>(1509+1228)/2</f>
        <v>1368.5</v>
      </c>
      <c r="AM54" s="14">
        <f>(2355+1726)/2</f>
        <v>2040.5</v>
      </c>
      <c r="AN54" s="14">
        <f>(2642+2735)/2</f>
        <v>2688.5</v>
      </c>
      <c r="AO54" s="20">
        <f>(2499+2556)/2</f>
        <v>2527.5</v>
      </c>
      <c r="AP54">
        <f>AO51</f>
        <v>2462</v>
      </c>
      <c r="AQ54">
        <f>(AP51+AQ51)/2</f>
        <v>2535</v>
      </c>
      <c r="AR54">
        <f>AR51</f>
        <v>2331</v>
      </c>
    </row>
    <row r="68" spans="17:19" x14ac:dyDescent="0.25">
      <c r="Q68" t="s">
        <v>473</v>
      </c>
      <c r="R68">
        <v>0.30674899999999999</v>
      </c>
      <c r="S68" t="s">
        <v>474</v>
      </c>
    </row>
    <row r="69" spans="17:19" x14ac:dyDescent="0.25">
      <c r="Q69" t="s">
        <v>475</v>
      </c>
      <c r="R69">
        <v>4.6688E-2</v>
      </c>
      <c r="S69" t="s">
        <v>474</v>
      </c>
    </row>
    <row r="144" spans="3:3" x14ac:dyDescent="0.25">
      <c r="C144" s="712">
        <v>46266</v>
      </c>
    </row>
    <row r="149" spans="21:23" x14ac:dyDescent="0.25">
      <c r="U149">
        <v>50</v>
      </c>
      <c r="V149">
        <v>5</v>
      </c>
      <c r="W149">
        <f t="shared" ref="W149:W154" si="0">U149*V149</f>
        <v>250</v>
      </c>
    </row>
    <row r="150" spans="21:23" x14ac:dyDescent="0.25">
      <c r="U150">
        <v>90</v>
      </c>
      <c r="V150">
        <v>1</v>
      </c>
      <c r="W150">
        <f t="shared" si="0"/>
        <v>90</v>
      </c>
    </row>
    <row r="151" spans="21:23" x14ac:dyDescent="0.25">
      <c r="U151">
        <v>130</v>
      </c>
      <c r="V151">
        <v>5</v>
      </c>
      <c r="W151">
        <f t="shared" si="0"/>
        <v>650</v>
      </c>
    </row>
    <row r="152" spans="21:23" x14ac:dyDescent="0.25">
      <c r="U152">
        <v>180</v>
      </c>
      <c r="V152">
        <v>10</v>
      </c>
      <c r="W152">
        <f t="shared" si="0"/>
        <v>1800</v>
      </c>
    </row>
    <row r="153" spans="21:23" x14ac:dyDescent="0.25">
      <c r="U153">
        <v>240</v>
      </c>
      <c r="V153">
        <v>10</v>
      </c>
      <c r="W153">
        <f t="shared" si="0"/>
        <v>2400</v>
      </c>
    </row>
    <row r="154" spans="21:23" x14ac:dyDescent="0.25">
      <c r="U154">
        <v>320</v>
      </c>
      <c r="V154">
        <v>8</v>
      </c>
      <c r="W154">
        <f t="shared" si="0"/>
        <v>2560</v>
      </c>
    </row>
    <row r="156" spans="21:23" x14ac:dyDescent="0.25">
      <c r="U156">
        <v>30</v>
      </c>
      <c r="V156">
        <v>7</v>
      </c>
      <c r="W156">
        <f>U156*V156</f>
        <v>210</v>
      </c>
    </row>
    <row r="157" spans="21:23" x14ac:dyDescent="0.25">
      <c r="U157">
        <v>50</v>
      </c>
      <c r="V157">
        <v>283</v>
      </c>
      <c r="W157">
        <f t="shared" ref="W157:W162" si="1">U157*V157</f>
        <v>14150</v>
      </c>
    </row>
    <row r="158" spans="21:23" x14ac:dyDescent="0.25">
      <c r="U158">
        <v>70</v>
      </c>
      <c r="V158">
        <v>454</v>
      </c>
      <c r="W158">
        <f t="shared" si="1"/>
        <v>31780</v>
      </c>
    </row>
    <row r="159" spans="21:23" x14ac:dyDescent="0.25">
      <c r="U159">
        <v>90</v>
      </c>
      <c r="V159">
        <v>489</v>
      </c>
      <c r="W159">
        <f t="shared" si="1"/>
        <v>44010</v>
      </c>
    </row>
    <row r="160" spans="21:23" x14ac:dyDescent="0.25">
      <c r="U160">
        <v>125</v>
      </c>
      <c r="V160">
        <v>445</v>
      </c>
      <c r="W160">
        <f t="shared" si="1"/>
        <v>55625</v>
      </c>
    </row>
    <row r="161" spans="21:24" x14ac:dyDescent="0.25">
      <c r="U161">
        <v>200</v>
      </c>
      <c r="V161">
        <v>96</v>
      </c>
      <c r="W161">
        <f t="shared" si="1"/>
        <v>19200</v>
      </c>
    </row>
    <row r="162" spans="21:24" x14ac:dyDescent="0.25">
      <c r="U162">
        <v>250</v>
      </c>
      <c r="V162">
        <v>5</v>
      </c>
      <c r="W162">
        <f t="shared" si="1"/>
        <v>1250</v>
      </c>
    </row>
    <row r="163" spans="21:24" x14ac:dyDescent="0.25">
      <c r="V163">
        <f>SUM(V149:V162)</f>
        <v>1818</v>
      </c>
      <c r="W163">
        <f>SUM(W149:W162)</f>
        <v>173975</v>
      </c>
      <c r="X163">
        <f>W163/V163</f>
        <v>95.69581958195819</v>
      </c>
    </row>
    <row r="164" spans="21:24" x14ac:dyDescent="0.25">
      <c r="V164">
        <f>SUMPRODUCT(U156:U162,V156:V162)</f>
        <v>166225</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B3ACE-8C63-4A3B-BE1E-311EC3F6CC34}">
  <dimension ref="A1:W107"/>
  <sheetViews>
    <sheetView showGridLines="0" workbookViewId="0">
      <selection sqref="A1:C1"/>
    </sheetView>
  </sheetViews>
  <sheetFormatPr defaultRowHeight="13.2" x14ac:dyDescent="0.25"/>
  <cols>
    <col min="1" max="1" width="18" bestFit="1" customWidth="1"/>
    <col min="2" max="2" width="8.6640625" bestFit="1" customWidth="1"/>
    <col min="3" max="3" width="33.109375" bestFit="1" customWidth="1"/>
    <col min="4" max="4" width="18" bestFit="1" customWidth="1"/>
    <col min="6" max="6" width="11.33203125" bestFit="1" customWidth="1"/>
    <col min="7" max="7" width="13.6640625" bestFit="1" customWidth="1"/>
    <col min="9" max="9" width="11.109375" bestFit="1" customWidth="1"/>
    <col min="17" max="17" width="28.44140625" bestFit="1" customWidth="1"/>
    <col min="18" max="18" width="29.109375" bestFit="1" customWidth="1"/>
    <col min="19" max="19" width="27.88671875" bestFit="1" customWidth="1"/>
    <col min="20" max="20" width="12.88671875" bestFit="1" customWidth="1"/>
    <col min="21" max="21" width="28.109375" bestFit="1" customWidth="1"/>
  </cols>
  <sheetData>
    <row r="1" spans="1:23" ht="13.8" x14ac:dyDescent="0.25">
      <c r="A1" s="965" t="s">
        <v>476</v>
      </c>
      <c r="B1" s="966"/>
      <c r="C1" s="967"/>
      <c r="D1" s="832" t="s">
        <v>477</v>
      </c>
      <c r="E1" s="829"/>
      <c r="F1" s="829"/>
      <c r="G1" s="829"/>
      <c r="H1" s="829"/>
    </row>
    <row r="2" spans="1:23" ht="41.4" x14ac:dyDescent="0.25">
      <c r="A2" s="833" t="s">
        <v>478</v>
      </c>
      <c r="B2" s="834" t="s">
        <v>479</v>
      </c>
      <c r="C2" s="835" t="s">
        <v>480</v>
      </c>
      <c r="D2" s="836" t="s">
        <v>481</v>
      </c>
      <c r="E2" s="829"/>
      <c r="F2" s="829"/>
      <c r="G2" s="829"/>
      <c r="H2" s="829"/>
    </row>
    <row r="3" spans="1:23" ht="13.8" x14ac:dyDescent="0.25">
      <c r="A3" s="829"/>
      <c r="B3" s="829"/>
      <c r="C3" s="830"/>
      <c r="D3" s="829"/>
      <c r="E3" s="829"/>
      <c r="F3" s="829"/>
      <c r="G3" s="829"/>
      <c r="H3" s="829"/>
    </row>
    <row r="4" spans="1:23" ht="13.8" x14ac:dyDescent="0.25">
      <c r="A4" s="837" t="s">
        <v>482</v>
      </c>
      <c r="B4" s="830" t="s">
        <v>483</v>
      </c>
      <c r="C4" s="830" t="s">
        <v>484</v>
      </c>
      <c r="D4" s="831">
        <v>14940</v>
      </c>
      <c r="E4" t="s">
        <v>485</v>
      </c>
      <c r="F4" s="830"/>
      <c r="G4" s="830"/>
      <c r="H4" s="831"/>
    </row>
    <row r="5" spans="1:23" ht="13.8" x14ac:dyDescent="0.25">
      <c r="A5" s="830"/>
      <c r="B5" s="830" t="s">
        <v>486</v>
      </c>
      <c r="C5" s="830" t="s">
        <v>487</v>
      </c>
      <c r="D5" s="831">
        <v>11833.2</v>
      </c>
      <c r="E5" t="s">
        <v>485</v>
      </c>
      <c r="F5" s="830"/>
      <c r="G5" s="856">
        <f>D4+D6+D7+D8</f>
        <v>7637279.5600000005</v>
      </c>
      <c r="H5" s="831"/>
    </row>
    <row r="6" spans="1:23" ht="13.8" x14ac:dyDescent="0.25">
      <c r="A6" s="830"/>
      <c r="B6" s="830" t="s">
        <v>488</v>
      </c>
      <c r="C6" s="830" t="s">
        <v>489</v>
      </c>
      <c r="D6" s="831">
        <v>7432523.6900000004</v>
      </c>
      <c r="E6" t="s">
        <v>485</v>
      </c>
      <c r="F6" s="830"/>
      <c r="G6" s="830">
        <f>G5*7.6/1000000</f>
        <v>58.043324656000003</v>
      </c>
      <c r="H6" s="831"/>
    </row>
    <row r="7" spans="1:23" ht="13.8" x14ac:dyDescent="0.25">
      <c r="A7" s="830"/>
      <c r="B7" s="830" t="s">
        <v>490</v>
      </c>
      <c r="C7" s="830" t="s">
        <v>491</v>
      </c>
      <c r="D7" s="831">
        <v>28807</v>
      </c>
      <c r="E7" t="s">
        <v>485</v>
      </c>
      <c r="F7" s="830"/>
      <c r="G7" s="830"/>
      <c r="H7" s="831"/>
    </row>
    <row r="8" spans="1:23" ht="13.8" x14ac:dyDescent="0.25">
      <c r="A8" s="830"/>
      <c r="B8" s="830" t="s">
        <v>492</v>
      </c>
      <c r="C8" s="830" t="s">
        <v>493</v>
      </c>
      <c r="D8" s="831">
        <v>161008.87</v>
      </c>
      <c r="E8" t="s">
        <v>485</v>
      </c>
      <c r="F8" s="830"/>
      <c r="G8" s="830"/>
      <c r="H8" s="842"/>
      <c r="I8" s="23"/>
    </row>
    <row r="9" spans="1:23" ht="13.8" x14ac:dyDescent="0.25">
      <c r="A9" s="830"/>
      <c r="B9" s="830" t="s">
        <v>494</v>
      </c>
      <c r="C9" s="830" t="s">
        <v>495</v>
      </c>
      <c r="D9" s="831">
        <v>5816254.5599999903</v>
      </c>
      <c r="E9" t="s">
        <v>485</v>
      </c>
      <c r="F9" s="830"/>
      <c r="G9" s="830"/>
      <c r="H9" s="842"/>
      <c r="I9" s="23"/>
    </row>
    <row r="10" spans="1:23" ht="13.8" x14ac:dyDescent="0.25">
      <c r="A10" s="830"/>
      <c r="B10" s="830" t="s">
        <v>496</v>
      </c>
      <c r="C10" s="830" t="s">
        <v>497</v>
      </c>
      <c r="D10" s="831">
        <v>77848.460000000006</v>
      </c>
      <c r="E10" t="s">
        <v>485</v>
      </c>
      <c r="F10" s="830"/>
      <c r="G10" s="830"/>
      <c r="H10" s="842"/>
      <c r="I10" s="23" t="s">
        <v>498</v>
      </c>
    </row>
    <row r="11" spans="1:23" ht="13.8" x14ac:dyDescent="0.25">
      <c r="A11" s="830"/>
      <c r="B11" s="830" t="s">
        <v>499</v>
      </c>
      <c r="C11" s="830" t="s">
        <v>500</v>
      </c>
      <c r="D11" s="831">
        <v>757169.64</v>
      </c>
      <c r="E11" t="s">
        <v>485</v>
      </c>
      <c r="F11" s="830"/>
      <c r="G11" s="830"/>
      <c r="H11" s="842"/>
      <c r="I11" s="23"/>
      <c r="P11" t="s">
        <v>501</v>
      </c>
      <c r="Q11" t="s">
        <v>502</v>
      </c>
      <c r="R11" t="s">
        <v>485</v>
      </c>
      <c r="S11" t="s">
        <v>503</v>
      </c>
      <c r="T11" t="s">
        <v>504</v>
      </c>
      <c r="U11" t="s">
        <v>505</v>
      </c>
      <c r="V11" t="s">
        <v>506</v>
      </c>
      <c r="W11" t="s">
        <v>507</v>
      </c>
    </row>
    <row r="12" spans="1:23" ht="13.8" x14ac:dyDescent="0.25">
      <c r="A12" s="830"/>
      <c r="B12" s="830" t="s">
        <v>508</v>
      </c>
      <c r="C12" s="830" t="s">
        <v>509</v>
      </c>
      <c r="D12" s="831">
        <v>5380.9799999999896</v>
      </c>
      <c r="E12" t="s">
        <v>485</v>
      </c>
      <c r="F12" s="830"/>
      <c r="G12" s="920" t="s">
        <v>510</v>
      </c>
      <c r="H12" s="842" t="s">
        <v>511</v>
      </c>
      <c r="I12" s="843">
        <f t="shared" ref="I12:I19" si="0">SUMIF($E$4:$E$78,K12,$D$4:$D$78)</f>
        <v>241883819.11199999</v>
      </c>
      <c r="J12" s="857">
        <f t="shared" ref="J12:J19" si="1">I12/$D$80</f>
        <v>0.29904083500212914</v>
      </c>
      <c r="K12" t="s">
        <v>501</v>
      </c>
      <c r="P12" t="str" cm="1">
        <f t="array" ref="P12:P16">_xlfn._xlws.FILTER(C:C, E:E=K12, "No match")</f>
        <v>Gististaðir</v>
      </c>
      <c r="Q12" t="str" cm="1">
        <f t="array" ref="Q12:Q24">_xlfn._xlws.FILTER(C:C, E:E=K13, "No match")</f>
        <v>Sjúkrahús, elli- og vistheimili</v>
      </c>
      <c r="R12" t="str" cm="1">
        <f t="array" ref="R12:R23">_xlfn._xlws.FILTER(C:C, E:E=K14, "No match")</f>
        <v>Búrekstur</v>
      </c>
      <c r="S12" t="str" cm="1">
        <f t="array" ref="S12:S38">_xlfn._xlws.FILTER(C:C, E:E=K15, "No match")</f>
        <v>Sláturhús - kjötiðnaður</v>
      </c>
      <c r="T12" t="str" cm="1">
        <f t="array" ref="T12:T15">_xlfn._xlws.FILTER(C:C, E:E=K16, "No match")</f>
        <v>Raforkuvinnsla</v>
      </c>
      <c r="U12" t="str" cm="1">
        <f t="array" ref="U12:U14">_xlfn._xlws.FILTER(C:C, E:E=K17, "No match")</f>
        <v>Samgöngur, aðrar en rafkn farart</v>
      </c>
      <c r="V12" t="str" cm="1">
        <f t="array" ref="V12:V19">_xlfn._xlws.FILTER(C:C, E:E=K18, "No match")</f>
        <v>Viðsk., handiðnir og óopinb þjón</v>
      </c>
      <c r="W12" t="str" cm="1">
        <f t="array" ref="W12">_xlfn._xlws.FILTER(C:C, E:E=K19, "No match")</f>
        <v>No match</v>
      </c>
    </row>
    <row r="13" spans="1:23" ht="13.8" x14ac:dyDescent="0.25">
      <c r="A13" s="830"/>
      <c r="B13" s="830" t="s">
        <v>512</v>
      </c>
      <c r="C13" s="830" t="s">
        <v>513</v>
      </c>
      <c r="D13" s="831">
        <v>2103897.77999999</v>
      </c>
      <c r="E13" t="s">
        <v>503</v>
      </c>
      <c r="F13" s="830"/>
      <c r="G13" s="920" t="s">
        <v>514</v>
      </c>
      <c r="H13" s="842" t="s">
        <v>515</v>
      </c>
      <c r="I13" s="843">
        <f t="shared" si="0"/>
        <v>250267679.21199957</v>
      </c>
      <c r="J13" s="857">
        <f t="shared" si="1"/>
        <v>0.30940579671824969</v>
      </c>
      <c r="K13" t="s">
        <v>502</v>
      </c>
      <c r="P13" t="str">
        <v>Almenn heimilisnotkun án rafhita</v>
      </c>
      <c r="Q13" t="str">
        <v>Skólar</v>
      </c>
      <c r="R13" t="str">
        <v>Fiskrækt</v>
      </c>
      <c r="S13" t="str">
        <v>Mjólkuriðnaður</v>
      </c>
      <c r="T13" t="str">
        <v>Rafveitur</v>
      </c>
      <c r="U13" t="str">
        <v>Rafknúin farartæki</v>
      </c>
      <c r="V13" t="str">
        <v>Póstur og sími</v>
      </c>
    </row>
    <row r="14" spans="1:23" ht="13.8" x14ac:dyDescent="0.25">
      <c r="A14" s="830"/>
      <c r="B14" s="830" t="s">
        <v>516</v>
      </c>
      <c r="C14" s="830" t="s">
        <v>517</v>
      </c>
      <c r="D14" s="831">
        <v>4413220.7</v>
      </c>
      <c r="E14" t="s">
        <v>503</v>
      </c>
      <c r="F14" s="830"/>
      <c r="G14" s="920" t="s">
        <v>518</v>
      </c>
      <c r="H14" s="842" t="s">
        <v>519</v>
      </c>
      <c r="I14" s="843">
        <f t="shared" si="0"/>
        <v>22733631.879999984</v>
      </c>
      <c r="J14" s="857">
        <f t="shared" si="1"/>
        <v>2.8105576821897269E-2</v>
      </c>
      <c r="K14" t="s">
        <v>485</v>
      </c>
      <c r="P14" t="str">
        <v>Almenn heimilisnotkun með rafhit</v>
      </c>
      <c r="Q14" t="str">
        <v>Sundlaugar og íþróttahús</v>
      </c>
      <c r="R14" t="str">
        <v>Garðyrkja, lýsing</v>
      </c>
      <c r="S14" t="str">
        <v>Fiskfrysting</v>
      </c>
      <c r="T14" t="str">
        <v>Hitaveitur</v>
      </c>
      <c r="U14" t="str">
        <v>Rafmagn til skipa</v>
      </c>
      <c r="V14" t="str">
        <v>Tryggingar og lífeyrissjóðir</v>
      </c>
    </row>
    <row r="15" spans="1:23" ht="13.8" x14ac:dyDescent="0.25">
      <c r="A15" s="830"/>
      <c r="B15" s="830" t="s">
        <v>520</v>
      </c>
      <c r="C15" s="830" t="s">
        <v>521</v>
      </c>
      <c r="D15" s="831">
        <v>7343334.9199999897</v>
      </c>
      <c r="E15" t="s">
        <v>503</v>
      </c>
      <c r="F15" s="830"/>
      <c r="G15" s="920" t="s">
        <v>522</v>
      </c>
      <c r="H15" s="842" t="s">
        <v>523</v>
      </c>
      <c r="I15" s="843">
        <f t="shared" si="0"/>
        <v>82225905.999999925</v>
      </c>
      <c r="J15" s="857">
        <f t="shared" si="1"/>
        <v>0.10165584320322438</v>
      </c>
      <c r="K15" t="s">
        <v>503</v>
      </c>
      <c r="P15" t="str">
        <v>Sérmæld rafhitun íbúðarhúsnæðis</v>
      </c>
      <c r="Q15" t="str">
        <v>Félagsheimili</v>
      </c>
      <c r="R15" t="str">
        <v>Svínabú</v>
      </c>
      <c r="S15" t="str">
        <v>Brauð og kökugerð</v>
      </c>
      <c r="T15" t="str">
        <v>Vatnsveitur</v>
      </c>
      <c r="V15" t="str">
        <v>Þjónusta við atvinnurekstur</v>
      </c>
    </row>
    <row r="16" spans="1:23" ht="13.8" x14ac:dyDescent="0.25">
      <c r="A16" s="830"/>
      <c r="B16" s="830" t="s">
        <v>524</v>
      </c>
      <c r="C16" s="830" t="s">
        <v>525</v>
      </c>
      <c r="D16" s="831">
        <v>13566969.92</v>
      </c>
      <c r="E16" t="s">
        <v>503</v>
      </c>
      <c r="F16" s="830"/>
      <c r="G16" s="920" t="s">
        <v>6</v>
      </c>
      <c r="H16" s="842" t="s">
        <v>211</v>
      </c>
      <c r="I16" s="843">
        <f t="shared" si="0"/>
        <v>32887338.869999982</v>
      </c>
      <c r="J16" s="857">
        <f t="shared" si="1"/>
        <v>4.0658599292782829E-2</v>
      </c>
      <c r="K16" t="s">
        <v>504</v>
      </c>
      <c r="P16" t="str">
        <v>Sumarbústaðir</v>
      </c>
      <c r="Q16" t="str">
        <v>Kirkjur</v>
      </c>
      <c r="R16" t="str">
        <v>Garðyrkja og ylrækt annað en lýs</v>
      </c>
      <c r="S16" t="str">
        <v>Sælgætisgerð</v>
      </c>
      <c r="V16" t="str">
        <v>Gagnaver</v>
      </c>
    </row>
    <row r="17" spans="1:22" ht="13.8" x14ac:dyDescent="0.25">
      <c r="A17" s="830"/>
      <c r="B17" s="830" t="s">
        <v>526</v>
      </c>
      <c r="C17" s="830" t="s">
        <v>527</v>
      </c>
      <c r="D17" s="831">
        <v>3354573.58</v>
      </c>
      <c r="E17" t="s">
        <v>503</v>
      </c>
      <c r="F17" s="830"/>
      <c r="G17" s="920" t="s">
        <v>256</v>
      </c>
      <c r="H17" s="842" t="s">
        <v>216</v>
      </c>
      <c r="I17" s="843">
        <f t="shared" si="0"/>
        <v>44006229.383999899</v>
      </c>
      <c r="J17" s="857">
        <f t="shared" si="1"/>
        <v>5.4404877633394799E-2</v>
      </c>
      <c r="K17" t="s">
        <v>505</v>
      </c>
      <c r="L17" t="s">
        <v>528</v>
      </c>
      <c r="N17" s="95">
        <f>D68/D80</f>
        <v>1.8092994745647177E-2</v>
      </c>
      <c r="Q17" t="str">
        <v>Dagheimili og leikskólar</v>
      </c>
      <c r="R17" t="str">
        <v>Fóðurframleiðsla önnur en framle</v>
      </c>
      <c r="S17" t="str">
        <v>Drykkjarvöruiðnaður</v>
      </c>
      <c r="V17" t="str">
        <v>Önnur þjónusta og handiðnir</v>
      </c>
    </row>
    <row r="18" spans="1:22" ht="13.8" x14ac:dyDescent="0.25">
      <c r="A18" s="830"/>
      <c r="B18" s="830" t="s">
        <v>529</v>
      </c>
      <c r="C18" s="830" t="s">
        <v>530</v>
      </c>
      <c r="D18" s="831">
        <v>17380820.850000001</v>
      </c>
      <c r="E18" t="s">
        <v>503</v>
      </c>
      <c r="F18" s="830"/>
      <c r="G18" s="920" t="s">
        <v>531</v>
      </c>
      <c r="H18" t="s">
        <v>532</v>
      </c>
      <c r="I18" s="23">
        <f t="shared" si="0"/>
        <v>134860910.88299996</v>
      </c>
      <c r="J18" s="857">
        <f t="shared" si="1"/>
        <v>0.16672847132832166</v>
      </c>
      <c r="K18" t="s">
        <v>506</v>
      </c>
      <c r="L18" t="s">
        <v>533</v>
      </c>
      <c r="N18" s="96">
        <f>D67/D80</f>
        <v>0.11974946894869846</v>
      </c>
      <c r="Q18" t="str">
        <v>Almenn stjórnsýsla</v>
      </c>
      <c r="R18" t="str">
        <v>Skógræktarstöðvar</v>
      </c>
      <c r="S18" t="str">
        <v>Annar matvælaiðnaður</v>
      </c>
      <c r="V18" t="str">
        <v>Götu- og hafnarlýsing</v>
      </c>
    </row>
    <row r="19" spans="1:22" ht="13.8" x14ac:dyDescent="0.25">
      <c r="A19" s="830"/>
      <c r="B19" s="830" t="s">
        <v>534</v>
      </c>
      <c r="C19" s="830" t="s">
        <v>535</v>
      </c>
      <c r="D19" s="831">
        <v>2131045.37</v>
      </c>
      <c r="E19" t="s">
        <v>503</v>
      </c>
      <c r="F19" s="830"/>
      <c r="G19" s="830"/>
      <c r="H19" t="s">
        <v>536</v>
      </c>
      <c r="I19" s="23">
        <f t="shared" si="0"/>
        <v>0</v>
      </c>
      <c r="J19" s="95">
        <f t="shared" si="1"/>
        <v>0</v>
      </c>
      <c r="K19" t="s">
        <v>507</v>
      </c>
      <c r="Q19" t="str">
        <v>Heildverslun</v>
      </c>
      <c r="R19" t="str">
        <v>Fiskveiðar</v>
      </c>
      <c r="S19" t="str">
        <v>Fataiðnaður</v>
      </c>
      <c r="V19" t="str">
        <v>Götu- og hafnarlýsing ómæld</v>
      </c>
    </row>
    <row r="20" spans="1:22" ht="13.8" x14ac:dyDescent="0.25">
      <c r="A20" s="830"/>
      <c r="B20" s="830" t="s">
        <v>537</v>
      </c>
      <c r="C20" s="830" t="s">
        <v>538</v>
      </c>
      <c r="D20" s="831">
        <v>178187.39</v>
      </c>
      <c r="E20" t="s">
        <v>503</v>
      </c>
      <c r="F20" s="830"/>
      <c r="G20" s="830"/>
      <c r="Q20" t="str">
        <v>Smásöluverslun</v>
      </c>
      <c r="R20" t="str">
        <v>Sportveiði</v>
      </c>
      <c r="S20" t="str">
        <v>Leður og skóiðnaður</v>
      </c>
    </row>
    <row r="21" spans="1:22" ht="13.8" x14ac:dyDescent="0.25">
      <c r="A21" s="830"/>
      <c r="B21" s="830" t="s">
        <v>539</v>
      </c>
      <c r="C21" s="830" t="s">
        <v>540</v>
      </c>
      <c r="D21" s="831">
        <v>21584.32</v>
      </c>
      <c r="E21" t="s">
        <v>503</v>
      </c>
      <c r="F21" s="830"/>
      <c r="G21" s="830"/>
      <c r="Q21" t="str">
        <v>Veitingastaðir</v>
      </c>
      <c r="R21" t="str">
        <v>Malbikun</v>
      </c>
      <c r="S21" t="str">
        <v>Veiðarfæragerð</v>
      </c>
    </row>
    <row r="22" spans="1:22" ht="13.8" x14ac:dyDescent="0.25">
      <c r="A22" s="830"/>
      <c r="B22" s="830" t="s">
        <v>541</v>
      </c>
      <c r="C22" s="830" t="s">
        <v>542</v>
      </c>
      <c r="D22" s="831">
        <v>430681</v>
      </c>
      <c r="E22" t="s">
        <v>503</v>
      </c>
      <c r="F22" s="830"/>
      <c r="G22" s="830"/>
      <c r="H22" s="842"/>
      <c r="I22" s="23">
        <f>SUM(I12:I20)</f>
        <v>808865515.34099936</v>
      </c>
      <c r="Q22" t="str">
        <v>Peningastofnanir</v>
      </c>
      <c r="R22" t="str">
        <v>Skipasmíðar</v>
      </c>
      <c r="S22" t="str">
        <v>Timbur og korkiðnaður</v>
      </c>
    </row>
    <row r="23" spans="1:22" ht="13.8" x14ac:dyDescent="0.25">
      <c r="A23" s="830"/>
      <c r="B23" s="830" t="s">
        <v>543</v>
      </c>
      <c r="C23" s="830" t="s">
        <v>544</v>
      </c>
      <c r="D23" s="831">
        <v>722206.25</v>
      </c>
      <c r="E23" t="s">
        <v>503</v>
      </c>
      <c r="F23" s="830"/>
      <c r="G23" s="830"/>
      <c r="H23" s="842"/>
      <c r="I23" s="23">
        <f>I22-D80</f>
        <v>0</v>
      </c>
      <c r="Q23" t="str">
        <v>Heilbrigðisþjón á vegum einkaaði</v>
      </c>
      <c r="R23" t="str">
        <v>Byggingastarfs. og opinb. framkv</v>
      </c>
      <c r="S23" t="str">
        <v>Pappa og pappírsvörugerð</v>
      </c>
    </row>
    <row r="24" spans="1:22" ht="13.8" x14ac:dyDescent="0.25">
      <c r="A24" s="830"/>
      <c r="B24" s="830" t="s">
        <v>545</v>
      </c>
      <c r="C24" s="830" t="s">
        <v>546</v>
      </c>
      <c r="D24" s="831">
        <v>314280.34999999899</v>
      </c>
      <c r="E24" t="s">
        <v>503</v>
      </c>
      <c r="F24" s="830"/>
      <c r="G24" s="830"/>
      <c r="H24" s="842"/>
      <c r="I24" s="23"/>
      <c r="Q24" t="str">
        <v>Menningarmál</v>
      </c>
      <c r="S24" t="str">
        <v>Prentun, útgáfa og skyld starfse</v>
      </c>
    </row>
    <row r="25" spans="1:22" ht="13.8" x14ac:dyDescent="0.25">
      <c r="A25" s="830"/>
      <c r="B25" s="830" t="s">
        <v>547</v>
      </c>
      <c r="C25" s="830" t="s">
        <v>548</v>
      </c>
      <c r="D25" s="831">
        <v>4197356.1699999897</v>
      </c>
      <c r="E25" t="s">
        <v>503</v>
      </c>
      <c r="F25" s="830"/>
      <c r="G25" s="830"/>
      <c r="H25" s="842"/>
      <c r="I25" s="23"/>
      <c r="S25" t="str">
        <v>Gúmvöruiðnaður</v>
      </c>
    </row>
    <row r="26" spans="1:22" ht="13.8" x14ac:dyDescent="0.25">
      <c r="A26" s="830"/>
      <c r="B26" s="830" t="s">
        <v>549</v>
      </c>
      <c r="C26" s="830" t="s">
        <v>550</v>
      </c>
      <c r="D26" s="831">
        <v>222238.51</v>
      </c>
      <c r="E26" t="s">
        <v>503</v>
      </c>
      <c r="F26" s="830"/>
      <c r="G26" s="830"/>
      <c r="H26" s="842"/>
      <c r="I26" s="23"/>
      <c r="S26" t="str">
        <v>Framleiðsla á vörum úr olíu</v>
      </c>
    </row>
    <row r="27" spans="1:22" ht="13.8" x14ac:dyDescent="0.25">
      <c r="A27" s="830"/>
      <c r="B27" s="830" t="s">
        <v>551</v>
      </c>
      <c r="C27" s="830" t="s">
        <v>552</v>
      </c>
      <c r="D27" s="831">
        <v>202818.41</v>
      </c>
      <c r="E27" t="s">
        <v>503</v>
      </c>
      <c r="F27" s="830"/>
      <c r="G27" s="830"/>
      <c r="H27" s="842"/>
      <c r="I27" s="23"/>
      <c r="S27" t="str">
        <v>Lifrarbr., lýsishreinsun</v>
      </c>
    </row>
    <row r="28" spans="1:22" ht="13.8" x14ac:dyDescent="0.25">
      <c r="A28" s="830"/>
      <c r="B28" s="830" t="s">
        <v>553</v>
      </c>
      <c r="C28" s="830" t="s">
        <v>554</v>
      </c>
      <c r="D28" s="831">
        <v>14643.129999999899</v>
      </c>
      <c r="E28" t="s">
        <v>485</v>
      </c>
      <c r="F28" s="830"/>
      <c r="G28" s="830"/>
      <c r="H28" s="842"/>
      <c r="I28" s="23">
        <f>I22*7.6/1000000</f>
        <v>6147.3779165915948</v>
      </c>
      <c r="S28" t="str">
        <v>Málningar-, lakk og límgerð</v>
      </c>
    </row>
    <row r="29" spans="1:22" ht="13.8" x14ac:dyDescent="0.25">
      <c r="A29" s="830"/>
      <c r="B29" s="830" t="s">
        <v>555</v>
      </c>
      <c r="C29" s="830" t="s">
        <v>556</v>
      </c>
      <c r="D29" s="831">
        <v>14404170.92</v>
      </c>
      <c r="E29" t="s">
        <v>503</v>
      </c>
      <c r="F29" s="830"/>
      <c r="G29" s="830"/>
      <c r="H29" s="842"/>
      <c r="I29" s="23"/>
      <c r="S29" t="str">
        <v>Sápu- og þvottaefnisgerð</v>
      </c>
    </row>
    <row r="30" spans="1:22" ht="13.8" x14ac:dyDescent="0.25">
      <c r="A30" s="830"/>
      <c r="B30" s="830" t="s">
        <v>557</v>
      </c>
      <c r="C30" s="830" t="s">
        <v>558</v>
      </c>
      <c r="D30" s="831">
        <v>238763.22</v>
      </c>
      <c r="E30" t="s">
        <v>503</v>
      </c>
      <c r="F30" s="830"/>
      <c r="G30" s="830"/>
      <c r="H30" s="842"/>
      <c r="I30" s="23"/>
      <c r="S30" t="str">
        <v>Gleriðnaður</v>
      </c>
    </row>
    <row r="31" spans="1:22" ht="13.8" x14ac:dyDescent="0.25">
      <c r="A31" s="830"/>
      <c r="B31" s="830" t="s">
        <v>559</v>
      </c>
      <c r="C31" s="830" t="s">
        <v>560</v>
      </c>
      <c r="D31" s="831">
        <v>5746217.75</v>
      </c>
      <c r="E31" t="s">
        <v>503</v>
      </c>
      <c r="F31" s="830"/>
      <c r="G31" s="830"/>
      <c r="H31" s="842"/>
      <c r="I31" s="23">
        <f>D4+D5+D6+D7+D8+D9+D10+D11-D9</f>
        <v>8484130.8600000031</v>
      </c>
      <c r="S31" t="str">
        <v>Leirsmíði og postulínsiðnaður</v>
      </c>
    </row>
    <row r="32" spans="1:22" ht="13.8" x14ac:dyDescent="0.25">
      <c r="A32" s="830"/>
      <c r="B32" s="830" t="s">
        <v>561</v>
      </c>
      <c r="C32" s="830" t="s">
        <v>562</v>
      </c>
      <c r="D32" s="831">
        <v>10518.68</v>
      </c>
      <c r="E32" t="s">
        <v>503</v>
      </c>
      <c r="F32" s="830"/>
      <c r="G32" s="830"/>
      <c r="H32" s="842"/>
      <c r="I32" s="23"/>
      <c r="S32" t="str">
        <v>Sementsgerð</v>
      </c>
    </row>
    <row r="33" spans="1:19" ht="13.8" x14ac:dyDescent="0.25">
      <c r="A33" s="830"/>
      <c r="B33" s="830" t="s">
        <v>563</v>
      </c>
      <c r="C33" s="830" t="s">
        <v>564</v>
      </c>
      <c r="D33" s="831">
        <v>158845.519999999</v>
      </c>
      <c r="E33" t="s">
        <v>503</v>
      </c>
      <c r="F33" s="830"/>
      <c r="G33" s="830"/>
      <c r="H33" s="842"/>
      <c r="I33" s="23"/>
      <c r="S33" t="str">
        <v>Steinsteypugerð</v>
      </c>
    </row>
    <row r="34" spans="1:19" ht="13.8" x14ac:dyDescent="0.25">
      <c r="A34" s="830"/>
      <c r="B34" s="830" t="s">
        <v>565</v>
      </c>
      <c r="C34" s="830" t="s">
        <v>566</v>
      </c>
      <c r="D34" s="831">
        <v>439169.52</v>
      </c>
      <c r="E34" t="s">
        <v>503</v>
      </c>
      <c r="F34" s="830"/>
      <c r="G34" s="830"/>
      <c r="H34" s="842"/>
      <c r="I34" s="23"/>
      <c r="S34" t="str">
        <v>Annar undirstöðuiðnaður úr járni</v>
      </c>
    </row>
    <row r="35" spans="1:19" ht="13.8" x14ac:dyDescent="0.25">
      <c r="A35" s="830"/>
      <c r="B35" s="830" t="s">
        <v>567</v>
      </c>
      <c r="C35" s="830" t="s">
        <v>568</v>
      </c>
      <c r="D35" s="831">
        <v>1555366.4199999899</v>
      </c>
      <c r="E35" t="s">
        <v>503</v>
      </c>
      <c r="F35" s="830"/>
      <c r="G35" s="830"/>
      <c r="H35" s="842"/>
      <c r="I35" s="23"/>
      <c r="S35" t="str">
        <v>Járnsmiðjur</v>
      </c>
    </row>
    <row r="36" spans="1:19" ht="13.8" x14ac:dyDescent="0.25">
      <c r="A36" s="830"/>
      <c r="B36" s="830" t="s">
        <v>569</v>
      </c>
      <c r="C36" s="830" t="s">
        <v>570</v>
      </c>
      <c r="D36" s="831">
        <v>6249.55</v>
      </c>
      <c r="E36" t="s">
        <v>503</v>
      </c>
      <c r="F36" s="830"/>
      <c r="G36" s="830"/>
      <c r="H36" s="842"/>
      <c r="I36" s="23"/>
      <c r="S36" t="str">
        <v>Framleiðsla raftækja</v>
      </c>
    </row>
    <row r="37" spans="1:19" ht="13.8" x14ac:dyDescent="0.25">
      <c r="A37" s="830"/>
      <c r="B37" s="830" t="s">
        <v>571</v>
      </c>
      <c r="C37" s="830" t="s">
        <v>572</v>
      </c>
      <c r="D37" s="831">
        <v>2798606.22</v>
      </c>
      <c r="E37" t="s">
        <v>503</v>
      </c>
      <c r="F37" s="830"/>
      <c r="G37" s="830"/>
      <c r="H37" s="842"/>
      <c r="I37" s="23"/>
      <c r="S37" t="str">
        <v>Framl samgöngutækja á landi</v>
      </c>
    </row>
    <row r="38" spans="1:19" ht="13.8" x14ac:dyDescent="0.25">
      <c r="A38" s="830"/>
      <c r="B38" s="830" t="s">
        <v>573</v>
      </c>
      <c r="C38" s="830" t="s">
        <v>574</v>
      </c>
      <c r="D38" s="831">
        <v>90115.07</v>
      </c>
      <c r="E38" t="s">
        <v>503</v>
      </c>
      <c r="F38" s="830"/>
      <c r="G38" s="830"/>
      <c r="H38" s="842"/>
      <c r="I38" s="23"/>
      <c r="S38" t="str">
        <v>Handiðnaður</v>
      </c>
    </row>
    <row r="39" spans="1:19" ht="13.8" x14ac:dyDescent="0.25">
      <c r="A39" s="830"/>
      <c r="B39" s="830" t="s">
        <v>575</v>
      </c>
      <c r="C39" s="830" t="s">
        <v>576</v>
      </c>
      <c r="D39" s="831">
        <v>82660.72</v>
      </c>
      <c r="E39" t="s">
        <v>485</v>
      </c>
      <c r="F39" s="830"/>
      <c r="G39" s="830"/>
      <c r="H39" s="842"/>
      <c r="I39" s="23">
        <v>241883819.11199999</v>
      </c>
    </row>
    <row r="40" spans="1:19" ht="13.8" x14ac:dyDescent="0.25">
      <c r="A40" s="830"/>
      <c r="B40" s="830" t="s">
        <v>577</v>
      </c>
      <c r="C40" s="830" t="s">
        <v>578</v>
      </c>
      <c r="D40" s="831">
        <v>6983.43</v>
      </c>
      <c r="E40" t="s">
        <v>503</v>
      </c>
      <c r="F40" s="830"/>
      <c r="G40" s="830"/>
      <c r="H40" s="831"/>
      <c r="I40">
        <v>250267679.21199957</v>
      </c>
    </row>
    <row r="41" spans="1:19" ht="13.8" x14ac:dyDescent="0.25">
      <c r="A41" s="830"/>
      <c r="B41" s="830" t="s">
        <v>579</v>
      </c>
      <c r="C41" s="830" t="s">
        <v>580</v>
      </c>
      <c r="D41" s="831">
        <v>187684.179999999</v>
      </c>
      <c r="E41" t="s">
        <v>503</v>
      </c>
      <c r="F41" s="830"/>
      <c r="G41" s="830"/>
      <c r="H41" s="831"/>
      <c r="I41">
        <v>22733631.879999984</v>
      </c>
    </row>
    <row r="42" spans="1:19" ht="13.8" x14ac:dyDescent="0.25">
      <c r="A42" s="830"/>
      <c r="B42" s="830" t="s">
        <v>581</v>
      </c>
      <c r="C42" s="830" t="s">
        <v>582</v>
      </c>
      <c r="D42" s="831">
        <v>8330561.6299999896</v>
      </c>
      <c r="E42" t="s">
        <v>485</v>
      </c>
      <c r="F42" s="830"/>
      <c r="G42" s="830"/>
      <c r="H42" s="831"/>
      <c r="I42">
        <v>82225905.999999925</v>
      </c>
    </row>
    <row r="43" spans="1:19" ht="13.8" x14ac:dyDescent="0.25">
      <c r="A43" s="830"/>
      <c r="B43" s="830" t="s">
        <v>583</v>
      </c>
      <c r="C43" s="830" t="s">
        <v>584</v>
      </c>
      <c r="D43" s="831">
        <v>142537</v>
      </c>
      <c r="E43" t="s">
        <v>504</v>
      </c>
      <c r="F43" s="830"/>
      <c r="G43" s="830"/>
      <c r="H43" s="831"/>
      <c r="I43">
        <v>32887338.869999982</v>
      </c>
    </row>
    <row r="44" spans="1:19" ht="13.8" x14ac:dyDescent="0.25">
      <c r="A44" s="830"/>
      <c r="B44" s="830" t="s">
        <v>585</v>
      </c>
      <c r="C44" s="830" t="s">
        <v>586</v>
      </c>
      <c r="D44" s="831">
        <v>2168200.4199999901</v>
      </c>
      <c r="E44" t="s">
        <v>504</v>
      </c>
      <c r="F44" s="830"/>
      <c r="G44" s="830"/>
      <c r="H44" s="831"/>
      <c r="I44">
        <v>44006229.383999899</v>
      </c>
    </row>
    <row r="45" spans="1:19" ht="13.8" x14ac:dyDescent="0.25">
      <c r="A45" s="830"/>
      <c r="B45" s="830" t="s">
        <v>587</v>
      </c>
      <c r="C45" s="830" t="s">
        <v>588</v>
      </c>
      <c r="D45" s="831">
        <v>24853526.850000001</v>
      </c>
      <c r="E45" t="s">
        <v>504</v>
      </c>
      <c r="F45" s="830"/>
      <c r="G45" s="830"/>
      <c r="H45" s="831"/>
      <c r="I45">
        <v>134860910.88299996</v>
      </c>
    </row>
    <row r="46" spans="1:19" ht="13.8" x14ac:dyDescent="0.25">
      <c r="A46" s="830"/>
      <c r="B46" s="830" t="s">
        <v>589</v>
      </c>
      <c r="C46" s="830" t="s">
        <v>590</v>
      </c>
      <c r="D46" s="831">
        <v>5723074.5999999903</v>
      </c>
      <c r="E46" t="s">
        <v>504</v>
      </c>
      <c r="F46" s="830"/>
      <c r="G46" s="830"/>
      <c r="H46" s="831"/>
      <c r="I46">
        <v>0</v>
      </c>
    </row>
    <row r="47" spans="1:19" ht="13.8" x14ac:dyDescent="0.25">
      <c r="A47" s="830"/>
      <c r="B47" s="830" t="s">
        <v>591</v>
      </c>
      <c r="C47" s="830" t="s">
        <v>592</v>
      </c>
      <c r="D47" s="831">
        <v>29159138.859999899</v>
      </c>
      <c r="E47" t="s">
        <v>502</v>
      </c>
      <c r="F47" s="830"/>
      <c r="G47" s="830"/>
      <c r="H47" s="831"/>
    </row>
    <row r="48" spans="1:19" ht="13.8" x14ac:dyDescent="0.25">
      <c r="A48" s="830"/>
      <c r="B48" s="830" t="s">
        <v>593</v>
      </c>
      <c r="C48" s="830" t="s">
        <v>594</v>
      </c>
      <c r="D48" s="831">
        <v>27213198.739999902</v>
      </c>
      <c r="E48" t="s">
        <v>502</v>
      </c>
      <c r="F48" s="830"/>
      <c r="G48" s="830"/>
      <c r="H48" s="831"/>
    </row>
    <row r="49" spans="1:8" ht="13.8" x14ac:dyDescent="0.25">
      <c r="A49" s="830"/>
      <c r="B49" s="830" t="s">
        <v>595</v>
      </c>
      <c r="C49" s="830" t="s">
        <v>596</v>
      </c>
      <c r="D49" s="831">
        <v>12549564.507999901</v>
      </c>
      <c r="E49" t="s">
        <v>502</v>
      </c>
      <c r="F49" s="830"/>
      <c r="G49" s="830"/>
      <c r="H49" s="831"/>
    </row>
    <row r="50" spans="1:8" ht="13.8" x14ac:dyDescent="0.25">
      <c r="A50" s="830"/>
      <c r="B50" s="830" t="s">
        <v>597</v>
      </c>
      <c r="C50" s="830" t="s">
        <v>598</v>
      </c>
      <c r="D50" s="831">
        <v>2178084.6499999901</v>
      </c>
      <c r="E50" t="s">
        <v>502</v>
      </c>
      <c r="F50" s="830"/>
      <c r="G50" s="830"/>
      <c r="H50" s="831"/>
    </row>
    <row r="51" spans="1:8" ht="13.8" x14ac:dyDescent="0.25">
      <c r="A51" s="830"/>
      <c r="B51" s="830" t="s">
        <v>599</v>
      </c>
      <c r="C51" s="830" t="s">
        <v>600</v>
      </c>
      <c r="D51" s="831">
        <v>1470208.55</v>
      </c>
      <c r="E51" t="s">
        <v>502</v>
      </c>
      <c r="F51" s="830"/>
      <c r="G51" s="830"/>
      <c r="H51" s="831"/>
    </row>
    <row r="52" spans="1:8" ht="13.8" x14ac:dyDescent="0.25">
      <c r="A52" s="830"/>
      <c r="B52" s="830" t="s">
        <v>601</v>
      </c>
      <c r="C52" s="830" t="s">
        <v>602</v>
      </c>
      <c r="D52" s="831">
        <v>2357856.1899999902</v>
      </c>
      <c r="E52" t="s">
        <v>502</v>
      </c>
      <c r="F52" s="830"/>
      <c r="G52" s="830"/>
      <c r="H52" s="831"/>
    </row>
    <row r="53" spans="1:8" ht="13.8" x14ac:dyDescent="0.25">
      <c r="A53" s="830"/>
      <c r="B53" s="830" t="s">
        <v>603</v>
      </c>
      <c r="C53" s="830" t="s">
        <v>604</v>
      </c>
      <c r="D53" s="831">
        <v>34677790.060000002</v>
      </c>
      <c r="E53" t="s">
        <v>502</v>
      </c>
      <c r="F53" s="830"/>
      <c r="G53" s="830"/>
      <c r="H53" s="831"/>
    </row>
    <row r="54" spans="1:8" ht="13.8" x14ac:dyDescent="0.25">
      <c r="A54" s="830"/>
      <c r="B54" s="830" t="s">
        <v>605</v>
      </c>
      <c r="C54" s="830" t="s">
        <v>606</v>
      </c>
      <c r="D54" s="831">
        <v>713609.07999999903</v>
      </c>
      <c r="E54" t="s">
        <v>506</v>
      </c>
      <c r="F54" s="830"/>
      <c r="G54" s="830"/>
      <c r="H54" s="831"/>
    </row>
    <row r="55" spans="1:8" ht="13.8" x14ac:dyDescent="0.25">
      <c r="A55" s="830"/>
      <c r="B55" s="830" t="s">
        <v>607</v>
      </c>
      <c r="C55" s="830" t="s">
        <v>608</v>
      </c>
      <c r="D55" s="831">
        <v>16726840.8699999</v>
      </c>
      <c r="E55" t="s">
        <v>502</v>
      </c>
      <c r="F55" s="830"/>
      <c r="G55" s="830"/>
      <c r="H55" s="831"/>
    </row>
    <row r="56" spans="1:8" ht="13.8" x14ac:dyDescent="0.25">
      <c r="A56" s="830"/>
      <c r="B56" s="830" t="s">
        <v>609</v>
      </c>
      <c r="C56" s="830" t="s">
        <v>610</v>
      </c>
      <c r="D56" s="831">
        <v>66519648.302000001</v>
      </c>
      <c r="E56" t="s">
        <v>502</v>
      </c>
      <c r="F56" s="830"/>
      <c r="G56" s="830"/>
      <c r="H56" s="831"/>
    </row>
    <row r="57" spans="1:8" ht="13.8" x14ac:dyDescent="0.25">
      <c r="A57" s="830"/>
      <c r="B57" s="830" t="s">
        <v>611</v>
      </c>
      <c r="C57" s="830" t="s">
        <v>612</v>
      </c>
      <c r="D57" s="831">
        <v>18513502.052000001</v>
      </c>
      <c r="E57" t="s">
        <v>502</v>
      </c>
      <c r="F57" s="830"/>
      <c r="G57" s="830"/>
      <c r="H57" s="831"/>
    </row>
    <row r="58" spans="1:8" ht="13.8" x14ac:dyDescent="0.25">
      <c r="A58" s="830"/>
      <c r="B58" s="830" t="s">
        <v>613</v>
      </c>
      <c r="C58" s="830" t="s">
        <v>614</v>
      </c>
      <c r="D58" s="831">
        <v>21993653.940000001</v>
      </c>
      <c r="E58" t="s">
        <v>501</v>
      </c>
      <c r="F58" s="830"/>
      <c r="G58" s="830"/>
      <c r="H58" s="831"/>
    </row>
    <row r="59" spans="1:8" ht="13.8" x14ac:dyDescent="0.25">
      <c r="A59" s="830"/>
      <c r="B59" s="830" t="s">
        <v>615</v>
      </c>
      <c r="C59" s="830" t="s">
        <v>616</v>
      </c>
      <c r="D59" s="831">
        <v>26646947.645</v>
      </c>
      <c r="E59" t="s">
        <v>505</v>
      </c>
      <c r="F59" s="830"/>
      <c r="G59" s="830"/>
      <c r="H59" s="831"/>
    </row>
    <row r="60" spans="1:8" ht="13.8" x14ac:dyDescent="0.25">
      <c r="A60" s="830"/>
      <c r="B60" s="830" t="s">
        <v>617</v>
      </c>
      <c r="C60" s="830" t="s">
        <v>618</v>
      </c>
      <c r="D60" s="831">
        <v>9679890.4199999906</v>
      </c>
      <c r="E60" t="s">
        <v>506</v>
      </c>
      <c r="F60" s="830"/>
      <c r="G60" s="830"/>
      <c r="H60" s="831"/>
    </row>
    <row r="61" spans="1:8" ht="13.8" x14ac:dyDescent="0.25">
      <c r="A61" s="830"/>
      <c r="B61" s="830" t="s">
        <v>619</v>
      </c>
      <c r="C61" s="830" t="s">
        <v>620</v>
      </c>
      <c r="D61" s="831">
        <v>9950208.3200000003</v>
      </c>
      <c r="E61" t="s">
        <v>502</v>
      </c>
      <c r="F61" s="830"/>
      <c r="G61" s="830"/>
      <c r="H61" s="831"/>
    </row>
    <row r="62" spans="1:8" ht="13.8" x14ac:dyDescent="0.25">
      <c r="A62" s="830"/>
      <c r="B62" s="830" t="s">
        <v>621</v>
      </c>
      <c r="C62" s="830" t="s">
        <v>622</v>
      </c>
      <c r="D62" s="831">
        <v>2171010.9199999901</v>
      </c>
      <c r="E62" t="s">
        <v>506</v>
      </c>
      <c r="F62" s="830"/>
      <c r="G62" s="830"/>
      <c r="H62" s="831"/>
    </row>
    <row r="63" spans="1:8" ht="13.8" x14ac:dyDescent="0.25">
      <c r="A63" s="830"/>
      <c r="B63" s="830" t="s">
        <v>623</v>
      </c>
      <c r="C63" s="830" t="s">
        <v>624</v>
      </c>
      <c r="D63" s="831">
        <v>11064831.630000001</v>
      </c>
      <c r="E63" t="s">
        <v>506</v>
      </c>
      <c r="F63" s="830"/>
      <c r="G63" s="830"/>
      <c r="H63" s="831"/>
    </row>
    <row r="64" spans="1:8" ht="13.8" x14ac:dyDescent="0.25">
      <c r="A64" s="830"/>
      <c r="B64" s="830" t="s">
        <v>625</v>
      </c>
      <c r="C64" s="830" t="s">
        <v>626</v>
      </c>
      <c r="D64" s="829">
        <v>100.16</v>
      </c>
      <c r="E64" t="s">
        <v>506</v>
      </c>
      <c r="F64" s="830"/>
      <c r="G64" s="830"/>
      <c r="H64" s="829"/>
    </row>
    <row r="65" spans="1:8" ht="13.8" x14ac:dyDescent="0.25">
      <c r="A65" s="830"/>
      <c r="B65" s="830" t="s">
        <v>627</v>
      </c>
      <c r="C65" s="830" t="s">
        <v>628</v>
      </c>
      <c r="D65" s="831">
        <v>7961006.7599999905</v>
      </c>
      <c r="E65" t="s">
        <v>502</v>
      </c>
      <c r="F65" s="830"/>
      <c r="G65" s="830"/>
      <c r="H65" s="831"/>
    </row>
    <row r="66" spans="1:8" ht="13.8" x14ac:dyDescent="0.25">
      <c r="A66" s="830"/>
      <c r="B66" s="830" t="s">
        <v>629</v>
      </c>
      <c r="C66" s="830" t="s">
        <v>630</v>
      </c>
      <c r="D66" s="831">
        <v>20990631.350000001</v>
      </c>
      <c r="E66" t="s">
        <v>502</v>
      </c>
      <c r="F66" s="830"/>
      <c r="G66" s="830"/>
      <c r="H66" s="831"/>
    </row>
    <row r="67" spans="1:8" ht="13.8" x14ac:dyDescent="0.25">
      <c r="A67" s="830"/>
      <c r="B67" s="830" t="s">
        <v>631</v>
      </c>
      <c r="C67" s="830" t="s">
        <v>632</v>
      </c>
      <c r="D67" s="831">
        <v>96861215.913000003</v>
      </c>
      <c r="E67" t="s">
        <v>506</v>
      </c>
      <c r="F67" s="831">
        <v>26646947.645</v>
      </c>
      <c r="G67" s="830"/>
      <c r="H67" s="831"/>
    </row>
    <row r="68" spans="1:8" ht="13.8" x14ac:dyDescent="0.25">
      <c r="A68" s="830"/>
      <c r="B68" s="830" t="s">
        <v>633</v>
      </c>
      <c r="C68" s="830" t="s">
        <v>634</v>
      </c>
      <c r="D68" s="831">
        <v>14634799.518999901</v>
      </c>
      <c r="E68" t="s">
        <v>505</v>
      </c>
      <c r="F68" s="830">
        <v>14634799.518999901</v>
      </c>
      <c r="G68" s="830"/>
      <c r="H68" s="831"/>
    </row>
    <row r="69" spans="1:8" ht="13.8" x14ac:dyDescent="0.25">
      <c r="A69" s="830"/>
      <c r="B69" s="830" t="s">
        <v>635</v>
      </c>
      <c r="C69" s="830" t="s">
        <v>636</v>
      </c>
      <c r="D69" s="831">
        <v>6738363.7599999905</v>
      </c>
      <c r="E69" t="s">
        <v>506</v>
      </c>
      <c r="F69" s="856">
        <f>F67+F68</f>
        <v>41281747.1639999</v>
      </c>
      <c r="G69" s="830"/>
      <c r="H69" s="831"/>
    </row>
    <row r="70" spans="1:8" ht="13.8" x14ac:dyDescent="0.25">
      <c r="A70" s="830"/>
      <c r="B70" s="830" t="s">
        <v>637</v>
      </c>
      <c r="C70" s="830" t="s">
        <v>638</v>
      </c>
      <c r="D70" s="831">
        <v>2724482.22</v>
      </c>
      <c r="E70" t="s">
        <v>505</v>
      </c>
      <c r="F70" s="830">
        <v>41281747.1639999</v>
      </c>
      <c r="G70" s="830"/>
      <c r="H70" s="831"/>
    </row>
    <row r="71" spans="1:8" ht="13.8" x14ac:dyDescent="0.25">
      <c r="A71" s="830"/>
      <c r="B71" s="830" t="s">
        <v>639</v>
      </c>
      <c r="C71" s="830" t="s">
        <v>640</v>
      </c>
      <c r="D71" s="831">
        <v>218726279.77500001</v>
      </c>
      <c r="E71" t="s">
        <v>501</v>
      </c>
      <c r="F71" s="856">
        <f>F70+D70</f>
        <v>44006229.383999899</v>
      </c>
      <c r="G71" s="830"/>
      <c r="H71" s="831"/>
    </row>
    <row r="72" spans="1:8" ht="13.8" x14ac:dyDescent="0.25">
      <c r="A72" s="830"/>
      <c r="B72" s="830" t="s">
        <v>641</v>
      </c>
      <c r="C72" s="830" t="s">
        <v>642</v>
      </c>
      <c r="D72" s="831">
        <v>11299.683999999899</v>
      </c>
      <c r="E72" t="s">
        <v>501</v>
      </c>
      <c r="F72" s="830"/>
      <c r="G72" s="830"/>
      <c r="H72" s="831"/>
    </row>
    <row r="73" spans="1:8" ht="13.8" x14ac:dyDescent="0.25">
      <c r="A73" s="830"/>
      <c r="B73" s="830" t="s">
        <v>643</v>
      </c>
      <c r="C73" s="830" t="s">
        <v>644</v>
      </c>
      <c r="D73" s="831">
        <v>376357.21999999898</v>
      </c>
      <c r="E73" t="s">
        <v>501</v>
      </c>
      <c r="F73" s="830"/>
      <c r="G73" s="830"/>
      <c r="H73" s="831"/>
    </row>
    <row r="74" spans="1:8" ht="13.8" x14ac:dyDescent="0.25">
      <c r="A74" s="830"/>
      <c r="B74" s="830" t="s">
        <v>645</v>
      </c>
      <c r="C74" s="830" t="s">
        <v>646</v>
      </c>
      <c r="D74" s="831">
        <v>776228.49300000002</v>
      </c>
      <c r="E74" t="s">
        <v>501</v>
      </c>
      <c r="F74" s="830"/>
      <c r="G74" s="830"/>
      <c r="H74" s="831"/>
    </row>
    <row r="75" spans="1:8" ht="13.8" x14ac:dyDescent="0.25">
      <c r="A75" s="838" t="s">
        <v>647</v>
      </c>
      <c r="B75" s="839"/>
      <c r="C75" s="840"/>
      <c r="D75" s="841">
        <v>801233626.34099948</v>
      </c>
      <c r="E75" s="829"/>
      <c r="F75" s="829"/>
      <c r="G75" s="829"/>
      <c r="H75" s="829"/>
    </row>
    <row r="76" spans="1:8" ht="13.8" x14ac:dyDescent="0.25">
      <c r="A76" s="830"/>
      <c r="B76" s="830"/>
      <c r="C76" s="830"/>
      <c r="D76" s="831"/>
      <c r="E76" s="829"/>
      <c r="F76" s="829"/>
      <c r="G76" s="829"/>
      <c r="H76" s="829"/>
    </row>
    <row r="78" spans="1:8" ht="13.8" x14ac:dyDescent="0.25">
      <c r="A78" s="829"/>
      <c r="B78" s="830" t="s">
        <v>635</v>
      </c>
      <c r="C78" s="830" t="s">
        <v>648</v>
      </c>
      <c r="D78" s="831">
        <v>7631889</v>
      </c>
      <c r="E78" t="s">
        <v>506</v>
      </c>
      <c r="F78" s="829" t="s">
        <v>649</v>
      </c>
      <c r="G78" s="829"/>
      <c r="H78" s="829"/>
    </row>
    <row r="79" spans="1:8" ht="13.8" x14ac:dyDescent="0.25">
      <c r="A79" s="829"/>
      <c r="B79" s="829"/>
      <c r="C79" s="829"/>
      <c r="D79" s="831"/>
      <c r="E79" s="829"/>
      <c r="F79" s="829"/>
      <c r="G79" s="829"/>
      <c r="H79" s="829"/>
    </row>
    <row r="80" spans="1:8" ht="13.8" x14ac:dyDescent="0.25">
      <c r="A80" s="829"/>
      <c r="B80" s="829"/>
      <c r="C80" s="840" t="s">
        <v>650</v>
      </c>
      <c r="D80" s="841">
        <v>808865515.34099948</v>
      </c>
      <c r="E80" s="829"/>
      <c r="F80" s="829"/>
      <c r="G80" s="829"/>
      <c r="H80" s="829"/>
    </row>
    <row r="84" spans="2:8" ht="13.8" x14ac:dyDescent="0.25">
      <c r="B84" s="830"/>
      <c r="C84" s="830"/>
      <c r="D84" s="831"/>
    </row>
    <row r="85" spans="2:8" ht="13.8" x14ac:dyDescent="0.25">
      <c r="B85" s="830"/>
      <c r="C85" s="920"/>
      <c r="D85" s="831"/>
    </row>
    <row r="86" spans="2:8" ht="13.8" x14ac:dyDescent="0.25">
      <c r="B86" s="829"/>
      <c r="C86" s="829"/>
      <c r="D86" s="831"/>
    </row>
    <row r="87" spans="2:8" x14ac:dyDescent="0.25">
      <c r="D87" s="23"/>
      <c r="E87" s="41"/>
    </row>
    <row r="88" spans="2:8" x14ac:dyDescent="0.25">
      <c r="D88" s="23"/>
      <c r="E88" s="41"/>
      <c r="G88" s="16"/>
      <c r="H88" s="41"/>
    </row>
    <row r="89" spans="2:8" x14ac:dyDescent="0.25">
      <c r="D89" s="23"/>
      <c r="E89" s="41"/>
      <c r="G89" s="16"/>
    </row>
    <row r="90" spans="2:8" x14ac:dyDescent="0.25">
      <c r="D90" s="23"/>
      <c r="E90" s="41"/>
      <c r="G90" s="16"/>
    </row>
    <row r="91" spans="2:8" x14ac:dyDescent="0.25">
      <c r="C91" s="16"/>
      <c r="D91" s="23"/>
      <c r="E91" s="41"/>
    </row>
    <row r="92" spans="2:8" x14ac:dyDescent="0.25">
      <c r="D92" s="23"/>
      <c r="E92" s="41"/>
    </row>
    <row r="93" spans="2:8" x14ac:dyDescent="0.25">
      <c r="D93" s="23"/>
      <c r="E93" s="41"/>
    </row>
    <row r="94" spans="2:8" x14ac:dyDescent="0.25">
      <c r="D94" s="23"/>
      <c r="E94" s="41"/>
    </row>
    <row r="95" spans="2:8" x14ac:dyDescent="0.25">
      <c r="D95" s="23"/>
      <c r="E95" s="41"/>
    </row>
    <row r="96" spans="2:8" x14ac:dyDescent="0.25">
      <c r="D96" s="23"/>
      <c r="E96" s="41"/>
    </row>
    <row r="97" spans="4:5" x14ac:dyDescent="0.25">
      <c r="D97" s="23"/>
      <c r="E97" s="41"/>
    </row>
    <row r="98" spans="4:5" x14ac:dyDescent="0.25">
      <c r="D98" s="23"/>
      <c r="E98" s="41"/>
    </row>
    <row r="99" spans="4:5" x14ac:dyDescent="0.25">
      <c r="D99" s="23"/>
      <c r="E99" s="41"/>
    </row>
    <row r="100" spans="4:5" x14ac:dyDescent="0.25">
      <c r="D100" s="23"/>
      <c r="E100" s="41"/>
    </row>
    <row r="101" spans="4:5" x14ac:dyDescent="0.25">
      <c r="D101" s="23"/>
      <c r="E101" s="41"/>
    </row>
    <row r="102" spans="4:5" x14ac:dyDescent="0.25">
      <c r="D102" s="23"/>
      <c r="E102" s="41"/>
    </row>
    <row r="103" spans="4:5" x14ac:dyDescent="0.25">
      <c r="D103" s="23"/>
      <c r="E103" s="41"/>
    </row>
    <row r="104" spans="4:5" x14ac:dyDescent="0.25">
      <c r="D104" s="23"/>
      <c r="E104" s="41"/>
    </row>
    <row r="105" spans="4:5" x14ac:dyDescent="0.25">
      <c r="D105" s="23"/>
      <c r="E105" s="41"/>
    </row>
    <row r="106" spans="4:5" x14ac:dyDescent="0.25">
      <c r="D106" s="23"/>
      <c r="E106" s="41"/>
    </row>
    <row r="107" spans="4:5" x14ac:dyDescent="0.25">
      <c r="D107" s="23"/>
      <c r="E107" s="41"/>
    </row>
  </sheetData>
  <mergeCells count="1">
    <mergeCell ref="A1:C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DB392-BDE6-42AC-91FD-553DA0D6A4E0}">
  <sheetPr>
    <tabColor theme="4" tint="0.79998168889431442"/>
  </sheetPr>
  <dimension ref="A1:OT315"/>
  <sheetViews>
    <sheetView showGridLines="0" topLeftCell="BP16" zoomScaleNormal="100" workbookViewId="0">
      <selection activeCell="CD44" sqref="CD44"/>
    </sheetView>
  </sheetViews>
  <sheetFormatPr defaultColWidth="9.109375" defaultRowHeight="13.2" outlineLevelCol="1" x14ac:dyDescent="0.25"/>
  <cols>
    <col min="7" max="7" width="11" bestFit="1" customWidth="1"/>
    <col min="11" max="13" width="9.109375" bestFit="1" customWidth="1"/>
    <col min="14" max="17" width="9.109375" customWidth="1"/>
    <col min="18" max="20" width="10.33203125" bestFit="1" customWidth="1"/>
    <col min="21" max="21" width="11.6640625" customWidth="1"/>
    <col min="22" max="22" width="10.109375" bestFit="1" customWidth="1"/>
    <col min="23" max="23" width="12.5546875" customWidth="1"/>
    <col min="24" max="24" width="13" customWidth="1"/>
    <col min="25" max="25" width="10.109375" bestFit="1" customWidth="1"/>
    <col min="26" max="26" width="12.5546875" bestFit="1" customWidth="1"/>
    <col min="27" max="27" width="9.109375" bestFit="1" customWidth="1"/>
    <col min="28" max="28" width="11.109375" bestFit="1" customWidth="1"/>
    <col min="29" max="41" width="9.109375" customWidth="1"/>
    <col min="42" max="42" width="14" customWidth="1"/>
    <col min="44" max="44" width="10.44140625" customWidth="1"/>
    <col min="45" max="45" width="11.6640625" bestFit="1" customWidth="1"/>
    <col min="46" max="46" width="13.6640625" bestFit="1" customWidth="1"/>
    <col min="47" max="47" width="9.88671875" customWidth="1"/>
    <col min="48" max="48" width="9.109375" bestFit="1" customWidth="1"/>
    <col min="49" max="49" width="13.88671875" customWidth="1"/>
    <col min="50" max="55" width="9.109375" customWidth="1"/>
    <col min="56" max="56" width="14.33203125" customWidth="1"/>
    <col min="57" max="72" width="9.109375" customWidth="1"/>
    <col min="73" max="73" width="11.33203125" customWidth="1"/>
    <col min="74" max="77" width="9.109375" customWidth="1"/>
    <col min="78" max="78" width="10.33203125" customWidth="1"/>
    <col min="79" max="81" width="9.109375" customWidth="1"/>
    <col min="82" max="82" width="10.109375" customWidth="1"/>
    <col min="83" max="83" width="9.88671875" customWidth="1"/>
    <col min="84" max="84" width="9.109375" bestFit="1" customWidth="1"/>
    <col min="85" max="91" width="9.109375" customWidth="1"/>
    <col min="92" max="92" width="14" customWidth="1"/>
    <col min="94" max="94" width="10.44140625" customWidth="1"/>
    <col min="95" max="95" width="11.6640625" bestFit="1" customWidth="1"/>
    <col min="96" max="96" width="13.6640625" bestFit="1" customWidth="1"/>
    <col min="97" max="97" width="9.88671875" customWidth="1"/>
    <col min="98" max="98" width="9.109375" bestFit="1" customWidth="1"/>
    <col min="99" max="99" width="13.88671875" customWidth="1"/>
    <col min="100" max="105" width="9.109375" customWidth="1"/>
    <col min="106" max="106" width="14.33203125" customWidth="1"/>
    <col min="107" max="122" width="9.109375" customWidth="1"/>
    <col min="123" max="123" width="11.33203125" customWidth="1"/>
    <col min="124" max="127" width="9.109375" customWidth="1"/>
    <col min="128" max="128" width="10.33203125" customWidth="1"/>
    <col min="129" max="131" width="9.109375" customWidth="1"/>
    <col min="132" max="132" width="10.109375" customWidth="1"/>
    <col min="133" max="133" width="9.88671875" customWidth="1"/>
    <col min="134" max="134" width="9.109375" bestFit="1" customWidth="1"/>
    <col min="135" max="137" width="9.6640625" customWidth="1"/>
    <col min="138" max="138" width="9.6640625" customWidth="1" outlineLevel="1"/>
    <col min="139" max="140" width="9.109375" customWidth="1" outlineLevel="1"/>
    <col min="141" max="142" width="12" customWidth="1" outlineLevel="1"/>
    <col min="143" max="143" width="9.109375" customWidth="1" outlineLevel="1"/>
    <col min="144" max="144" width="10.33203125" customWidth="1" outlineLevel="1"/>
    <col min="145" max="145" width="9.109375" customWidth="1" outlineLevel="1"/>
    <col min="146" max="146" width="11.6640625" customWidth="1" outlineLevel="1"/>
    <col min="147" max="148" width="9.109375" customWidth="1" outlineLevel="1"/>
    <col min="149" max="149" width="15.88671875" customWidth="1" outlineLevel="1"/>
    <col min="150" max="153" width="9.109375" customWidth="1" outlineLevel="1"/>
    <col min="154" max="154" width="15.44140625" customWidth="1" outlineLevel="1"/>
    <col min="155" max="170" width="9.109375" customWidth="1" outlineLevel="1"/>
    <col min="171" max="171" width="11.44140625" customWidth="1" outlineLevel="1"/>
    <col min="172" max="173" width="9.109375" customWidth="1" outlineLevel="1"/>
    <col min="174" max="174" width="11.44140625" style="237" customWidth="1" outlineLevel="1"/>
    <col min="175" max="175" width="9.109375" customWidth="1" outlineLevel="1"/>
    <col min="176" max="176" width="13" customWidth="1" outlineLevel="1"/>
    <col min="177" max="177" width="9.109375" style="237" customWidth="1"/>
    <col min="178" max="178" width="9.109375" customWidth="1"/>
    <col min="179" max="181" width="9.109375" style="237" customWidth="1"/>
    <col min="182" max="182" width="9.88671875" style="237" customWidth="1"/>
    <col min="183" max="185" width="9.109375" style="237" customWidth="1"/>
    <col min="186" max="186" width="12" customWidth="1" outlineLevel="1"/>
    <col min="187" max="192" width="9.109375" customWidth="1" outlineLevel="1"/>
    <col min="193" max="193" width="15.88671875" customWidth="1" outlineLevel="1"/>
    <col min="194" max="214" width="9.109375" customWidth="1" outlineLevel="1"/>
    <col min="215" max="215" width="10.109375" customWidth="1" outlineLevel="1"/>
    <col min="216" max="217" width="9.109375" customWidth="1" outlineLevel="1"/>
    <col min="218" max="218" width="10.88671875" style="237" customWidth="1" outlineLevel="1"/>
    <col min="219" max="220" width="9.109375" customWidth="1" outlineLevel="1"/>
    <col min="221" max="221" width="9.109375" style="237" customWidth="1" outlineLevel="1"/>
    <col min="222" max="222" width="9.109375" customWidth="1" outlineLevel="1"/>
    <col min="223" max="223" width="9.109375" style="237" customWidth="1" outlineLevel="1"/>
    <col min="224" max="224" width="9.109375" customWidth="1" outlineLevel="1" collapsed="1"/>
    <col min="225" max="225" width="14.44140625" customWidth="1"/>
    <col min="226" max="226" width="9.109375" customWidth="1"/>
    <col min="227" max="227" width="10.109375" customWidth="1"/>
    <col min="229" max="229" width="9.88671875" customWidth="1"/>
    <col min="231" max="231" width="21" customWidth="1" outlineLevel="1"/>
    <col min="232" max="235" width="9.109375" customWidth="1" outlineLevel="1"/>
    <col min="236" max="236" width="11.6640625" customWidth="1" outlineLevel="1"/>
    <col min="237" max="237" width="15.88671875" customWidth="1" outlineLevel="1"/>
    <col min="238" max="261" width="9.109375" customWidth="1" outlineLevel="1"/>
    <col min="262" max="262" width="10.88671875" style="237" customWidth="1" outlineLevel="1"/>
    <col min="263" max="264" width="9.109375" customWidth="1" outlineLevel="1"/>
    <col min="265" max="265" width="9.109375" style="237" customWidth="1" outlineLevel="1"/>
    <col min="266" max="266" width="9.109375" customWidth="1" outlineLevel="1"/>
    <col min="267" max="267" width="9.109375" style="237" customWidth="1" outlineLevel="1"/>
    <col min="269" max="269" width="14.44140625" customWidth="1"/>
    <col min="274" max="274" width="13" customWidth="1" outlineLevel="1"/>
    <col min="275" max="275" width="13.33203125" customWidth="1" outlineLevel="1"/>
    <col min="276" max="276" width="12" customWidth="1" outlineLevel="1"/>
    <col min="277" max="277" width="11.6640625" customWidth="1" outlineLevel="1"/>
    <col min="278" max="278" width="12.109375" customWidth="1" outlineLevel="1"/>
    <col min="279" max="279" width="14.33203125" customWidth="1" outlineLevel="1"/>
    <col min="280" max="280" width="9.109375" customWidth="1" outlineLevel="1"/>
    <col min="281" max="281" width="11.109375" customWidth="1" outlineLevel="1"/>
    <col min="282" max="309" width="9.109375" customWidth="1" outlineLevel="1"/>
    <col min="316" max="317" width="9.109375" customWidth="1"/>
    <col min="318" max="353" width="9.109375" hidden="1" customWidth="1" outlineLevel="1"/>
    <col min="354" max="354" width="9.109375" collapsed="1"/>
  </cols>
  <sheetData>
    <row r="1" spans="1:410" ht="13.8" x14ac:dyDescent="0.25">
      <c r="A1" s="193"/>
      <c r="B1" s="193"/>
      <c r="C1" s="193"/>
      <c r="D1" s="193"/>
      <c r="E1" s="193"/>
      <c r="F1" s="193"/>
      <c r="G1" s="193"/>
      <c r="H1" s="193"/>
      <c r="I1" s="193"/>
      <c r="J1" s="193"/>
      <c r="K1" s="193"/>
      <c r="L1" s="193"/>
      <c r="M1" s="193"/>
      <c r="N1" s="193"/>
      <c r="O1" s="193"/>
      <c r="P1" s="193"/>
      <c r="Q1" s="193"/>
    </row>
    <row r="2" spans="1:410" ht="13.8" x14ac:dyDescent="0.25">
      <c r="A2" s="193"/>
      <c r="B2" s="193"/>
      <c r="C2" s="193"/>
      <c r="D2" s="193"/>
      <c r="E2" s="193"/>
      <c r="F2" s="193"/>
      <c r="G2" s="193"/>
      <c r="H2" s="193"/>
      <c r="I2" s="193"/>
      <c r="J2" s="193"/>
      <c r="K2" s="193"/>
      <c r="L2" s="193"/>
      <c r="M2" s="193"/>
      <c r="N2" s="193"/>
      <c r="O2" s="193"/>
      <c r="P2" s="193"/>
      <c r="Q2" s="193"/>
    </row>
    <row r="3" spans="1:410" ht="13.8" x14ac:dyDescent="0.25">
      <c r="A3" s="193"/>
      <c r="B3" s="193"/>
      <c r="C3" s="193"/>
      <c r="D3" s="193"/>
      <c r="E3" s="193"/>
      <c r="F3" s="193"/>
      <c r="G3" s="193"/>
      <c r="H3" s="193"/>
      <c r="I3" s="193"/>
      <c r="J3" s="193"/>
      <c r="K3" s="193"/>
      <c r="L3" s="193"/>
      <c r="M3" s="193"/>
      <c r="N3" s="193"/>
      <c r="O3" s="193"/>
      <c r="P3" s="193"/>
      <c r="Q3" s="193"/>
    </row>
    <row r="4" spans="1:410" ht="17.399999999999999" thickBot="1" x14ac:dyDescent="0.35">
      <c r="A4" s="1009" t="s">
        <v>651</v>
      </c>
      <c r="B4" s="1009"/>
      <c r="C4" s="1009"/>
      <c r="D4" s="1009"/>
      <c r="E4" s="1009"/>
      <c r="F4" s="1009"/>
      <c r="G4" s="1009"/>
      <c r="H4" s="1009"/>
      <c r="I4" s="1009"/>
      <c r="J4" s="1009"/>
      <c r="K4" s="1009"/>
      <c r="L4" s="1009"/>
      <c r="M4" s="1009"/>
      <c r="N4" s="126"/>
      <c r="O4" s="126"/>
      <c r="P4" s="126"/>
      <c r="Q4" s="126"/>
    </row>
    <row r="5" spans="1:410" ht="24.6" x14ac:dyDescent="0.4">
      <c r="A5" s="1010"/>
      <c r="B5" s="1011"/>
      <c r="C5" s="1016" t="s">
        <v>652</v>
      </c>
      <c r="D5" s="1017"/>
      <c r="E5" s="1017"/>
      <c r="F5" s="1017"/>
      <c r="G5" s="1017"/>
      <c r="H5" s="1017"/>
      <c r="I5" s="1017"/>
      <c r="J5" s="1017"/>
      <c r="K5" s="1017"/>
      <c r="L5" s="1017"/>
      <c r="M5" s="1018"/>
      <c r="N5" s="1034" t="s">
        <v>653</v>
      </c>
      <c r="O5" s="1035"/>
      <c r="P5" s="1035"/>
      <c r="Q5" s="1035"/>
      <c r="FR5"/>
      <c r="FU5"/>
      <c r="FW5"/>
      <c r="FX5"/>
      <c r="FY5"/>
      <c r="FZ5"/>
      <c r="GA5"/>
      <c r="GB5"/>
      <c r="GF5" s="237"/>
      <c r="GH5" s="237"/>
      <c r="GI5" s="237"/>
      <c r="GJ5" s="237"/>
      <c r="GK5" s="237"/>
      <c r="GL5" s="237"/>
      <c r="GM5" s="237"/>
      <c r="GN5" s="237"/>
      <c r="HJ5"/>
      <c r="HM5"/>
      <c r="HO5"/>
      <c r="HU5" s="237"/>
      <c r="HX5" s="237"/>
      <c r="HZ5" s="237"/>
      <c r="JB5"/>
      <c r="JE5"/>
      <c r="JG5"/>
      <c r="JM5" s="237"/>
      <c r="JP5" s="237"/>
      <c r="JR5" s="237"/>
    </row>
    <row r="6" spans="1:410" ht="124.5" customHeight="1" thickBot="1" x14ac:dyDescent="0.45">
      <c r="A6" s="1012"/>
      <c r="B6" s="1013"/>
      <c r="C6" s="921" t="s">
        <v>654</v>
      </c>
      <c r="D6" s="817" t="s">
        <v>655</v>
      </c>
      <c r="E6" s="619" t="s">
        <v>656</v>
      </c>
      <c r="F6" s="128" t="s">
        <v>657</v>
      </c>
      <c r="G6" s="1019" t="s">
        <v>658</v>
      </c>
      <c r="H6" s="1022" t="s">
        <v>659</v>
      </c>
      <c r="I6" s="1023"/>
      <c r="J6" s="1023"/>
      <c r="K6" s="1023"/>
      <c r="L6" s="1023"/>
      <c r="M6" s="1024"/>
      <c r="N6" s="888" t="s">
        <v>660</v>
      </c>
      <c r="O6" s="888"/>
      <c r="P6" s="888"/>
      <c r="Q6" s="137"/>
      <c r="FR6"/>
      <c r="FU6"/>
      <c r="FW6"/>
      <c r="FX6"/>
      <c r="FY6"/>
      <c r="FZ6"/>
      <c r="GA6"/>
      <c r="GB6"/>
      <c r="GC6"/>
      <c r="HJ6"/>
      <c r="HK6" s="237"/>
      <c r="HM6"/>
      <c r="HN6" s="237"/>
      <c r="HO6"/>
      <c r="HP6" s="237"/>
      <c r="HQ6" s="237"/>
      <c r="HR6" s="237"/>
      <c r="HS6" s="237"/>
      <c r="HT6" s="237"/>
      <c r="HU6" s="237"/>
      <c r="HV6" s="237"/>
      <c r="JB6"/>
      <c r="JC6" s="237"/>
      <c r="JE6"/>
      <c r="JF6" s="237"/>
      <c r="JG6"/>
      <c r="JH6" s="237"/>
      <c r="KT6" s="237"/>
      <c r="KW6" s="237"/>
      <c r="KY6" s="237"/>
    </row>
    <row r="7" spans="1:410" ht="36" x14ac:dyDescent="0.4">
      <c r="A7" s="1014"/>
      <c r="B7" s="1015"/>
      <c r="C7" s="129"/>
      <c r="D7" s="130"/>
      <c r="E7" s="131"/>
      <c r="F7" s="133" t="s">
        <v>661</v>
      </c>
      <c r="G7" s="1020"/>
      <c r="H7" s="135"/>
      <c r="I7" s="136"/>
      <c r="J7" s="136"/>
      <c r="K7" s="136"/>
      <c r="L7" s="136"/>
      <c r="M7" s="278"/>
      <c r="N7" s="137"/>
      <c r="O7" s="137"/>
      <c r="P7" s="137"/>
      <c r="Q7" s="137"/>
      <c r="AK7" s="16" t="s">
        <v>662</v>
      </c>
      <c r="AM7" s="16" t="s">
        <v>663</v>
      </c>
      <c r="AP7" s="734">
        <v>2024</v>
      </c>
      <c r="AQ7" s="749" t="s">
        <v>664</v>
      </c>
      <c r="AR7" s="749" t="s">
        <v>665</v>
      </c>
      <c r="AS7" s="749" t="s">
        <v>666</v>
      </c>
      <c r="AT7" s="749" t="s">
        <v>667</v>
      </c>
      <c r="AU7" s="750" t="s">
        <v>668</v>
      </c>
      <c r="BE7">
        <f>BF7*0.9</f>
        <v>0.47957015590161628</v>
      </c>
      <c r="BF7" s="101">
        <f>(BF11+BF15+BF16)/($EZ$11+$EZ$12+$EZ$15+$EZ$16)</f>
        <v>0.53285572877957366</v>
      </c>
      <c r="BU7" s="237"/>
      <c r="BW7" s="237"/>
      <c r="BX7" s="237"/>
      <c r="BZ7" s="237"/>
      <c r="CA7" s="237"/>
      <c r="CB7" s="237"/>
      <c r="CC7" s="436">
        <v>2025</v>
      </c>
      <c r="CI7" s="16" t="s">
        <v>669</v>
      </c>
      <c r="CK7" t="s">
        <v>670</v>
      </c>
      <c r="CN7" s="734">
        <v>2024</v>
      </c>
      <c r="CO7" s="749" t="s">
        <v>664</v>
      </c>
      <c r="CP7" s="749" t="s">
        <v>665</v>
      </c>
      <c r="CQ7" s="749" t="s">
        <v>666</v>
      </c>
      <c r="CR7" s="749" t="s">
        <v>667</v>
      </c>
      <c r="CS7" s="750" t="s">
        <v>668</v>
      </c>
      <c r="DC7">
        <f>DD7*0.9</f>
        <v>0.47957015590161628</v>
      </c>
      <c r="DD7" s="101">
        <f>(DD11+DD15+DD16)/($EZ$11+$EZ$12+$EZ$15+$EZ$16)</f>
        <v>0.53285572877957366</v>
      </c>
      <c r="DS7" s="237"/>
      <c r="DU7" s="237"/>
      <c r="DV7" s="237"/>
      <c r="DX7" s="237"/>
      <c r="DY7" s="237"/>
      <c r="DZ7" s="237"/>
      <c r="EA7" s="436">
        <v>2024</v>
      </c>
      <c r="EJ7" s="568">
        <v>2023</v>
      </c>
      <c r="EK7" s="569" t="s">
        <v>664</v>
      </c>
      <c r="EL7" s="569" t="s">
        <v>665</v>
      </c>
      <c r="EM7" s="569" t="s">
        <v>666</v>
      </c>
      <c r="EN7" s="569" t="s">
        <v>667</v>
      </c>
      <c r="EO7" s="570" t="s">
        <v>668</v>
      </c>
      <c r="FA7">
        <f>FB7*0.9</f>
        <v>0.53630325189136763</v>
      </c>
      <c r="FB7" s="101">
        <f>(EZ11+EZ15+EZ16)/($EZ$11+$EZ$12+$EZ$15+$EZ$16)</f>
        <v>0.59589250210151956</v>
      </c>
      <c r="FO7" s="237"/>
      <c r="FQ7" s="237"/>
      <c r="FT7" s="237"/>
      <c r="FV7" s="237"/>
      <c r="FW7" s="436">
        <v>2023</v>
      </c>
      <c r="FX7"/>
      <c r="FY7"/>
      <c r="FZ7"/>
      <c r="GA7"/>
      <c r="GB7"/>
      <c r="GC7"/>
      <c r="GD7" s="237"/>
      <c r="GF7" s="568">
        <v>2022</v>
      </c>
      <c r="GG7" s="569" t="s">
        <v>664</v>
      </c>
      <c r="GH7" s="569" t="s">
        <v>665</v>
      </c>
      <c r="GI7" s="569" t="s">
        <v>666</v>
      </c>
      <c r="GJ7" s="569" t="s">
        <v>667</v>
      </c>
      <c r="GK7" s="570" t="s">
        <v>668</v>
      </c>
      <c r="HJ7"/>
      <c r="HK7" s="237"/>
      <c r="HN7" s="237"/>
      <c r="HO7"/>
      <c r="HP7" s="237"/>
      <c r="HQ7" s="237"/>
      <c r="HR7" s="436">
        <v>2022</v>
      </c>
      <c r="HV7" s="237"/>
      <c r="HX7" s="508">
        <v>2021</v>
      </c>
      <c r="HY7" s="508" t="s">
        <v>664</v>
      </c>
      <c r="HZ7" s="508" t="s">
        <v>665</v>
      </c>
      <c r="IA7" s="508" t="s">
        <v>666</v>
      </c>
      <c r="IB7" s="508" t="s">
        <v>667</v>
      </c>
      <c r="IC7" s="508" t="s">
        <v>668</v>
      </c>
      <c r="JB7"/>
      <c r="JC7" s="237"/>
      <c r="JE7"/>
      <c r="JF7" s="237"/>
      <c r="JG7"/>
      <c r="JH7" s="237"/>
      <c r="JJ7" s="436">
        <v>2021</v>
      </c>
      <c r="JP7" s="414">
        <v>2020</v>
      </c>
      <c r="JQ7" s="415" t="s">
        <v>664</v>
      </c>
      <c r="JR7" s="415" t="s">
        <v>665</v>
      </c>
      <c r="JS7" s="415" t="s">
        <v>666</v>
      </c>
      <c r="JT7" s="415" t="s">
        <v>667</v>
      </c>
      <c r="JU7" s="416" t="s">
        <v>668</v>
      </c>
      <c r="KT7" s="237"/>
      <c r="KW7" s="237"/>
      <c r="KY7" s="237"/>
      <c r="LA7" s="436">
        <v>2020</v>
      </c>
      <c r="LF7" s="87">
        <v>2019</v>
      </c>
      <c r="LG7" s="88" t="s">
        <v>664</v>
      </c>
      <c r="LH7" s="88" t="s">
        <v>665</v>
      </c>
      <c r="LI7" s="88" t="s">
        <v>666</v>
      </c>
      <c r="LJ7" s="88" t="s">
        <v>667</v>
      </c>
      <c r="LK7" s="89" t="s">
        <v>668</v>
      </c>
      <c r="MQ7" s="436">
        <v>2019</v>
      </c>
      <c r="MV7" s="414">
        <v>2018</v>
      </c>
      <c r="MW7" s="415" t="s">
        <v>664</v>
      </c>
      <c r="MX7" s="415" t="s">
        <v>665</v>
      </c>
      <c r="MY7" s="415" t="s">
        <v>666</v>
      </c>
      <c r="MZ7" s="415" t="s">
        <v>667</v>
      </c>
      <c r="NA7" s="416" t="s">
        <v>668</v>
      </c>
      <c r="OG7" s="436">
        <v>2018</v>
      </c>
      <c r="OL7" s="436">
        <v>2017</v>
      </c>
      <c r="OQ7" s="436">
        <v>2016</v>
      </c>
    </row>
    <row r="8" spans="1:410" ht="15" thickBot="1" x14ac:dyDescent="0.3">
      <c r="A8" s="818" t="s">
        <v>671</v>
      </c>
      <c r="B8" s="819"/>
      <c r="C8" s="138">
        <v>1.01</v>
      </c>
      <c r="D8" s="139">
        <v>1.66</v>
      </c>
      <c r="E8" s="140">
        <v>0.6</v>
      </c>
      <c r="F8" s="141">
        <v>3.27</v>
      </c>
      <c r="G8" s="1021"/>
      <c r="H8" s="142"/>
      <c r="I8" s="1025" t="s">
        <v>672</v>
      </c>
      <c r="J8" s="1026"/>
      <c r="K8" s="1026"/>
      <c r="L8" s="1027" t="s">
        <v>673</v>
      </c>
      <c r="M8" s="1028"/>
      <c r="N8" s="143"/>
      <c r="O8" s="143"/>
      <c r="P8" s="143"/>
      <c r="Q8" s="143"/>
      <c r="AL8" s="700" t="s">
        <v>674</v>
      </c>
      <c r="AP8" s="978" t="s">
        <v>675</v>
      </c>
      <c r="AQ8" s="979"/>
      <c r="AR8" s="979"/>
      <c r="AS8" s="979"/>
      <c r="AT8" s="979"/>
      <c r="AU8" s="980"/>
      <c r="BE8">
        <f>BF8*0.9</f>
        <v>0.26415433308705322</v>
      </c>
      <c r="BF8" s="101">
        <f>(BF12)/($EZ$11+$EZ$12+$EZ$15+$EZ$16)</f>
        <v>0.29350481454117022</v>
      </c>
      <c r="BO8" s="16" t="s">
        <v>676</v>
      </c>
      <c r="BS8">
        <v>28</v>
      </c>
      <c r="BT8">
        <v>265</v>
      </c>
      <c r="BU8" s="237"/>
      <c r="BX8" s="237"/>
      <c r="BY8" t="s">
        <v>677</v>
      </c>
      <c r="BZ8" s="114"/>
      <c r="CA8" s="237"/>
      <c r="CB8" s="237"/>
      <c r="CJ8" s="700" t="s">
        <v>674</v>
      </c>
      <c r="CN8" s="978" t="s">
        <v>675</v>
      </c>
      <c r="CO8" s="979"/>
      <c r="CP8" s="979"/>
      <c r="CQ8" s="979"/>
      <c r="CR8" s="979"/>
      <c r="CS8" s="980"/>
      <c r="DC8">
        <f>DD8*0.9</f>
        <v>0.26415433308705322</v>
      </c>
      <c r="DD8" s="101">
        <f>(DD12)/($EZ$11+$EZ$12+$EZ$15+$EZ$16)</f>
        <v>0.29350481454117022</v>
      </c>
      <c r="DM8" s="16" t="s">
        <v>676</v>
      </c>
      <c r="DQ8">
        <v>28</v>
      </c>
      <c r="DR8">
        <v>265</v>
      </c>
      <c r="DS8" s="237"/>
      <c r="DV8" s="237"/>
      <c r="DW8" t="s">
        <v>677</v>
      </c>
      <c r="DX8" s="114"/>
      <c r="DY8" s="237"/>
      <c r="DZ8" s="237"/>
      <c r="EJ8" s="1029" t="s">
        <v>675</v>
      </c>
      <c r="EK8" s="1030"/>
      <c r="EL8" s="1030"/>
      <c r="EM8" s="1030"/>
      <c r="EN8" s="1030"/>
      <c r="EO8" s="1031"/>
      <c r="EX8" s="22">
        <f>FX8</f>
        <v>224.0257600000001</v>
      </c>
      <c r="EY8" t="s">
        <v>340</v>
      </c>
      <c r="FA8">
        <f>FB8*0.9</f>
        <v>0.36369674810863228</v>
      </c>
      <c r="FB8" s="101">
        <f>(EZ12)/($EZ$11+$EZ$12+$EZ$15+$EZ$16)</f>
        <v>0.40410749789848033</v>
      </c>
      <c r="FI8" s="16" t="s">
        <v>676</v>
      </c>
      <c r="FM8">
        <v>28</v>
      </c>
      <c r="FN8">
        <v>265</v>
      </c>
      <c r="FO8" s="237"/>
      <c r="FS8" t="s">
        <v>678</v>
      </c>
      <c r="FT8" s="114"/>
      <c r="FV8" s="237"/>
      <c r="FW8"/>
      <c r="FX8" s="22">
        <f>AG54-AF54</f>
        <v>224.0257600000001</v>
      </c>
      <c r="FY8" t="s">
        <v>340</v>
      </c>
      <c r="FZ8"/>
      <c r="GA8"/>
      <c r="GB8"/>
      <c r="GC8"/>
      <c r="GD8" s="237"/>
      <c r="GF8" s="1029" t="s">
        <v>675</v>
      </c>
      <c r="GG8" s="1030"/>
      <c r="GH8" s="1030"/>
      <c r="GI8" s="1030"/>
      <c r="GJ8" s="1030"/>
      <c r="GK8" s="1031"/>
      <c r="GQ8" s="101"/>
      <c r="GR8" s="101"/>
      <c r="GT8" s="22">
        <f>HS8</f>
        <v>213.37717074602074</v>
      </c>
      <c r="GU8" s="22" t="s">
        <v>340</v>
      </c>
      <c r="HE8" t="s">
        <v>676</v>
      </c>
      <c r="HI8">
        <v>28</v>
      </c>
      <c r="HJ8">
        <v>265</v>
      </c>
      <c r="HK8" s="237"/>
      <c r="HM8"/>
      <c r="HN8" s="237"/>
      <c r="HO8" t="s">
        <v>679</v>
      </c>
      <c r="HP8" s="237"/>
      <c r="HQ8" s="237"/>
      <c r="HS8" s="22">
        <f>AG53-AF53</f>
        <v>213.37717074602074</v>
      </c>
      <c r="HT8" t="s">
        <v>340</v>
      </c>
      <c r="HV8" s="237"/>
      <c r="HX8" s="1032" t="s">
        <v>675</v>
      </c>
      <c r="HY8" s="1032"/>
      <c r="HZ8" s="1032"/>
      <c r="IA8" s="1032"/>
      <c r="IB8" s="1032"/>
      <c r="IC8" s="1032"/>
      <c r="II8" s="101"/>
      <c r="IL8">
        <f>JK8</f>
        <v>211.72515655084669</v>
      </c>
      <c r="IM8" t="s">
        <v>340</v>
      </c>
      <c r="IW8" t="s">
        <v>676</v>
      </c>
      <c r="JA8">
        <v>28</v>
      </c>
      <c r="JB8">
        <v>265</v>
      </c>
      <c r="JC8" s="237"/>
      <c r="JE8"/>
      <c r="JF8" s="237"/>
      <c r="JG8" t="s">
        <v>679</v>
      </c>
      <c r="JH8" s="237"/>
      <c r="JJ8" t="s">
        <v>680</v>
      </c>
      <c r="JK8" s="22">
        <f>AG52-AF52</f>
        <v>211.72515655084669</v>
      </c>
      <c r="JL8" t="s">
        <v>340</v>
      </c>
      <c r="JP8" s="427" t="s">
        <v>675</v>
      </c>
      <c r="JQ8" s="428"/>
      <c r="JR8" s="428"/>
      <c r="JS8" s="428"/>
      <c r="JT8" s="428"/>
      <c r="JU8" s="429"/>
      <c r="KA8" s="101"/>
      <c r="KN8" t="s">
        <v>676</v>
      </c>
      <c r="KR8">
        <v>28</v>
      </c>
      <c r="KS8">
        <v>265</v>
      </c>
      <c r="KT8" s="237"/>
      <c r="KW8" s="237"/>
      <c r="KX8" t="s">
        <v>679</v>
      </c>
      <c r="KY8" s="237"/>
      <c r="LF8" s="1000" t="s">
        <v>675</v>
      </c>
      <c r="LG8" s="1001"/>
      <c r="LH8" s="1001"/>
      <c r="LI8" s="1001"/>
      <c r="LJ8" s="1001"/>
      <c r="LK8" s="1002"/>
      <c r="LQ8" s="101"/>
      <c r="MD8" t="s">
        <v>676</v>
      </c>
      <c r="MH8">
        <v>29.8</v>
      </c>
      <c r="MI8">
        <v>273</v>
      </c>
      <c r="MJ8" s="237"/>
      <c r="MM8" s="237"/>
      <c r="MN8" t="s">
        <v>679</v>
      </c>
      <c r="MO8" s="237"/>
      <c r="MV8" s="991" t="s">
        <v>675</v>
      </c>
      <c r="MW8" s="992"/>
      <c r="MX8" s="992"/>
      <c r="MY8" s="992"/>
      <c r="MZ8" s="992"/>
      <c r="NA8" s="993"/>
      <c r="NG8" s="101"/>
      <c r="NT8" t="s">
        <v>676</v>
      </c>
      <c r="NX8">
        <v>29.8</v>
      </c>
      <c r="NY8">
        <v>273</v>
      </c>
      <c r="NZ8" s="237"/>
      <c r="OC8" s="237"/>
      <c r="OD8" t="s">
        <v>679</v>
      </c>
      <c r="OE8" s="237"/>
    </row>
    <row r="9" spans="1:410" ht="39" customHeight="1" thickBot="1" x14ac:dyDescent="0.3">
      <c r="A9" s="1039" t="s">
        <v>681</v>
      </c>
      <c r="B9" s="1040"/>
      <c r="C9" s="820" t="s">
        <v>682</v>
      </c>
      <c r="D9" s="866" t="s">
        <v>683</v>
      </c>
      <c r="E9" s="620" t="s">
        <v>684</v>
      </c>
      <c r="F9" s="197"/>
      <c r="G9" s="144" t="s">
        <v>685</v>
      </c>
      <c r="H9" s="145"/>
      <c r="I9" s="1041" t="s">
        <v>686</v>
      </c>
      <c r="J9" s="1042"/>
      <c r="K9" s="1042"/>
      <c r="L9" s="1043" t="s">
        <v>687</v>
      </c>
      <c r="M9" s="1044"/>
      <c r="N9" s="445"/>
      <c r="O9" s="445"/>
      <c r="P9" s="445"/>
      <c r="Q9" s="445"/>
      <c r="AK9" s="696" t="s">
        <v>688</v>
      </c>
      <c r="AL9" s="698"/>
      <c r="AP9" s="746" t="s">
        <v>285</v>
      </c>
      <c r="AQ9" s="735">
        <v>38332</v>
      </c>
      <c r="AR9" s="736">
        <v>27966</v>
      </c>
      <c r="AS9" s="773">
        <f t="shared" ref="AS9:AS14" si="0">AR9/AQ9</f>
        <v>0.72957320254617553</v>
      </c>
      <c r="AT9" s="737">
        <v>29.3</v>
      </c>
      <c r="AU9" s="738">
        <v>10683</v>
      </c>
      <c r="AW9" s="95">
        <f t="shared" ref="AW9:AW14" si="1">AQ9/AQ31</f>
        <v>0.44568465357470904</v>
      </c>
      <c r="AX9" s="95">
        <f t="shared" ref="AX9:AX14" si="2">AR9/AR31</f>
        <v>0.52143270001678066</v>
      </c>
      <c r="AY9">
        <f>AQ9*AU9/1000000</f>
        <v>409.50075600000002</v>
      </c>
      <c r="BA9" s="95">
        <f>AY9/$CW$37</f>
        <v>0.31370846944195574</v>
      </c>
      <c r="BB9" s="95"/>
      <c r="BC9" s="95"/>
      <c r="BH9" t="s">
        <v>689</v>
      </c>
      <c r="BI9" t="s">
        <v>690</v>
      </c>
      <c r="BJ9" t="s">
        <v>691</v>
      </c>
      <c r="BK9" t="s">
        <v>692</v>
      </c>
      <c r="BL9" t="s">
        <v>693</v>
      </c>
      <c r="BM9" t="s">
        <v>694</v>
      </c>
      <c r="BN9" t="s">
        <v>695</v>
      </c>
      <c r="BO9" t="s">
        <v>696</v>
      </c>
      <c r="BP9" t="s">
        <v>697</v>
      </c>
      <c r="BQ9" t="s">
        <v>426</v>
      </c>
      <c r="BR9" t="s">
        <v>695</v>
      </c>
      <c r="BS9" t="s">
        <v>696</v>
      </c>
      <c r="BT9" t="s">
        <v>697</v>
      </c>
      <c r="BU9" s="237"/>
      <c r="BV9" t="s">
        <v>698</v>
      </c>
      <c r="BW9" t="s">
        <v>699</v>
      </c>
      <c r="BX9" s="237" t="s">
        <v>700</v>
      </c>
      <c r="BY9" t="s">
        <v>701</v>
      </c>
      <c r="BZ9" s="237" t="s">
        <v>702</v>
      </c>
      <c r="CA9" s="237"/>
      <c r="CB9" s="237"/>
      <c r="CC9" s="237" t="s">
        <v>680</v>
      </c>
      <c r="CD9" s="22">
        <f>IF($S$15=2012,VLOOKUP(CC7,$S$18:$V$31,4),VLOOKUP(CC7,$S$18:$AF$31,14))</f>
        <v>1155.0236798343487</v>
      </c>
      <c r="CE9" s="16" t="s">
        <v>340</v>
      </c>
      <c r="CI9" s="696" t="s">
        <v>688</v>
      </c>
      <c r="CJ9" s="698"/>
      <c r="CN9" s="746" t="s">
        <v>285</v>
      </c>
      <c r="CO9" s="735">
        <v>38332</v>
      </c>
      <c r="CP9" s="736">
        <v>27966</v>
      </c>
      <c r="CQ9" s="773">
        <f t="shared" ref="CQ9:CQ14" si="3">CP9/CO9</f>
        <v>0.72957320254617553</v>
      </c>
      <c r="CR9" s="737">
        <v>29.3</v>
      </c>
      <c r="CS9" s="738">
        <v>10683</v>
      </c>
      <c r="CU9" s="95">
        <f t="shared" ref="CU9:CV14" si="4">CO9/CO31</f>
        <v>0.44568465357470904</v>
      </c>
      <c r="CV9" s="95">
        <f t="shared" si="4"/>
        <v>0.52143270001678066</v>
      </c>
      <c r="CW9">
        <f>CO9*CS9/1000000</f>
        <v>409.50075600000002</v>
      </c>
      <c r="CY9" s="95">
        <f>CW9/$CW$37</f>
        <v>0.31370846944195574</v>
      </c>
      <c r="CZ9" s="95"/>
      <c r="DA9" s="95"/>
      <c r="DF9" t="s">
        <v>689</v>
      </c>
      <c r="DG9" t="s">
        <v>690</v>
      </c>
      <c r="DH9" t="s">
        <v>691</v>
      </c>
      <c r="DI9" t="s">
        <v>692</v>
      </c>
      <c r="DJ9" t="s">
        <v>693</v>
      </c>
      <c r="DK9" t="s">
        <v>694</v>
      </c>
      <c r="DL9" t="s">
        <v>695</v>
      </c>
      <c r="DM9" t="s">
        <v>696</v>
      </c>
      <c r="DN9" t="s">
        <v>697</v>
      </c>
      <c r="DO9" t="s">
        <v>426</v>
      </c>
      <c r="DP9" t="s">
        <v>695</v>
      </c>
      <c r="DQ9" t="s">
        <v>696</v>
      </c>
      <c r="DR9" t="s">
        <v>697</v>
      </c>
      <c r="DS9" s="237"/>
      <c r="DT9" t="s">
        <v>698</v>
      </c>
      <c r="DU9" t="s">
        <v>699</v>
      </c>
      <c r="DV9" s="237" t="s">
        <v>700</v>
      </c>
      <c r="DW9" t="s">
        <v>701</v>
      </c>
      <c r="DX9" s="237" t="s">
        <v>702</v>
      </c>
      <c r="DY9" s="237"/>
      <c r="DZ9" s="237"/>
      <c r="EA9" s="237" t="s">
        <v>680</v>
      </c>
      <c r="EB9" s="22">
        <f>IF($S$15=2012,VLOOKUP(EA7,$S$18:$V$30,4),VLOOKUP(EA7,$S$18:$AF$30,14))</f>
        <v>1158.6417479033025</v>
      </c>
      <c r="EC9" s="16" t="s">
        <v>340</v>
      </c>
      <c r="EJ9" s="564" t="s">
        <v>285</v>
      </c>
      <c r="EK9" s="562">
        <v>140832</v>
      </c>
      <c r="EL9" s="562">
        <v>83100</v>
      </c>
      <c r="EM9" s="563">
        <v>0.59</v>
      </c>
      <c r="EN9" s="564">
        <v>31.55</v>
      </c>
      <c r="EO9" s="571">
        <v>11516</v>
      </c>
      <c r="EQ9" s="95">
        <f t="shared" ref="EQ9:ER14" si="5">EK9/EK31</f>
        <v>0.47060081534451648</v>
      </c>
      <c r="ER9" s="95">
        <f t="shared" si="5"/>
        <v>0.52292763965188505</v>
      </c>
      <c r="ES9">
        <f>EK9*EO9/1000000</f>
        <v>1621.821312</v>
      </c>
      <c r="EU9" s="95">
        <f t="shared" ref="EU9:EU37" si="6">ES9/$ES$37</f>
        <v>0.3263560706769249</v>
      </c>
      <c r="EV9" s="95">
        <f>ES9/$ES$31</f>
        <v>0.40347222971318136</v>
      </c>
      <c r="EX9" s="22">
        <f>FX9-FX8</f>
        <v>1001.2139176840241</v>
      </c>
      <c r="EY9" t="s">
        <v>340</v>
      </c>
      <c r="FB9" t="s">
        <v>689</v>
      </c>
      <c r="FC9" t="s">
        <v>690</v>
      </c>
      <c r="FD9" t="s">
        <v>691</v>
      </c>
      <c r="FE9" t="s">
        <v>692</v>
      </c>
      <c r="FF9" t="s">
        <v>693</v>
      </c>
      <c r="FG9" t="s">
        <v>694</v>
      </c>
      <c r="FH9" t="s">
        <v>695</v>
      </c>
      <c r="FI9" t="s">
        <v>696</v>
      </c>
      <c r="FJ9" t="s">
        <v>697</v>
      </c>
      <c r="FK9" t="s">
        <v>426</v>
      </c>
      <c r="FL9" t="s">
        <v>695</v>
      </c>
      <c r="FM9" t="s">
        <v>696</v>
      </c>
      <c r="FN9" t="s">
        <v>697</v>
      </c>
      <c r="FO9" s="237"/>
      <c r="FP9" t="s">
        <v>698</v>
      </c>
      <c r="FQ9" t="s">
        <v>699</v>
      </c>
      <c r="FR9" s="237" t="s">
        <v>700</v>
      </c>
      <c r="FS9" t="s">
        <v>701</v>
      </c>
      <c r="FT9" s="237" t="s">
        <v>702</v>
      </c>
      <c r="FV9" s="237"/>
      <c r="FW9" s="237" t="s">
        <v>680</v>
      </c>
      <c r="FX9" s="22">
        <f>IF($S$15=2012,VLOOKUP(FW7,$S$43:$V$57,4),VLOOKUP(FW7,$S$43:$AG$57,15))</f>
        <v>1225.2396776840242</v>
      </c>
      <c r="FY9" s="16" t="s">
        <v>340</v>
      </c>
      <c r="FZ9"/>
      <c r="GA9" s="22"/>
      <c r="GB9"/>
      <c r="GC9"/>
      <c r="GD9" s="237"/>
      <c r="GF9" s="564" t="s">
        <v>285</v>
      </c>
      <c r="GG9" s="562">
        <v>145524</v>
      </c>
      <c r="GH9" s="562">
        <v>81692</v>
      </c>
      <c r="GI9" s="563">
        <v>0.56000000000000005</v>
      </c>
      <c r="GJ9" s="564">
        <v>33.11</v>
      </c>
      <c r="GK9" s="571">
        <v>12087</v>
      </c>
      <c r="GM9" s="95">
        <f t="shared" ref="GM9:GN14" si="7">GG9/GG30</f>
        <v>0.50608242044861762</v>
      </c>
      <c r="GN9" s="95">
        <f t="shared" si="7"/>
        <v>0.55218563906369345</v>
      </c>
      <c r="GP9" s="22">
        <f>GK9*GG9/1000000</f>
        <v>1758.948588</v>
      </c>
      <c r="GQ9" s="95">
        <f t="shared" ref="GQ9:GQ35" si="8">GP9/$GP$36</f>
        <v>0.35799060912019864</v>
      </c>
      <c r="GR9" s="95">
        <f>GP9/$GP$30</f>
        <v>0.44184216714474989</v>
      </c>
      <c r="GT9" s="22">
        <f>HS9-HS8</f>
        <v>953.62333807931782</v>
      </c>
      <c r="GU9" t="s">
        <v>340</v>
      </c>
      <c r="GX9" t="s">
        <v>689</v>
      </c>
      <c r="GY9" t="s">
        <v>690</v>
      </c>
      <c r="GZ9" t="s">
        <v>691</v>
      </c>
      <c r="HA9" t="s">
        <v>692</v>
      </c>
      <c r="HB9" t="s">
        <v>693</v>
      </c>
      <c r="HC9" t="s">
        <v>694</v>
      </c>
      <c r="HD9" t="s">
        <v>695</v>
      </c>
      <c r="HE9" t="s">
        <v>696</v>
      </c>
      <c r="HF9" t="s">
        <v>697</v>
      </c>
      <c r="HG9" t="s">
        <v>426</v>
      </c>
      <c r="HH9" t="s">
        <v>695</v>
      </c>
      <c r="HI9" t="s">
        <v>696</v>
      </c>
      <c r="HJ9" t="s">
        <v>697</v>
      </c>
      <c r="HK9" s="237"/>
      <c r="HL9" t="s">
        <v>698</v>
      </c>
      <c r="HM9" t="s">
        <v>699</v>
      </c>
      <c r="HN9" s="237" t="s">
        <v>700</v>
      </c>
      <c r="HO9" t="s">
        <v>701</v>
      </c>
      <c r="HP9" s="237" t="s">
        <v>702</v>
      </c>
      <c r="HQ9" s="237"/>
      <c r="HR9" s="237" t="s">
        <v>680</v>
      </c>
      <c r="HS9" s="22">
        <f>IF($S$15=2012,VLOOKUP(HR7,$S$43:$V$57,4),VLOOKUP(HR7,$S$43:$AG$57,15))</f>
        <v>1167.0005088253386</v>
      </c>
      <c r="HT9" s="16" t="s">
        <v>340</v>
      </c>
      <c r="HV9" s="237"/>
      <c r="HX9" s="502" t="s">
        <v>285</v>
      </c>
      <c r="HY9" s="503">
        <v>149903</v>
      </c>
      <c r="HZ9" s="503">
        <v>82425</v>
      </c>
      <c r="IA9" s="504">
        <v>0.55000000000000004</v>
      </c>
      <c r="IB9" s="502">
        <v>30.19</v>
      </c>
      <c r="IC9" s="503">
        <v>11020</v>
      </c>
      <c r="IE9" s="95">
        <f t="shared" ref="IE9:IF14" si="9">HY9/HY30</f>
        <v>0.54458891444058144</v>
      </c>
      <c r="IF9" s="95">
        <f t="shared" si="9"/>
        <v>0.57982483908409832</v>
      </c>
      <c r="IH9" s="22">
        <f>IC9*HY9/1000000</f>
        <v>1651.9310599999999</v>
      </c>
      <c r="II9" s="95">
        <f>IH9/$JZ$36</f>
        <v>0.39640245859007239</v>
      </c>
      <c r="IJ9" s="95">
        <f>IH9/$IH$30</f>
        <v>0.47221222705918958</v>
      </c>
      <c r="IL9" s="22">
        <f>JK9-JK8</f>
        <v>946.24017105236646</v>
      </c>
      <c r="IM9" t="s">
        <v>340</v>
      </c>
      <c r="IP9" t="s">
        <v>689</v>
      </c>
      <c r="IQ9" t="s">
        <v>690</v>
      </c>
      <c r="IR9" t="s">
        <v>691</v>
      </c>
      <c r="IS9" t="s">
        <v>692</v>
      </c>
      <c r="IT9" t="s">
        <v>693</v>
      </c>
      <c r="IU9" t="s">
        <v>694</v>
      </c>
      <c r="IV9" t="s">
        <v>695</v>
      </c>
      <c r="IW9" t="s">
        <v>696</v>
      </c>
      <c r="IX9" t="s">
        <v>697</v>
      </c>
      <c r="IY9" t="s">
        <v>426</v>
      </c>
      <c r="IZ9" t="s">
        <v>695</v>
      </c>
      <c r="JA9" t="s">
        <v>696</v>
      </c>
      <c r="JB9" t="s">
        <v>697</v>
      </c>
      <c r="JC9" s="237"/>
      <c r="JD9" t="s">
        <v>698</v>
      </c>
      <c r="JE9" t="s">
        <v>699</v>
      </c>
      <c r="JF9" s="237" t="s">
        <v>700</v>
      </c>
      <c r="JG9" t="s">
        <v>701</v>
      </c>
      <c r="JH9" s="237" t="s">
        <v>702</v>
      </c>
      <c r="JJ9" s="237" t="s">
        <v>680</v>
      </c>
      <c r="JK9" s="22">
        <f>IF($S$15=2012,VLOOKUP(JJ7,$S$43:$V$57,4),VLOOKUP(JJ7,$S$43:$AG$57,15))</f>
        <v>1157.9653276032132</v>
      </c>
      <c r="JL9" s="16" t="s">
        <v>340</v>
      </c>
      <c r="JP9" s="417" t="s">
        <v>285</v>
      </c>
      <c r="JQ9" s="408">
        <v>156335</v>
      </c>
      <c r="JR9" s="408">
        <v>82309</v>
      </c>
      <c r="JS9" s="409">
        <v>0.53</v>
      </c>
      <c r="JT9" s="410">
        <v>30.22</v>
      </c>
      <c r="JU9" s="418">
        <v>11029</v>
      </c>
      <c r="JW9" s="95">
        <f t="shared" ref="JW9:JX14" si="10">JQ9/JQ30</f>
        <v>0.57984533501474322</v>
      </c>
      <c r="JX9" s="95">
        <f t="shared" si="10"/>
        <v>0.62281226117420951</v>
      </c>
      <c r="JZ9" s="22">
        <f>JU9*JQ9/1000000</f>
        <v>1724.218715</v>
      </c>
      <c r="KA9" s="95">
        <f t="shared" ref="KA9:KA35" si="11">JZ9/$JZ$36</f>
        <v>0.41374882664474832</v>
      </c>
      <c r="KG9" t="s">
        <v>689</v>
      </c>
      <c r="KH9" t="s">
        <v>690</v>
      </c>
      <c r="KI9" t="s">
        <v>691</v>
      </c>
      <c r="KJ9" t="s">
        <v>692</v>
      </c>
      <c r="KK9" t="s">
        <v>693</v>
      </c>
      <c r="KL9" t="s">
        <v>694</v>
      </c>
      <c r="KM9" t="s">
        <v>695</v>
      </c>
      <c r="KN9" t="s">
        <v>696</v>
      </c>
      <c r="KO9" t="s">
        <v>697</v>
      </c>
      <c r="KP9" t="s">
        <v>426</v>
      </c>
      <c r="KQ9" t="s">
        <v>695</v>
      </c>
      <c r="KR9" t="s">
        <v>696</v>
      </c>
      <c r="KS9" t="s">
        <v>697</v>
      </c>
      <c r="KT9" s="237"/>
      <c r="KU9" t="s">
        <v>698</v>
      </c>
      <c r="KV9" t="s">
        <v>699</v>
      </c>
      <c r="KW9" s="237" t="s">
        <v>700</v>
      </c>
      <c r="KX9" t="s">
        <v>701</v>
      </c>
      <c r="KY9" s="237" t="s">
        <v>702</v>
      </c>
      <c r="LA9" s="237" t="s">
        <v>680</v>
      </c>
      <c r="LB9" s="22">
        <f>IF($S$15=2012,VLOOKUP(LA7,$S$43:$V$57,4),VLOOKUP(LA7,$S$43:$AG$57,15))</f>
        <v>1062.8934657853949</v>
      </c>
      <c r="LC9" s="16" t="s">
        <v>340</v>
      </c>
      <c r="LF9" s="90" t="s">
        <v>285</v>
      </c>
      <c r="LG9" s="91">
        <v>163424</v>
      </c>
      <c r="LH9" s="91">
        <v>84654</v>
      </c>
      <c r="LI9" s="92">
        <v>0.52</v>
      </c>
      <c r="LJ9" s="93">
        <v>30.85</v>
      </c>
      <c r="LK9" s="94">
        <v>11261</v>
      </c>
      <c r="LM9" s="95">
        <f>LG9/LG23</f>
        <v>0.60566663578245161</v>
      </c>
      <c r="LN9" s="95">
        <f>LH9/LH23</f>
        <v>0.67010211351222992</v>
      </c>
      <c r="LP9" s="22">
        <f t="shared" ref="LP9:LP22" si="12">LK9*LG9/1000000</f>
        <v>1840.3176639999999</v>
      </c>
      <c r="LQ9" s="95">
        <f t="shared" ref="LQ9:LQ34" si="13">LP9/$LP$36</f>
        <v>0.43324749774321492</v>
      </c>
      <c r="LW9" t="s">
        <v>689</v>
      </c>
      <c r="LX9" t="s">
        <v>690</v>
      </c>
      <c r="LY9" t="s">
        <v>691</v>
      </c>
      <c r="LZ9" t="s">
        <v>692</v>
      </c>
      <c r="MA9" t="s">
        <v>693</v>
      </c>
      <c r="MB9" t="s">
        <v>694</v>
      </c>
      <c r="MC9" t="s">
        <v>695</v>
      </c>
      <c r="MD9" t="s">
        <v>696</v>
      </c>
      <c r="ME9" t="s">
        <v>697</v>
      </c>
      <c r="MF9" t="s">
        <v>426</v>
      </c>
      <c r="MG9" t="s">
        <v>695</v>
      </c>
      <c r="MH9" t="s">
        <v>696</v>
      </c>
      <c r="MI9" t="s">
        <v>697</v>
      </c>
      <c r="MJ9" s="237"/>
      <c r="MK9" t="s">
        <v>698</v>
      </c>
      <c r="ML9" t="s">
        <v>699</v>
      </c>
      <c r="MM9" s="237" t="s">
        <v>700</v>
      </c>
      <c r="MN9" t="s">
        <v>701</v>
      </c>
      <c r="MO9" s="237" t="s">
        <v>702</v>
      </c>
      <c r="MQ9" s="237" t="s">
        <v>680</v>
      </c>
      <c r="MR9" s="83">
        <f>IF($S$15=2012,VLOOKUP(MQ7,$S$43:$V$57,4),VLOOKUP(MQ7,$S$43:$AG$57,15))</f>
        <v>1195.9859397920447</v>
      </c>
      <c r="MS9" s="16" t="s">
        <v>340</v>
      </c>
      <c r="MV9" s="417" t="s">
        <v>285</v>
      </c>
      <c r="MW9" s="408">
        <v>167978</v>
      </c>
      <c r="MX9" s="408">
        <v>97278</v>
      </c>
      <c r="MY9" s="409">
        <v>0.54</v>
      </c>
      <c r="MZ9" s="410">
        <v>31.07</v>
      </c>
      <c r="NA9" s="418">
        <v>11339</v>
      </c>
      <c r="NC9" s="95">
        <f t="shared" ref="NC9:ND14" si="14">MW9/MW23</f>
        <v>0.62822991738442613</v>
      </c>
      <c r="ND9" s="95">
        <f t="shared" si="14"/>
        <v>0.74363600226275473</v>
      </c>
      <c r="NF9" s="22">
        <f t="shared" ref="NF9:NF22" si="15">NA9*MW9/1000000</f>
        <v>1904.702542</v>
      </c>
      <c r="NG9" s="95">
        <f t="shared" ref="NG9:NG34" si="16">NF9/$LP$36</f>
        <v>0.44840498268816309</v>
      </c>
      <c r="NM9" t="s">
        <v>689</v>
      </c>
      <c r="NN9" t="s">
        <v>690</v>
      </c>
      <c r="NO9" t="s">
        <v>691</v>
      </c>
      <c r="NP9" t="s">
        <v>692</v>
      </c>
      <c r="NQ9" t="s">
        <v>693</v>
      </c>
      <c r="NR9" t="s">
        <v>694</v>
      </c>
      <c r="NS9" t="s">
        <v>695</v>
      </c>
      <c r="NT9" t="s">
        <v>696</v>
      </c>
      <c r="NU9" t="s">
        <v>697</v>
      </c>
      <c r="NV9" t="s">
        <v>426</v>
      </c>
      <c r="NW9" t="s">
        <v>695</v>
      </c>
      <c r="NX9" t="s">
        <v>696</v>
      </c>
      <c r="NY9" t="s">
        <v>697</v>
      </c>
      <c r="NZ9" s="237"/>
      <c r="OA9" t="s">
        <v>698</v>
      </c>
      <c r="OB9" t="s">
        <v>699</v>
      </c>
      <c r="OC9" s="237" t="s">
        <v>700</v>
      </c>
      <c r="OD9" t="s">
        <v>701</v>
      </c>
      <c r="OE9" s="237" t="s">
        <v>702</v>
      </c>
      <c r="OG9" s="237" t="s">
        <v>680</v>
      </c>
      <c r="OH9" s="83">
        <f>IF($S$15=2012,VLOOKUP(OG7,$S$43:$V$57,4),VLOOKUP(OG7,$S$43:$AG$57,15))</f>
        <v>1182.8712977519608</v>
      </c>
      <c r="OI9" s="16" t="s">
        <v>340</v>
      </c>
      <c r="OL9" s="237" t="s">
        <v>680</v>
      </c>
      <c r="OM9" s="22">
        <f>OH9/(1+T24)</f>
        <v>1150.6054569260602</v>
      </c>
      <c r="ON9" s="16" t="s">
        <v>340</v>
      </c>
      <c r="OQ9" s="237" t="s">
        <v>680</v>
      </c>
      <c r="OR9" s="22">
        <f>OM9/(1+T23)</f>
        <v>1065.3485030059494</v>
      </c>
      <c r="OS9" s="16" t="s">
        <v>340</v>
      </c>
    </row>
    <row r="10" spans="1:410" ht="39" customHeight="1" thickBot="1" x14ac:dyDescent="0.3">
      <c r="A10" s="146"/>
      <c r="B10" s="147" t="s">
        <v>703</v>
      </c>
      <c r="C10" s="1045" t="s">
        <v>704</v>
      </c>
      <c r="D10" s="1046"/>
      <c r="E10" s="1046"/>
      <c r="F10" s="922" t="s">
        <v>705</v>
      </c>
      <c r="G10" s="148" t="s">
        <v>706</v>
      </c>
      <c r="H10" s="150"/>
      <c r="I10" s="279" t="s">
        <v>682</v>
      </c>
      <c r="J10" s="280" t="s">
        <v>683</v>
      </c>
      <c r="K10" s="281" t="s">
        <v>684</v>
      </c>
      <c r="L10" s="282" t="s">
        <v>707</v>
      </c>
      <c r="M10" s="283" t="s">
        <v>708</v>
      </c>
      <c r="N10" s="889"/>
      <c r="O10" s="198"/>
      <c r="P10" s="198"/>
      <c r="Q10" s="198"/>
      <c r="AK10" s="697" t="s">
        <v>675</v>
      </c>
      <c r="AL10" s="695"/>
      <c r="AP10" s="747" t="s">
        <v>709</v>
      </c>
      <c r="AQ10" s="739">
        <v>9</v>
      </c>
      <c r="AR10" s="740">
        <v>12</v>
      </c>
      <c r="AS10" s="773">
        <f t="shared" si="0"/>
        <v>1.3333333333333333</v>
      </c>
      <c r="AT10" s="740">
        <v>17.2</v>
      </c>
      <c r="AU10" s="738">
        <v>6263</v>
      </c>
      <c r="AW10" s="95">
        <f t="shared" si="1"/>
        <v>5.5555555555555552E-2</v>
      </c>
      <c r="AX10" s="95">
        <f t="shared" si="2"/>
        <v>7.407407407407407E-2</v>
      </c>
      <c r="AY10">
        <f>AQ10*AU10/1000000</f>
        <v>5.6367E-2</v>
      </c>
      <c r="BA10" s="95">
        <f t="shared" ref="BA10:BA26" si="17">AY10/$CW$37</f>
        <v>4.3181373997352814E-5</v>
      </c>
      <c r="BB10" s="95"/>
      <c r="BC10" s="95"/>
      <c r="BU10" s="606"/>
      <c r="BX10" s="237"/>
      <c r="BZ10" s="237"/>
      <c r="CA10" s="237"/>
      <c r="CB10" s="237"/>
      <c r="CI10" s="697" t="s">
        <v>675</v>
      </c>
      <c r="CJ10" s="695"/>
      <c r="CN10" s="747" t="s">
        <v>709</v>
      </c>
      <c r="CO10" s="739">
        <v>9</v>
      </c>
      <c r="CP10" s="740">
        <v>12</v>
      </c>
      <c r="CQ10" s="773">
        <f t="shared" si="3"/>
        <v>1.3333333333333333</v>
      </c>
      <c r="CR10" s="740">
        <v>17.2</v>
      </c>
      <c r="CS10" s="738">
        <v>6263</v>
      </c>
      <c r="CU10" s="95">
        <f t="shared" si="4"/>
        <v>5.5555555555555552E-2</v>
      </c>
      <c r="CV10" s="95">
        <f t="shared" si="4"/>
        <v>7.407407407407407E-2</v>
      </c>
      <c r="CW10">
        <f>CO10*CS10/1000000</f>
        <v>5.6367E-2</v>
      </c>
      <c r="CY10" s="95">
        <f t="shared" ref="CY10:CY38" si="18">CW10/$CW$37</f>
        <v>4.3181373997352814E-5</v>
      </c>
      <c r="CZ10" s="95"/>
      <c r="DA10" s="95"/>
      <c r="DS10" s="606"/>
      <c r="DV10" s="237"/>
      <c r="DX10" s="237"/>
      <c r="DY10" s="237"/>
      <c r="DZ10" s="237"/>
      <c r="EJ10" s="565" t="s">
        <v>709</v>
      </c>
      <c r="EK10" s="565">
        <v>114</v>
      </c>
      <c r="EL10" s="565">
        <v>63</v>
      </c>
      <c r="EM10" s="566">
        <v>0.55000000000000004</v>
      </c>
      <c r="EN10" s="565">
        <v>36.65</v>
      </c>
      <c r="EO10" s="572">
        <v>13377</v>
      </c>
      <c r="EQ10" s="95">
        <f t="shared" si="5"/>
        <v>8.8923556942277687E-2</v>
      </c>
      <c r="ER10" s="95">
        <f t="shared" si="5"/>
        <v>8.171206225680934E-2</v>
      </c>
      <c r="ES10">
        <f>EK10*EO10/1000000</f>
        <v>1.5249779999999999</v>
      </c>
      <c r="EU10" s="95">
        <f t="shared" si="6"/>
        <v>3.0686847204826687E-4</v>
      </c>
      <c r="EV10" s="95">
        <f>ES10/$ES$40</f>
        <v>1.6055377782467121E-3</v>
      </c>
      <c r="FO10" s="606"/>
      <c r="FT10" s="237"/>
      <c r="FV10" s="237"/>
      <c r="FW10"/>
      <c r="FX10"/>
      <c r="FY10"/>
      <c r="FZ10"/>
      <c r="GA10"/>
      <c r="GB10"/>
      <c r="GC10"/>
      <c r="GD10" s="237"/>
      <c r="GF10" s="565" t="s">
        <v>709</v>
      </c>
      <c r="GG10" s="565">
        <v>117</v>
      </c>
      <c r="GH10" s="565">
        <v>50</v>
      </c>
      <c r="GI10" s="566">
        <v>0.43</v>
      </c>
      <c r="GJ10" s="565">
        <v>12.52</v>
      </c>
      <c r="GK10" s="572">
        <v>4571</v>
      </c>
      <c r="GM10" s="95">
        <f t="shared" si="7"/>
        <v>8.9108910891089105E-2</v>
      </c>
      <c r="GN10" s="95">
        <f t="shared" si="7"/>
        <v>6.7204301075268813E-2</v>
      </c>
      <c r="GP10" s="22">
        <f>GK10*GG10/1000000</f>
        <v>0.53480700000000003</v>
      </c>
      <c r="GQ10" s="95">
        <f t="shared" si="8"/>
        <v>1.08846776419679E-4</v>
      </c>
      <c r="GR10" s="95">
        <f>GP10/$GP$38</f>
        <v>5.7355041114334044E-4</v>
      </c>
      <c r="HJ10"/>
      <c r="HK10" s="606"/>
      <c r="HM10"/>
      <c r="HN10" s="237"/>
      <c r="HO10"/>
      <c r="HP10" s="237"/>
      <c r="HQ10" s="237"/>
      <c r="HV10" s="237"/>
      <c r="HX10" s="505" t="s">
        <v>709</v>
      </c>
      <c r="HY10" s="505">
        <v>117</v>
      </c>
      <c r="HZ10" s="505">
        <v>50</v>
      </c>
      <c r="IA10" s="506">
        <v>0.43</v>
      </c>
      <c r="IB10" s="505">
        <v>23.12</v>
      </c>
      <c r="IC10" s="507">
        <v>8440</v>
      </c>
      <c r="IE10" s="95">
        <f t="shared" si="9"/>
        <v>8.6092715231788075E-2</v>
      </c>
      <c r="IF10" s="95">
        <f t="shared" si="9"/>
        <v>7.3855243722304287E-2</v>
      </c>
      <c r="IH10" s="22">
        <f>IC10*HY10/1000000</f>
        <v>0.98748000000000002</v>
      </c>
      <c r="II10" s="95">
        <f>IH10/$IH$36</f>
        <v>2.3402478100606415E-4</v>
      </c>
      <c r="IJ10" s="95">
        <f>IH10/$IH$37</f>
        <v>1.369081012591881E-3</v>
      </c>
      <c r="JB10"/>
      <c r="JC10" s="237"/>
      <c r="JE10"/>
      <c r="JF10" s="237"/>
      <c r="JG10"/>
      <c r="JH10" s="237"/>
      <c r="JP10" s="419" t="s">
        <v>709</v>
      </c>
      <c r="JQ10" s="411">
        <v>95</v>
      </c>
      <c r="JR10" s="411">
        <v>49</v>
      </c>
      <c r="JS10" s="412">
        <v>0.52</v>
      </c>
      <c r="JT10" s="411">
        <v>17.82</v>
      </c>
      <c r="JU10" s="420">
        <v>6503</v>
      </c>
      <c r="JW10" s="95">
        <f t="shared" si="10"/>
        <v>7.0058997050147495E-2</v>
      </c>
      <c r="JX10" s="95">
        <f t="shared" si="10"/>
        <v>8.0592105263157895E-2</v>
      </c>
      <c r="JZ10" s="22">
        <f>JU10*JQ10/1000000</f>
        <v>0.61778500000000003</v>
      </c>
      <c r="KA10" s="95">
        <f t="shared" si="11"/>
        <v>1.4824558894126482E-4</v>
      </c>
      <c r="KT10" s="237"/>
      <c r="KW10" s="237"/>
      <c r="KY10" s="237"/>
      <c r="LF10" s="97" t="s">
        <v>709</v>
      </c>
      <c r="LG10" s="98">
        <v>95</v>
      </c>
      <c r="LH10" s="98">
        <v>65</v>
      </c>
      <c r="LI10" s="99">
        <v>0.68</v>
      </c>
      <c r="LJ10" s="98">
        <v>24.99</v>
      </c>
      <c r="LK10" s="100">
        <v>9123</v>
      </c>
      <c r="LM10" s="95">
        <f t="shared" ref="LM10:LN12" si="19">LG10/LG24</f>
        <v>6.8542568542568544E-2</v>
      </c>
      <c r="LN10" s="95">
        <f t="shared" si="19"/>
        <v>8.5638998682476944E-2</v>
      </c>
      <c r="LP10" s="22">
        <f t="shared" si="12"/>
        <v>0.86668500000000004</v>
      </c>
      <c r="LQ10" s="95">
        <f t="shared" si="13"/>
        <v>2.0403494186185144E-4</v>
      </c>
      <c r="MJ10" s="237"/>
      <c r="MM10" s="237"/>
      <c r="MO10" s="237"/>
      <c r="MV10" s="419" t="s">
        <v>709</v>
      </c>
      <c r="MW10" s="411">
        <v>98</v>
      </c>
      <c r="MX10" s="411">
        <v>67</v>
      </c>
      <c r="MY10" s="412">
        <v>0.68</v>
      </c>
      <c r="MZ10" s="411">
        <v>19.28</v>
      </c>
      <c r="NA10" s="420">
        <v>7037</v>
      </c>
      <c r="NC10" s="95">
        <f t="shared" si="14"/>
        <v>6.7679558011049717E-2</v>
      </c>
      <c r="ND10" s="95">
        <f t="shared" si="14"/>
        <v>8.6451612903225811E-2</v>
      </c>
      <c r="NF10" s="22">
        <f t="shared" si="15"/>
        <v>0.68962599999999996</v>
      </c>
      <c r="NG10" s="95">
        <f t="shared" si="16"/>
        <v>1.6235172042486156E-4</v>
      </c>
      <c r="NZ10" s="237"/>
      <c r="OC10" s="237"/>
      <c r="OE10" s="237"/>
    </row>
    <row r="11" spans="1:410" ht="16.5" customHeight="1" thickBot="1" x14ac:dyDescent="0.5">
      <c r="A11" s="986">
        <v>2005</v>
      </c>
      <c r="B11" s="151" t="s">
        <v>710</v>
      </c>
      <c r="C11" s="152">
        <v>36964</v>
      </c>
      <c r="D11" s="153">
        <v>35212</v>
      </c>
      <c r="E11" s="154">
        <v>32382</v>
      </c>
      <c r="F11" s="155">
        <v>104558</v>
      </c>
      <c r="G11" s="199">
        <v>104558</v>
      </c>
      <c r="H11" s="156"/>
      <c r="I11" s="157"/>
      <c r="J11" s="157"/>
      <c r="K11" s="157"/>
      <c r="L11" s="158"/>
      <c r="M11" s="284"/>
      <c r="N11" s="890"/>
      <c r="O11" s="871"/>
      <c r="P11" s="871"/>
      <c r="Q11" s="871"/>
      <c r="AK11" s="701" t="s">
        <v>285</v>
      </c>
      <c r="AL11" s="695">
        <v>36334</v>
      </c>
      <c r="AP11" s="747" t="s">
        <v>711</v>
      </c>
      <c r="AQ11" s="739">
        <v>0</v>
      </c>
      <c r="AR11" s="740">
        <v>1</v>
      </c>
      <c r="AS11" s="773" t="e">
        <f t="shared" si="0"/>
        <v>#DIV/0!</v>
      </c>
      <c r="AT11" s="739" t="s">
        <v>409</v>
      </c>
      <c r="AU11" s="741" t="s">
        <v>409</v>
      </c>
      <c r="AW11" s="95">
        <f t="shared" si="1"/>
        <v>0</v>
      </c>
      <c r="AX11" s="95">
        <f t="shared" si="2"/>
        <v>1.8083182640144665E-3</v>
      </c>
      <c r="AY11">
        <v>0</v>
      </c>
      <c r="BA11" s="95">
        <f t="shared" si="17"/>
        <v>0</v>
      </c>
      <c r="BB11" s="95"/>
      <c r="BC11" s="95"/>
      <c r="BD11" t="s">
        <v>712</v>
      </c>
      <c r="BE11" t="s">
        <v>675</v>
      </c>
      <c r="BF11" s="101">
        <f>BA9</f>
        <v>0.31370846944195574</v>
      </c>
      <c r="BG11" s="22">
        <f>BF11*$EB$9</f>
        <v>363.47572936629734</v>
      </c>
      <c r="BH11">
        <v>8</v>
      </c>
      <c r="BI11">
        <f>BH11/100</f>
        <v>0.08</v>
      </c>
      <c r="BJ11">
        <v>0.75</v>
      </c>
      <c r="BK11">
        <f>BJ11*BI11</f>
        <v>0.06</v>
      </c>
      <c r="BL11">
        <v>44.3</v>
      </c>
      <c r="BM11">
        <f>BL11*BK11</f>
        <v>2.6579999999999999</v>
      </c>
      <c r="BN11">
        <v>72.335002492541093</v>
      </c>
      <c r="BO11">
        <v>7.1637159556547196E-3</v>
      </c>
      <c r="BP11">
        <v>4.7891015874360001E-4</v>
      </c>
      <c r="BQ11" s="22">
        <f>BM11*BG11</f>
        <v>966.11848865561831</v>
      </c>
      <c r="BR11" s="22">
        <f>$DO11*BN11</f>
        <v>69884.183284994186</v>
      </c>
      <c r="BS11" s="22">
        <f>$DO11*BO11</f>
        <v>6.920998432235276</v>
      </c>
      <c r="BT11" s="22">
        <f>$DO11*BP11</f>
        <v>0.4626839587671891</v>
      </c>
      <c r="BU11" s="437">
        <f t="shared" ref="BU11:BU17" si="20">BR11+BS11*$HI$8+BT11*$HJ$8</f>
        <v>70200.582490170083</v>
      </c>
      <c r="BV11">
        <v>2.34</v>
      </c>
      <c r="BW11">
        <f>BV11*BI11*BG11*1000000</f>
        <v>68042656.537370861</v>
      </c>
      <c r="BX11" s="237">
        <f>BW11/1000</f>
        <v>68042.656537370858</v>
      </c>
      <c r="BY11">
        <v>207</v>
      </c>
      <c r="BZ11" s="237">
        <f>BY11/10^6*BG11*10^6</f>
        <v>75239.475978823553</v>
      </c>
      <c r="CA11" s="237"/>
      <c r="CB11" s="237"/>
      <c r="CD11" s="16" t="s">
        <v>342</v>
      </c>
      <c r="CE11" s="16" t="s">
        <v>713</v>
      </c>
      <c r="CF11" s="16" t="s">
        <v>714</v>
      </c>
      <c r="CI11" s="701" t="s">
        <v>285</v>
      </c>
      <c r="CJ11" s="695">
        <v>35011</v>
      </c>
      <c r="CN11" s="747" t="s">
        <v>711</v>
      </c>
      <c r="CO11" s="739">
        <v>0</v>
      </c>
      <c r="CP11" s="740">
        <v>1</v>
      </c>
      <c r="CQ11" s="773" t="e">
        <f t="shared" si="3"/>
        <v>#DIV/0!</v>
      </c>
      <c r="CR11" s="739" t="s">
        <v>409</v>
      </c>
      <c r="CS11" s="741" t="s">
        <v>409</v>
      </c>
      <c r="CU11" s="95">
        <f t="shared" si="4"/>
        <v>0</v>
      </c>
      <c r="CV11" s="95">
        <f t="shared" si="4"/>
        <v>1.8083182640144665E-3</v>
      </c>
      <c r="CW11">
        <v>0</v>
      </c>
      <c r="CY11" s="95">
        <f t="shared" si="18"/>
        <v>0</v>
      </c>
      <c r="CZ11" s="95"/>
      <c r="DA11" s="95"/>
      <c r="DB11" t="s">
        <v>712</v>
      </c>
      <c r="DC11" t="s">
        <v>675</v>
      </c>
      <c r="DD11" s="101">
        <f>CY9</f>
        <v>0.31370846944195574</v>
      </c>
      <c r="DE11" s="22">
        <f>DD11*$EB$9</f>
        <v>363.47572936629734</v>
      </c>
      <c r="DF11">
        <v>8</v>
      </c>
      <c r="DG11">
        <f>DF11/100</f>
        <v>0.08</v>
      </c>
      <c r="DH11">
        <v>0.75</v>
      </c>
      <c r="DI11">
        <f>DH11*DG11</f>
        <v>0.06</v>
      </c>
      <c r="DJ11">
        <v>44.3</v>
      </c>
      <c r="DK11">
        <f>DJ11*DI11</f>
        <v>2.6579999999999999</v>
      </c>
      <c r="DL11">
        <v>72.335002492541093</v>
      </c>
      <c r="DM11">
        <v>7.1637159556547196E-3</v>
      </c>
      <c r="DN11">
        <v>4.7891015874360001E-4</v>
      </c>
      <c r="DO11" s="22">
        <f>DK11*DE11</f>
        <v>966.11848865561831</v>
      </c>
      <c r="DP11" s="22">
        <f>$DO11*DL11</f>
        <v>69884.183284994186</v>
      </c>
      <c r="DQ11" s="22">
        <f>$DO11*DM11</f>
        <v>6.920998432235276</v>
      </c>
      <c r="DR11" s="22">
        <f>$DO11*DN11</f>
        <v>0.4626839587671891</v>
      </c>
      <c r="DS11" s="437">
        <f t="shared" ref="DS11:DS29" si="21">DP11+DQ11*$HI$8+DR11*$HJ$8</f>
        <v>70200.582490170083</v>
      </c>
      <c r="DT11">
        <v>2.34</v>
      </c>
      <c r="DU11">
        <f>DT11*DG11*DE11*1000000</f>
        <v>68042656.537370861</v>
      </c>
      <c r="DV11" s="237">
        <f>DU11/1000</f>
        <v>68042.656537370858</v>
      </c>
      <c r="DW11">
        <v>207</v>
      </c>
      <c r="DX11" s="237">
        <f>DW11/10^6*DE11*10^6</f>
        <v>75239.475978823553</v>
      </c>
      <c r="DY11" s="237"/>
      <c r="DZ11" s="237"/>
      <c r="EB11" s="16" t="s">
        <v>342</v>
      </c>
      <c r="EC11" s="16" t="s">
        <v>713</v>
      </c>
      <c r="ED11" s="16" t="s">
        <v>714</v>
      </c>
      <c r="EJ11" s="564" t="s">
        <v>711</v>
      </c>
      <c r="EK11" s="564">
        <v>6</v>
      </c>
      <c r="EL11" s="564">
        <v>3</v>
      </c>
      <c r="EM11" s="563">
        <v>0.5</v>
      </c>
      <c r="EN11" s="565" t="s">
        <v>409</v>
      </c>
      <c r="EO11" s="565" t="s">
        <v>409</v>
      </c>
      <c r="EQ11" s="95">
        <f t="shared" si="5"/>
        <v>3.0785017957927143E-3</v>
      </c>
      <c r="ER11" s="95">
        <f t="shared" si="5"/>
        <v>2.5795356835769563E-3</v>
      </c>
      <c r="ES11">
        <v>0</v>
      </c>
      <c r="EU11" s="95">
        <f t="shared" si="6"/>
        <v>0</v>
      </c>
      <c r="EV11" s="95">
        <f t="shared" ref="EV11:EV15" si="22">ES11/$ES$40</f>
        <v>0</v>
      </c>
      <c r="EX11" t="s">
        <v>712</v>
      </c>
      <c r="EY11" t="s">
        <v>675</v>
      </c>
      <c r="EZ11" s="101">
        <f>EV9</f>
        <v>0.40347222971318136</v>
      </c>
      <c r="FA11" s="22">
        <f>EZ11*$EX$9</f>
        <v>403.96201178784281</v>
      </c>
      <c r="FB11">
        <v>8</v>
      </c>
      <c r="FC11">
        <f t="shared" ref="FC11:FC29" si="23">FB11/100</f>
        <v>0.08</v>
      </c>
      <c r="FD11">
        <v>0.75</v>
      </c>
      <c r="FE11">
        <f t="shared" ref="FE11:FE29" si="24">FD11*FC11</f>
        <v>0.06</v>
      </c>
      <c r="FF11">
        <v>44.3</v>
      </c>
      <c r="FG11">
        <f t="shared" ref="FG11:FG29" si="25">FF11*FE11</f>
        <v>2.6579999999999999</v>
      </c>
      <c r="FH11">
        <v>72.335002492541093</v>
      </c>
      <c r="FI11">
        <v>7.1637159556547196E-3</v>
      </c>
      <c r="FJ11">
        <v>4.7891015874360001E-4</v>
      </c>
      <c r="FK11" s="22">
        <f t="shared" ref="FK11:FK29" si="26">FG11*FA11</f>
        <v>1073.7310273320861</v>
      </c>
      <c r="FL11" s="22">
        <f t="shared" ref="FL11:FL29" si="27">$FK11*FH11</f>
        <v>77668.336538385163</v>
      </c>
      <c r="FM11" s="22">
        <f t="shared" ref="FM11:FM29" si="28">$FK11*FI11</f>
        <v>7.6919040925803994</v>
      </c>
      <c r="FN11" s="22">
        <f t="shared" ref="FN11:FN29" si="29">$FK11*FJ11</f>
        <v>0.51422069674753812</v>
      </c>
      <c r="FO11" s="437">
        <f t="shared" ref="FO11:FO29" si="30">FL11+FM11*$HI$8+FN11*$HJ$8</f>
        <v>78019.97833761551</v>
      </c>
      <c r="FP11">
        <v>2.34</v>
      </c>
      <c r="FQ11">
        <f t="shared" ref="FQ11:FQ29" si="31">FP11*FC11*FA11*1000000</f>
        <v>75621688.606684178</v>
      </c>
      <c r="FR11" s="237">
        <f t="shared" ref="FR11:FR29" si="32">FQ11/1000</f>
        <v>75621.688606684183</v>
      </c>
      <c r="FS11">
        <v>211</v>
      </c>
      <c r="FT11" s="237">
        <f t="shared" ref="FT11:FT29" si="33">FS11/10^6*FA11*10^6</f>
        <v>85235.984487234833</v>
      </c>
      <c r="FV11" s="237"/>
      <c r="FW11"/>
      <c r="FX11" s="16" t="s">
        <v>342</v>
      </c>
      <c r="FY11" s="16" t="s">
        <v>713</v>
      </c>
      <c r="FZ11" s="16" t="s">
        <v>714</v>
      </c>
      <c r="GA11" s="16"/>
      <c r="GB11"/>
      <c r="GC11"/>
      <c r="GD11" s="237"/>
      <c r="GF11" s="564" t="s">
        <v>711</v>
      </c>
      <c r="GG11" s="564">
        <v>4</v>
      </c>
      <c r="GH11" s="564">
        <v>3</v>
      </c>
      <c r="GI11" s="563">
        <v>0.75</v>
      </c>
      <c r="GJ11" s="578">
        <v>18.41</v>
      </c>
      <c r="GK11" s="579">
        <v>6721</v>
      </c>
      <c r="GM11" s="95">
        <f t="shared" si="7"/>
        <v>2.1645021645021645E-3</v>
      </c>
      <c r="GN11" s="95">
        <f t="shared" si="7"/>
        <v>2.9644268774703555E-3</v>
      </c>
      <c r="GP11" s="22">
        <f>GK11*GG11/1000000</f>
        <v>2.6884000000000002E-2</v>
      </c>
      <c r="GQ11" s="95">
        <f t="shared" si="8"/>
        <v>5.4715752360508565E-6</v>
      </c>
      <c r="GR11" s="95">
        <f t="shared" ref="GR11:GR15" si="34">GP11/$GP$38</f>
        <v>2.8831577098238367E-5</v>
      </c>
      <c r="GT11" t="s">
        <v>712</v>
      </c>
      <c r="GU11" t="s">
        <v>675</v>
      </c>
      <c r="GV11" s="101">
        <f>GR9</f>
        <v>0.44184216714474989</v>
      </c>
      <c r="GW11" s="22">
        <f t="shared" ref="GW11:GW18" si="35">GV11*$GT$9</f>
        <v>421.35100233677628</v>
      </c>
      <c r="GX11">
        <v>8</v>
      </c>
      <c r="GY11">
        <f>GX11/100</f>
        <v>0.08</v>
      </c>
      <c r="GZ11">
        <v>0.75</v>
      </c>
      <c r="HA11">
        <f>GZ11*GY11</f>
        <v>0.06</v>
      </c>
      <c r="HB11">
        <v>44.3</v>
      </c>
      <c r="HC11">
        <f>HB11*HA11</f>
        <v>2.6579999999999999</v>
      </c>
      <c r="HD11">
        <v>70.9769741921898</v>
      </c>
      <c r="HE11">
        <v>7.3169105356480999E-3</v>
      </c>
      <c r="HF11">
        <v>6.0998104818480998E-4</v>
      </c>
      <c r="HG11" s="22">
        <f>HC11*GW11</f>
        <v>1119.9509642111514</v>
      </c>
      <c r="HH11" s="22">
        <f t="shared" ref="HH11:HH28" si="36">$HG11*HD11</f>
        <v>79490.730683332979</v>
      </c>
      <c r="HI11" s="22">
        <f t="shared" ref="HI11:HI28" si="37">$HG11*HE11</f>
        <v>8.1945810094458214</v>
      </c>
      <c r="HJ11" s="22">
        <f t="shared" ref="HJ11:HJ28" si="38">$HG11*HF11</f>
        <v>0.68314886306510669</v>
      </c>
      <c r="HK11" s="437">
        <f t="shared" ref="HK11:HK28" si="39">HH11+HI11*$HI$8+HJ11*$HJ$8</f>
        <v>79901.213400309716</v>
      </c>
      <c r="HL11">
        <v>2.34</v>
      </c>
      <c r="HM11">
        <f>HL11*GY11*GW11*1000000</f>
        <v>78876907.637444511</v>
      </c>
      <c r="HN11" s="237">
        <f>HM11/1000</f>
        <v>78876.907637444514</v>
      </c>
      <c r="HO11">
        <v>211</v>
      </c>
      <c r="HP11" s="237">
        <f>HO11/10^6*GW11*10^6</f>
        <v>88905.061493059795</v>
      </c>
      <c r="HQ11" s="237"/>
      <c r="HS11" s="16" t="s">
        <v>342</v>
      </c>
      <c r="HT11" s="16" t="s">
        <v>713</v>
      </c>
      <c r="HU11" s="16" t="s">
        <v>714</v>
      </c>
      <c r="HV11" s="237"/>
      <c r="HX11" s="502" t="s">
        <v>711</v>
      </c>
      <c r="HY11" s="502">
        <v>5</v>
      </c>
      <c r="HZ11" s="502">
        <v>5</v>
      </c>
      <c r="IA11" s="504">
        <v>1</v>
      </c>
      <c r="IB11" s="502">
        <v>18.41</v>
      </c>
      <c r="IC11" s="503">
        <v>6721</v>
      </c>
      <c r="IE11" s="95">
        <f t="shared" si="9"/>
        <v>2.8216704288939053E-3</v>
      </c>
      <c r="IF11" s="95">
        <f t="shared" si="9"/>
        <v>5.6947608200455585E-3</v>
      </c>
      <c r="IH11" s="22">
        <f>IC11*HY11/1000000</f>
        <v>3.3605000000000003E-2</v>
      </c>
      <c r="II11" s="95">
        <f t="shared" ref="II11:II35" si="40">IH11/$JZ$36</f>
        <v>8.0639591708623635E-6</v>
      </c>
      <c r="IJ11" s="95">
        <f t="shared" ref="IJ11:IJ15" si="41">IH11/$IH$37</f>
        <v>4.6591290383754777E-5</v>
      </c>
      <c r="IL11" t="s">
        <v>712</v>
      </c>
      <c r="IM11" t="s">
        <v>675</v>
      </c>
      <c r="IN11" s="101">
        <f>IJ9</f>
        <v>0.47221222705918958</v>
      </c>
      <c r="IO11" s="22">
        <f t="shared" ref="IO11:IO18" si="42">IN11*$IL$9</f>
        <v>446.82617850550645</v>
      </c>
      <c r="IP11">
        <v>8</v>
      </c>
      <c r="IQ11">
        <f>IP11/100</f>
        <v>0.08</v>
      </c>
      <c r="IR11">
        <v>0.75</v>
      </c>
      <c r="IS11">
        <f>IR11*IQ11</f>
        <v>0.06</v>
      </c>
      <c r="IT11">
        <v>44.3</v>
      </c>
      <c r="IU11">
        <f>IT11*IS11</f>
        <v>2.6579999999999999</v>
      </c>
      <c r="IV11">
        <v>70.9769741921898</v>
      </c>
      <c r="IW11">
        <v>7.3169105356480999E-3</v>
      </c>
      <c r="IX11">
        <v>6.0998104818480998E-4</v>
      </c>
      <c r="IY11" s="22">
        <f t="shared" ref="IY11:IY28" si="43">IU11*IO11</f>
        <v>1187.6639824676361</v>
      </c>
      <c r="IZ11" s="22">
        <f t="shared" ref="IZ11:IZ28" si="44">$IY11*IV11</f>
        <v>84296.795832598771</v>
      </c>
      <c r="JA11" s="22">
        <f t="shared" ref="JA11:JA28" si="45">$IY11*IW11</f>
        <v>8.6900311061272273</v>
      </c>
      <c r="JB11" s="22">
        <f t="shared" ref="JB11:JB28" si="46">$IY11*IX11</f>
        <v>0.72445252091695445</v>
      </c>
      <c r="JC11" s="437">
        <f t="shared" ref="JC11:JC28" si="47">IZ11+JA11*$JA$8+JB11*$JB$8</f>
        <v>84732.096621613338</v>
      </c>
      <c r="JD11">
        <v>2.34</v>
      </c>
      <c r="JE11">
        <f t="shared" ref="JE11:JE28" si="48">JD11*IQ11*IO11*1000000</f>
        <v>83645860.616230801</v>
      </c>
      <c r="JF11" s="237">
        <f>JE11/1000</f>
        <v>83645.860616230799</v>
      </c>
      <c r="JG11">
        <v>211</v>
      </c>
      <c r="JH11" s="237">
        <f t="shared" ref="JH11:JH28" si="49">JG11/10^6*IO11*10^6</f>
        <v>94280.323664661861</v>
      </c>
      <c r="JK11" s="16" t="s">
        <v>342</v>
      </c>
      <c r="JL11" s="16" t="s">
        <v>713</v>
      </c>
      <c r="JM11" s="16" t="s">
        <v>714</v>
      </c>
      <c r="JP11" s="417" t="s">
        <v>711</v>
      </c>
      <c r="JQ11" s="410">
        <v>6</v>
      </c>
      <c r="JR11" s="410">
        <v>5</v>
      </c>
      <c r="JS11" s="409">
        <v>0.83</v>
      </c>
      <c r="JT11" s="410">
        <v>23.05</v>
      </c>
      <c r="JU11" s="418">
        <v>8412</v>
      </c>
      <c r="JW11" s="95">
        <f t="shared" si="10"/>
        <v>3.4305317324185248E-3</v>
      </c>
      <c r="JX11" s="95">
        <f t="shared" si="10"/>
        <v>6.2893081761006293E-3</v>
      </c>
      <c r="JZ11" s="22">
        <f>JU11*JQ11/1000000</f>
        <v>5.0472000000000003E-2</v>
      </c>
      <c r="KA11" s="95">
        <f t="shared" si="11"/>
        <v>1.2111416374699157E-5</v>
      </c>
      <c r="KC11" t="s">
        <v>712</v>
      </c>
      <c r="KD11" t="s">
        <v>675</v>
      </c>
      <c r="KE11" s="101">
        <f>KA9</f>
        <v>0.41374882664474832</v>
      </c>
      <c r="KF11" s="22">
        <f t="shared" ref="KF11:KF28" si="50">KE11*$LB$9</f>
        <v>439.77092431707712</v>
      </c>
      <c r="KG11">
        <v>8</v>
      </c>
      <c r="KH11">
        <f t="shared" ref="KH11:KH17" si="51">KG11/100</f>
        <v>0.08</v>
      </c>
      <c r="KI11">
        <v>0.75</v>
      </c>
      <c r="KJ11">
        <f t="shared" ref="KJ11:KJ17" si="52">KI11*KH11</f>
        <v>0.06</v>
      </c>
      <c r="KK11">
        <v>44.3</v>
      </c>
      <c r="KL11">
        <f t="shared" ref="KL11:KL17" si="53">KK11*KJ11</f>
        <v>2.6579999999999999</v>
      </c>
      <c r="KM11">
        <v>72.416541095973002</v>
      </c>
      <c r="KN11">
        <f>7.87852632644844/1000</f>
        <v>7.8785263264484397E-3</v>
      </c>
      <c r="KO11">
        <f>0.93521034397128/1000</f>
        <v>9.3521034397127997E-4</v>
      </c>
      <c r="KP11" s="22">
        <f t="shared" ref="KP11:KP28" si="54">KL11*KF11</f>
        <v>1168.9111168347908</v>
      </c>
      <c r="KQ11" s="22">
        <f t="shared" ref="KQ11:KQ28" si="55">$KP11*KM11</f>
        <v>84648.499929806334</v>
      </c>
      <c r="KR11" s="22">
        <f t="shared" ref="KR11:KR28" si="56">$KP11*KN11</f>
        <v>9.2092970072611475</v>
      </c>
      <c r="KS11" s="22">
        <f t="shared" ref="KS11:KS28" si="57">$KP11*KO11</f>
        <v>1.0931777676469179</v>
      </c>
      <c r="KT11" s="437">
        <f t="shared" ref="KT11:KT28" si="58">KQ11+KR11*$KR$8+KS11*$KS$8</f>
        <v>85196.052354436077</v>
      </c>
      <c r="KU11">
        <v>2.34</v>
      </c>
      <c r="KV11">
        <f t="shared" ref="KV11:KV28" si="59">KU11*KH11*KF11*1000000</f>
        <v>82325117.03215684</v>
      </c>
      <c r="KW11" s="237">
        <f t="shared" ref="KW11:KW17" si="60">KV11/1000</f>
        <v>82325.117032156835</v>
      </c>
      <c r="KX11">
        <v>211</v>
      </c>
      <c r="KY11" s="237">
        <f t="shared" ref="KY11:KY28" si="61">KX11/10^6*KF11*10^6</f>
        <v>92791.66503090327</v>
      </c>
      <c r="LB11" s="16" t="s">
        <v>342</v>
      </c>
      <c r="LC11" s="16" t="s">
        <v>713</v>
      </c>
      <c r="LD11" s="16" t="s">
        <v>714</v>
      </c>
      <c r="LF11" s="90" t="s">
        <v>711</v>
      </c>
      <c r="LG11" s="93">
        <v>6</v>
      </c>
      <c r="LH11" s="93">
        <v>4</v>
      </c>
      <c r="LI11" s="92">
        <v>0.67</v>
      </c>
      <c r="LJ11" s="93">
        <v>80.099999999999994</v>
      </c>
      <c r="LK11" s="94">
        <v>29237</v>
      </c>
      <c r="LM11" s="95">
        <f t="shared" si="19"/>
        <v>3.3482142857142855E-3</v>
      </c>
      <c r="LN11" s="95">
        <f t="shared" si="19"/>
        <v>4.048582995951417E-3</v>
      </c>
      <c r="LP11" s="22">
        <f t="shared" si="12"/>
        <v>0.17542199999999999</v>
      </c>
      <c r="LQ11" s="95">
        <f t="shared" si="13"/>
        <v>4.12978389741252E-5</v>
      </c>
      <c r="LS11" t="s">
        <v>712</v>
      </c>
      <c r="LT11" t="s">
        <v>675</v>
      </c>
      <c r="LU11" s="101">
        <f>LQ9</f>
        <v>0.43324749774321492</v>
      </c>
      <c r="LV11" s="22">
        <f t="shared" ref="LV11:LV28" si="62">LU11*MR$9</f>
        <v>518.15791575097069</v>
      </c>
      <c r="LW11">
        <v>8</v>
      </c>
      <c r="LX11">
        <f>LW11/100</f>
        <v>0.08</v>
      </c>
      <c r="LY11">
        <v>0.75</v>
      </c>
      <c r="LZ11">
        <f>LY11*LX11</f>
        <v>0.06</v>
      </c>
      <c r="MA11">
        <v>44.3</v>
      </c>
      <c r="MB11">
        <f>MA11*LZ11</f>
        <v>2.6579999999999999</v>
      </c>
      <c r="MC11">
        <v>72.416541095972974</v>
      </c>
      <c r="MD11">
        <f>7.87852632644844/1000</f>
        <v>7.8785263264484397E-3</v>
      </c>
      <c r="ME11">
        <f>0.93521034397128/1000</f>
        <v>9.3521034397127997E-4</v>
      </c>
      <c r="MF11" s="22">
        <f t="shared" ref="MF11:MF28" si="63">MB11*LV11</f>
        <v>1377.2637400660801</v>
      </c>
      <c r="MG11" s="22">
        <f t="shared" ref="MG11:MG28" si="64">$MF11*MC11</f>
        <v>99736.676232488724</v>
      </c>
      <c r="MH11" s="22">
        <f t="shared" ref="MH11:MH28" si="65">$MF11*MD11</f>
        <v>10.850808634573452</v>
      </c>
      <c r="MI11" s="22">
        <f t="shared" ref="MI11:MI28" si="66">$MF11*ME11</f>
        <v>1.2880312960863702</v>
      </c>
      <c r="MJ11" s="437">
        <f t="shared" ref="MJ11:MJ28" si="67">MG11+MH11*$KR$8+MI11*$KS$8</f>
        <v>100381.82716771968</v>
      </c>
      <c r="MK11">
        <v>2.34</v>
      </c>
      <c r="ML11">
        <f t="shared" ref="ML11:ML28" si="68">MK11*LX11*LV11*1000000</f>
        <v>96999161.828581721</v>
      </c>
      <c r="MM11" s="237">
        <f>ML11/1000</f>
        <v>96999.161828581724</v>
      </c>
      <c r="MN11">
        <v>211</v>
      </c>
      <c r="MO11" s="237">
        <f t="shared" ref="MO11:MO28" si="69">MN11/10^6*LV11*10^6</f>
        <v>109331.32022345482</v>
      </c>
      <c r="MR11" s="16" t="s">
        <v>342</v>
      </c>
      <c r="MS11" s="16" t="s">
        <v>713</v>
      </c>
      <c r="MT11" s="16" t="s">
        <v>714</v>
      </c>
      <c r="MV11" s="417" t="s">
        <v>711</v>
      </c>
      <c r="MW11" s="410">
        <v>6</v>
      </c>
      <c r="MX11" s="410">
        <v>4</v>
      </c>
      <c r="MY11" s="409">
        <v>0.67</v>
      </c>
      <c r="MZ11" s="410">
        <v>87.43</v>
      </c>
      <c r="NA11" s="418">
        <v>31911</v>
      </c>
      <c r="NC11" s="95">
        <f t="shared" si="14"/>
        <v>3.4285714285714284E-3</v>
      </c>
      <c r="ND11" s="95">
        <f t="shared" si="14"/>
        <v>4.206098843322818E-3</v>
      </c>
      <c r="NF11" s="22">
        <f t="shared" si="15"/>
        <v>0.191466</v>
      </c>
      <c r="NG11" s="95">
        <f t="shared" si="16"/>
        <v>4.5074916698132824E-5</v>
      </c>
      <c r="NI11" t="s">
        <v>712</v>
      </c>
      <c r="NJ11" t="s">
        <v>675</v>
      </c>
      <c r="NK11" s="101">
        <f>NG9</f>
        <v>0.44840498268816309</v>
      </c>
      <c r="NL11" s="22">
        <f t="shared" ref="NL11:NL28" si="70">NK11*OH$9</f>
        <v>530.40538379079294</v>
      </c>
      <c r="NM11">
        <v>8</v>
      </c>
      <c r="NN11">
        <f>NM11/100</f>
        <v>0.08</v>
      </c>
      <c r="NO11">
        <v>0.75</v>
      </c>
      <c r="NP11">
        <f>NO11*NN11</f>
        <v>0.06</v>
      </c>
      <c r="NQ11">
        <v>44.3</v>
      </c>
      <c r="NR11">
        <f>NQ11*NP11</f>
        <v>2.6579999999999999</v>
      </c>
      <c r="NS11">
        <v>72.416541095972974</v>
      </c>
      <c r="NT11">
        <f>7.87852632644844/1000</f>
        <v>7.8785263264484397E-3</v>
      </c>
      <c r="NU11">
        <f>0.93521034397128/1000</f>
        <v>9.3521034397127997E-4</v>
      </c>
      <c r="NV11" s="22">
        <f t="shared" ref="NV11:NV28" si="71">NR11*NL11</f>
        <v>1409.8175101159277</v>
      </c>
      <c r="NW11" s="22">
        <f t="shared" ref="NW11:NW28" si="72">$NV11*NS11</f>
        <v>102094.10765913237</v>
      </c>
      <c r="NX11" s="22">
        <f t="shared" ref="NX11:NX28" si="73">$NV11*NT11</f>
        <v>11.107284368936325</v>
      </c>
      <c r="NY11" s="22">
        <f t="shared" ref="NY11:NY28" si="74">$NV11*NU11</f>
        <v>1.3184759185722501</v>
      </c>
      <c r="NZ11" s="437">
        <f t="shared" ref="NZ11:NZ28" si="75">NW11+NX11*$KR$8+NY11*$KS$8</f>
        <v>102754.50773988423</v>
      </c>
      <c r="OA11">
        <v>2.34</v>
      </c>
      <c r="OB11">
        <f t="shared" ref="OB11:OB28" si="76">OA11*NN11*NL11*1000000</f>
        <v>99291887.845636442</v>
      </c>
      <c r="OC11" s="237">
        <f>OB11/1000</f>
        <v>99291.887845636447</v>
      </c>
      <c r="OD11">
        <v>207</v>
      </c>
      <c r="OE11" s="237">
        <f t="shared" ref="OE11:OE28" si="77">OD11/10^6*NL11*10^6</f>
        <v>109793.91444469414</v>
      </c>
      <c r="OH11" s="16" t="s">
        <v>342</v>
      </c>
      <c r="OI11" s="16" t="s">
        <v>713</v>
      </c>
      <c r="OJ11" s="16" t="s">
        <v>714</v>
      </c>
      <c r="OM11" s="16" t="s">
        <v>342</v>
      </c>
      <c r="ON11" s="16" t="s">
        <v>713</v>
      </c>
      <c r="OO11" s="16" t="s">
        <v>714</v>
      </c>
      <c r="OR11" s="16" t="s">
        <v>342</v>
      </c>
      <c r="OS11" s="16" t="s">
        <v>713</v>
      </c>
      <c r="OT11" s="16" t="s">
        <v>714</v>
      </c>
    </row>
    <row r="12" spans="1:410" ht="16.5" customHeight="1" thickBot="1" x14ac:dyDescent="0.5">
      <c r="A12" s="981"/>
      <c r="B12" s="159" t="s">
        <v>715</v>
      </c>
      <c r="C12" s="160">
        <v>39806</v>
      </c>
      <c r="D12" s="161">
        <v>37070.580282304945</v>
      </c>
      <c r="E12" s="162">
        <v>35244</v>
      </c>
      <c r="F12" s="163">
        <v>112120.58028230495</v>
      </c>
      <c r="G12" s="200">
        <v>216678.58028230496</v>
      </c>
      <c r="H12" s="156"/>
      <c r="I12" s="157"/>
      <c r="J12" s="157"/>
      <c r="K12" s="157"/>
      <c r="L12" s="164"/>
      <c r="M12" s="285"/>
      <c r="N12" s="157"/>
      <c r="O12" s="157"/>
      <c r="P12" s="157"/>
      <c r="Q12" s="157"/>
      <c r="AK12" s="701" t="s">
        <v>709</v>
      </c>
      <c r="AL12" s="695">
        <v>6</v>
      </c>
      <c r="AP12" s="747" t="s">
        <v>716</v>
      </c>
      <c r="AQ12" s="739">
        <v>1012</v>
      </c>
      <c r="AR12" s="740">
        <v>592</v>
      </c>
      <c r="AS12" s="773">
        <f t="shared" si="0"/>
        <v>0.58498023715415015</v>
      </c>
      <c r="AT12" s="740">
        <v>25.6</v>
      </c>
      <c r="AU12" s="738">
        <v>9355</v>
      </c>
      <c r="AW12" s="95">
        <f t="shared" si="1"/>
        <v>0.1251700680272109</v>
      </c>
      <c r="AX12" s="95">
        <f t="shared" si="2"/>
        <v>0.11457325333849429</v>
      </c>
      <c r="AY12">
        <f>AQ12*AU12/1000000</f>
        <v>9.4672599999999996</v>
      </c>
      <c r="BA12" s="95">
        <f t="shared" si="17"/>
        <v>7.2526353148150225E-3</v>
      </c>
      <c r="BB12" s="95"/>
      <c r="BC12" s="95"/>
      <c r="BE12" t="s">
        <v>717</v>
      </c>
      <c r="BF12" s="101">
        <f>BA16</f>
        <v>0.26199812329904443</v>
      </c>
      <c r="BG12" s="22">
        <f t="shared" ref="BG12:BG29" si="78">BF12*$EB$9</f>
        <v>303.56196352658981</v>
      </c>
      <c r="BH12">
        <v>10.5</v>
      </c>
      <c r="BI12">
        <f>BH12/100</f>
        <v>0.105</v>
      </c>
      <c r="BJ12">
        <v>0.86499999999999999</v>
      </c>
      <c r="BK12">
        <f>BJ12*BI12</f>
        <v>9.0824999999999989E-2</v>
      </c>
      <c r="BL12">
        <v>43</v>
      </c>
      <c r="BM12">
        <f t="shared" ref="BM12:BM29" si="79">BL12*BK12</f>
        <v>3.9054749999999996</v>
      </c>
      <c r="BN12">
        <v>73.510933419407607</v>
      </c>
      <c r="BO12">
        <v>5.406312413867E-5</v>
      </c>
      <c r="BP12">
        <v>2.5456284629589302E-3</v>
      </c>
      <c r="BQ12" s="22">
        <f>BM12*BG12</f>
        <v>1185.5536595040082</v>
      </c>
      <c r="BR12" s="22">
        <f t="shared" ref="BR12" si="80">$DO12*BN12</f>
        <v>87151.156128934192</v>
      </c>
      <c r="BS12" s="22">
        <f t="shared" ref="BS12:BS29" si="81">$DO12*BO12</f>
        <v>6.4094734666819697E-2</v>
      </c>
      <c r="BT12" s="22">
        <f t="shared" ref="BT12:BT29" si="82">$DO12*BP12</f>
        <v>3.0179791399985234</v>
      </c>
      <c r="BU12" s="437">
        <f t="shared" si="20"/>
        <v>87952.71525360446</v>
      </c>
      <c r="BV12">
        <v>2.72</v>
      </c>
      <c r="BW12">
        <f>BV12*BI12*BG12*1000000</f>
        <v>86697296.78319405</v>
      </c>
      <c r="BX12" s="237">
        <f t="shared" ref="BX12:BX29" si="83">BW12/1000</f>
        <v>86697.296783194048</v>
      </c>
      <c r="BY12">
        <v>188</v>
      </c>
      <c r="BZ12" s="237">
        <f t="shared" ref="BZ12:BZ29" si="84">BY12/10^6*BG12*10^6</f>
        <v>57069.649142998882</v>
      </c>
      <c r="CA12" s="237"/>
      <c r="CB12" s="237"/>
      <c r="CI12" s="701" t="s">
        <v>709</v>
      </c>
      <c r="CJ12" s="695">
        <v>6</v>
      </c>
      <c r="CN12" s="747" t="s">
        <v>716</v>
      </c>
      <c r="CO12" s="739">
        <v>1012</v>
      </c>
      <c r="CP12" s="740">
        <v>592</v>
      </c>
      <c r="CQ12" s="773">
        <f t="shared" si="3"/>
        <v>0.58498023715415015</v>
      </c>
      <c r="CR12" s="740">
        <v>25.6</v>
      </c>
      <c r="CS12" s="738">
        <v>9355</v>
      </c>
      <c r="CU12" s="95">
        <f t="shared" si="4"/>
        <v>0.1251700680272109</v>
      </c>
      <c r="CV12" s="95">
        <f t="shared" si="4"/>
        <v>0.11457325333849429</v>
      </c>
      <c r="CW12">
        <f>CO12*CS12/1000000</f>
        <v>9.4672599999999996</v>
      </c>
      <c r="CY12" s="95">
        <f t="shared" si="18"/>
        <v>7.2526353148150225E-3</v>
      </c>
      <c r="CZ12" s="95"/>
      <c r="DA12" s="95"/>
      <c r="DC12" t="s">
        <v>717</v>
      </c>
      <c r="DD12" s="101">
        <f>CY16</f>
        <v>0.26199812329904443</v>
      </c>
      <c r="DE12" s="22">
        <f t="shared" ref="DE12:DE29" si="85">DD12*$EB$9</f>
        <v>303.56196352658981</v>
      </c>
      <c r="DF12">
        <v>10.5</v>
      </c>
      <c r="DG12">
        <f>DF12/100</f>
        <v>0.105</v>
      </c>
      <c r="DH12">
        <v>0.86499999999999999</v>
      </c>
      <c r="DI12">
        <f>DH12*DG12</f>
        <v>9.0824999999999989E-2</v>
      </c>
      <c r="DJ12">
        <v>43</v>
      </c>
      <c r="DK12">
        <f t="shared" ref="DK12:DK29" si="86">DJ12*DI12</f>
        <v>3.9054749999999996</v>
      </c>
      <c r="DL12">
        <v>73.510933419407607</v>
      </c>
      <c r="DM12">
        <v>5.406312413867E-5</v>
      </c>
      <c r="DN12">
        <v>2.5456284629589302E-3</v>
      </c>
      <c r="DO12" s="22">
        <f>DK12*DE12</f>
        <v>1185.5536595040082</v>
      </c>
      <c r="DP12" s="22">
        <f t="shared" ref="DP12:DP29" si="87">$DO12*DL12</f>
        <v>87151.156128934192</v>
      </c>
      <c r="DQ12" s="22">
        <f t="shared" ref="DQ12:DQ29" si="88">$DO12*DM12</f>
        <v>6.4094734666819697E-2</v>
      </c>
      <c r="DR12" s="22">
        <f t="shared" ref="DR12:DR29" si="89">$DO12*DN12</f>
        <v>3.0179791399985234</v>
      </c>
      <c r="DS12" s="437">
        <f t="shared" si="21"/>
        <v>87952.71525360446</v>
      </c>
      <c r="DT12">
        <v>2.72</v>
      </c>
      <c r="DU12">
        <f>DT12*DG12*DE12*1000000</f>
        <v>86697296.78319405</v>
      </c>
      <c r="DV12" s="237">
        <f t="shared" ref="DV12:DV29" si="90">DU12/1000</f>
        <v>86697.296783194048</v>
      </c>
      <c r="DW12">
        <v>188</v>
      </c>
      <c r="DX12" s="237">
        <f t="shared" ref="DX12:DX29" si="91">DW12/10^6*DE12*10^6</f>
        <v>57069.649142998882</v>
      </c>
      <c r="DY12" s="237"/>
      <c r="DZ12" s="237"/>
      <c r="EJ12" s="565" t="s">
        <v>716</v>
      </c>
      <c r="EK12" s="567">
        <v>5931</v>
      </c>
      <c r="EL12" s="567">
        <v>2894</v>
      </c>
      <c r="EM12" s="566">
        <v>0.49</v>
      </c>
      <c r="EN12" s="565">
        <v>29.76</v>
      </c>
      <c r="EO12" s="572">
        <v>10862</v>
      </c>
      <c r="EQ12" s="95">
        <f t="shared" si="5"/>
        <v>0.18268904974588018</v>
      </c>
      <c r="ER12" s="95">
        <f t="shared" si="5"/>
        <v>0.14985501242750621</v>
      </c>
      <c r="ES12">
        <f>EK12*EO12/1000000</f>
        <v>64.422522000000001</v>
      </c>
      <c r="EU12" s="95">
        <f t="shared" si="6"/>
        <v>1.2963623666463293E-2</v>
      </c>
      <c r="EV12" s="95">
        <f t="shared" si="22"/>
        <v>6.7825760660763582E-2</v>
      </c>
      <c r="EY12" t="s">
        <v>717</v>
      </c>
      <c r="EZ12" s="101">
        <f>EV16</f>
        <v>0.36072800449964387</v>
      </c>
      <c r="FA12" s="22">
        <f>EZ12*$EX$9</f>
        <v>361.16589860342873</v>
      </c>
      <c r="FB12">
        <v>10.5</v>
      </c>
      <c r="FC12">
        <f t="shared" si="23"/>
        <v>0.105</v>
      </c>
      <c r="FD12">
        <v>0.86499999999999999</v>
      </c>
      <c r="FE12">
        <f t="shared" si="24"/>
        <v>9.0824999999999989E-2</v>
      </c>
      <c r="FF12">
        <v>43</v>
      </c>
      <c r="FG12">
        <f t="shared" si="25"/>
        <v>3.9054749999999996</v>
      </c>
      <c r="FH12">
        <v>73.510933419407607</v>
      </c>
      <c r="FI12">
        <v>5.406312413867E-5</v>
      </c>
      <c r="FJ12">
        <v>2.5456284629589302E-3</v>
      </c>
      <c r="FK12" s="22">
        <f t="shared" si="26"/>
        <v>1410.5243878482256</v>
      </c>
      <c r="FL12" s="22">
        <f t="shared" si="27"/>
        <v>103688.96436156158</v>
      </c>
      <c r="FM12" s="22">
        <f t="shared" si="28"/>
        <v>7.6257355080860137E-2</v>
      </c>
      <c r="FN12" s="22">
        <f t="shared" si="29"/>
        <v>3.5906710294041644</v>
      </c>
      <c r="FO12" s="437">
        <f t="shared" si="30"/>
        <v>104642.62739029595</v>
      </c>
      <c r="FP12">
        <v>2.72</v>
      </c>
      <c r="FQ12">
        <f t="shared" si="31"/>
        <v>103148980.64113924</v>
      </c>
      <c r="FR12" s="237">
        <f t="shared" si="32"/>
        <v>103148.98064113923</v>
      </c>
      <c r="FS12">
        <v>187.9</v>
      </c>
      <c r="FT12" s="237">
        <f t="shared" si="33"/>
        <v>67863.072347584268</v>
      </c>
      <c r="FV12" s="237"/>
      <c r="FW12"/>
      <c r="FX12"/>
      <c r="FY12"/>
      <c r="FZ12"/>
      <c r="GA12"/>
      <c r="GB12"/>
      <c r="GC12"/>
      <c r="GD12" s="237"/>
      <c r="GF12" s="565" t="s">
        <v>716</v>
      </c>
      <c r="GG12" s="567">
        <v>5809</v>
      </c>
      <c r="GH12" s="567">
        <v>2878</v>
      </c>
      <c r="GI12" s="566">
        <v>0.5</v>
      </c>
      <c r="GJ12" s="565">
        <v>30.37</v>
      </c>
      <c r="GK12" s="572">
        <v>11085</v>
      </c>
      <c r="GM12" s="95">
        <f t="shared" si="7"/>
        <v>0.1821745538934362</v>
      </c>
      <c r="GN12" s="95">
        <f t="shared" si="7"/>
        <v>0.16202218093790463</v>
      </c>
      <c r="GP12" s="22">
        <f>GK12*GG12/1000000</f>
        <v>64.392764999999997</v>
      </c>
      <c r="GQ12" s="95">
        <f t="shared" si="8"/>
        <v>1.3105559379364763E-2</v>
      </c>
      <c r="GR12" s="95">
        <f t="shared" si="34"/>
        <v>6.9057616748484041E-2</v>
      </c>
      <c r="GU12" t="s">
        <v>717</v>
      </c>
      <c r="GV12" s="101">
        <f>GR16</f>
        <v>0.37846413363544068</v>
      </c>
      <c r="GW12" s="22">
        <f t="shared" si="35"/>
        <v>360.91223046072599</v>
      </c>
      <c r="GX12">
        <v>10.5</v>
      </c>
      <c r="GY12">
        <f t="shared" ref="GY12:GY28" si="92">GX12/100</f>
        <v>0.105</v>
      </c>
      <c r="GZ12">
        <v>0.86499999999999999</v>
      </c>
      <c r="HA12">
        <f t="shared" ref="HA12:HA28" si="93">GZ12*GY12</f>
        <v>9.0824999999999989E-2</v>
      </c>
      <c r="HB12">
        <v>43</v>
      </c>
      <c r="HC12">
        <f t="shared" ref="HC12:HC28" si="94">HB12*HA12</f>
        <v>3.9054749999999996</v>
      </c>
      <c r="HD12">
        <v>74.054734089485606</v>
      </c>
      <c r="HE12">
        <v>1.1457692289250001E-4</v>
      </c>
      <c r="HF12">
        <v>2.5659043229536902E-3</v>
      </c>
      <c r="HG12" s="22">
        <f t="shared" ref="HG12:HG28" si="95">HC12*GW12</f>
        <v>1409.5336932586038</v>
      </c>
      <c r="HH12" s="22">
        <f t="shared" si="36"/>
        <v>104382.64284443647</v>
      </c>
      <c r="HI12" s="22">
        <f t="shared" si="37"/>
        <v>0.16150003328687179</v>
      </c>
      <c r="HJ12" s="22">
        <f t="shared" si="38"/>
        <v>3.6167285968811322</v>
      </c>
      <c r="HK12" s="437">
        <f t="shared" si="39"/>
        <v>105345.59792354201</v>
      </c>
      <c r="HL12">
        <v>2.72</v>
      </c>
      <c r="HM12">
        <f t="shared" ref="HM12:HM28" si="96">HL12*GY12*GW12*1000000</f>
        <v>103076533.01958334</v>
      </c>
      <c r="HN12" s="237">
        <f t="shared" ref="HN12:HN28" si="97">HM12/1000</f>
        <v>103076.53301958334</v>
      </c>
      <c r="HO12">
        <v>187.9</v>
      </c>
      <c r="HP12" s="237">
        <f t="shared" ref="HP12:HP28" si="98">HO12/10^6*GW12*10^6</f>
        <v>67815.408103570429</v>
      </c>
      <c r="HQ12" s="237"/>
      <c r="HV12" s="237"/>
      <c r="HX12" s="505" t="s">
        <v>716</v>
      </c>
      <c r="HY12" s="507">
        <v>5806</v>
      </c>
      <c r="HZ12" s="507">
        <v>2916</v>
      </c>
      <c r="IA12" s="506">
        <v>0.5</v>
      </c>
      <c r="IB12" s="505">
        <v>27.27</v>
      </c>
      <c r="IC12" s="507">
        <v>9954</v>
      </c>
      <c r="IE12" s="95">
        <f t="shared" si="9"/>
        <v>0.19156026262826223</v>
      </c>
      <c r="IF12" s="95">
        <f t="shared" si="9"/>
        <v>0.17446452076103866</v>
      </c>
      <c r="IH12" s="22">
        <f>IC12*HY12/1000000</f>
        <v>57.792923999999999</v>
      </c>
      <c r="II12" s="95">
        <f t="shared" si="40"/>
        <v>1.3868167817311457E-2</v>
      </c>
      <c r="IJ12" s="95">
        <f t="shared" si="41"/>
        <v>8.012637715251511E-2</v>
      </c>
      <c r="IM12" t="s">
        <v>717</v>
      </c>
      <c r="IN12" s="101">
        <f>IJ16</f>
        <v>0.39091665694198569</v>
      </c>
      <c r="IO12" s="22">
        <f t="shared" si="42"/>
        <v>369.90104433200378</v>
      </c>
      <c r="IP12">
        <v>10.5</v>
      </c>
      <c r="IQ12">
        <f t="shared" ref="IQ12:IQ28" si="99">IP12/100</f>
        <v>0.105</v>
      </c>
      <c r="IR12">
        <v>0.86499999999999999</v>
      </c>
      <c r="IS12">
        <f t="shared" ref="IS12:IS28" si="100">IR12*IQ12</f>
        <v>9.0824999999999989E-2</v>
      </c>
      <c r="IT12">
        <v>43</v>
      </c>
      <c r="IU12">
        <f t="shared" ref="IU12:IU28" si="101">IT12*IS12</f>
        <v>3.9054749999999996</v>
      </c>
      <c r="IV12">
        <v>74.054734089485606</v>
      </c>
      <c r="IW12">
        <v>1.1457692289250001E-4</v>
      </c>
      <c r="IX12">
        <v>2.5659043229536902E-3</v>
      </c>
      <c r="IY12" s="22">
        <f t="shared" si="43"/>
        <v>1444.6392811125322</v>
      </c>
      <c r="IZ12" s="22">
        <f t="shared" si="44"/>
        <v>106982.37781801423</v>
      </c>
      <c r="JA12" s="22">
        <f t="shared" si="45"/>
        <v>0.16552232351950724</v>
      </c>
      <c r="JB12" s="22">
        <f t="shared" si="46"/>
        <v>3.7068061765153577</v>
      </c>
      <c r="JC12" s="437">
        <f t="shared" si="47"/>
        <v>107969.31607984935</v>
      </c>
      <c r="JD12">
        <v>2.72</v>
      </c>
      <c r="JE12">
        <f t="shared" si="48"/>
        <v>105643738.26122029</v>
      </c>
      <c r="JF12" s="237">
        <f t="shared" ref="JF12:JF28" si="102">JE12/1000</f>
        <v>105643.73826122029</v>
      </c>
      <c r="JG12">
        <v>187.9</v>
      </c>
      <c r="JH12" s="237">
        <f t="shared" si="49"/>
        <v>69504.406229983506</v>
      </c>
      <c r="JP12" s="419" t="s">
        <v>716</v>
      </c>
      <c r="JQ12" s="413">
        <v>6011</v>
      </c>
      <c r="JR12" s="413">
        <v>2928</v>
      </c>
      <c r="JS12" s="412">
        <v>0.49</v>
      </c>
      <c r="JT12" s="411">
        <v>27.99</v>
      </c>
      <c r="JU12" s="420">
        <v>10214</v>
      </c>
      <c r="JW12" s="95">
        <f t="shared" si="10"/>
        <v>0.20403244967923695</v>
      </c>
      <c r="JX12" s="95">
        <f t="shared" si="10"/>
        <v>0.19220165419456478</v>
      </c>
      <c r="JZ12" s="22">
        <f>JU12*JQ12/1000000</f>
        <v>61.396354000000002</v>
      </c>
      <c r="KA12" s="95">
        <f t="shared" si="11"/>
        <v>1.4732857964463981E-2</v>
      </c>
      <c r="KD12" t="s">
        <v>717</v>
      </c>
      <c r="KE12" s="101">
        <f>KA16</f>
        <v>0.3287220032145618</v>
      </c>
      <c r="KF12" s="22">
        <f t="shared" si="50"/>
        <v>349.3964692766433</v>
      </c>
      <c r="KG12">
        <v>10.5</v>
      </c>
      <c r="KH12">
        <f t="shared" si="51"/>
        <v>0.105</v>
      </c>
      <c r="KI12">
        <v>0.86499999999999999</v>
      </c>
      <c r="KJ12">
        <f t="shared" si="52"/>
        <v>9.0824999999999989E-2</v>
      </c>
      <c r="KK12">
        <v>43</v>
      </c>
      <c r="KL12">
        <f t="shared" si="53"/>
        <v>3.9054749999999996</v>
      </c>
      <c r="KM12">
        <v>73.367636682232202</v>
      </c>
      <c r="KN12">
        <f>0.06636778941357/1000</f>
        <v>6.6367789413569991E-5</v>
      </c>
      <c r="KO12">
        <f>2.52657658902305/1000</f>
        <v>2.5265765890230499E-3</v>
      </c>
      <c r="KP12" s="22">
        <f t="shared" si="54"/>
        <v>1364.5591758481983</v>
      </c>
      <c r="KQ12" s="22">
        <f t="shared" si="55"/>
        <v>100114.48184503682</v>
      </c>
      <c r="KR12" s="22">
        <f t="shared" si="56"/>
        <v>9.056277602504785E-2</v>
      </c>
      <c r="KS12" s="22">
        <f t="shared" si="57"/>
        <v>3.4476632680346451</v>
      </c>
      <c r="KT12" s="437">
        <f t="shared" si="58"/>
        <v>101030.6483687947</v>
      </c>
      <c r="KU12">
        <v>2.72</v>
      </c>
      <c r="KV12">
        <f t="shared" si="59"/>
        <v>99787631.625409335</v>
      </c>
      <c r="KW12" s="237">
        <f t="shared" si="60"/>
        <v>99787.63162540934</v>
      </c>
      <c r="KX12">
        <v>187.9</v>
      </c>
      <c r="KY12" s="237">
        <f t="shared" si="61"/>
        <v>65651.596577081276</v>
      </c>
      <c r="LF12" s="97" t="s">
        <v>716</v>
      </c>
      <c r="LG12" s="104">
        <v>6269</v>
      </c>
      <c r="LH12" s="104">
        <v>3214</v>
      </c>
      <c r="LI12" s="99">
        <v>0.51</v>
      </c>
      <c r="LJ12" s="98">
        <v>29.17</v>
      </c>
      <c r="LK12" s="100">
        <v>10647</v>
      </c>
      <c r="LM12" s="95">
        <f t="shared" si="19"/>
        <v>0.21662807975396522</v>
      </c>
      <c r="LN12" s="95">
        <f t="shared" si="19"/>
        <v>0.21798697775366252</v>
      </c>
      <c r="LP12" s="22">
        <f t="shared" si="12"/>
        <v>66.746043</v>
      </c>
      <c r="LQ12" s="95">
        <f t="shared" si="13"/>
        <v>1.5713350297990199E-2</v>
      </c>
      <c r="LT12" t="s">
        <v>717</v>
      </c>
      <c r="LU12" s="101">
        <f>LQ16</f>
        <v>0.32956545119115854</v>
      </c>
      <c r="LV12" s="22">
        <f t="shared" si="62"/>
        <v>394.15564586584702</v>
      </c>
      <c r="LW12">
        <v>10.5</v>
      </c>
      <c r="LX12">
        <f t="shared" ref="LX12:LX17" si="103">LW12/100</f>
        <v>0.105</v>
      </c>
      <c r="LY12">
        <v>0.86499999999999999</v>
      </c>
      <c r="LZ12">
        <f t="shared" ref="LZ12:LZ17" si="104">LY12*LX12</f>
        <v>9.0824999999999989E-2</v>
      </c>
      <c r="MA12">
        <v>43</v>
      </c>
      <c r="MB12">
        <f t="shared" ref="MB12:MB17" si="105">MA12*LZ12</f>
        <v>3.9054749999999996</v>
      </c>
      <c r="MC12">
        <v>73.367636682232202</v>
      </c>
      <c r="MD12">
        <f>0.06636778941357/1000</f>
        <v>6.6367789413569991E-5</v>
      </c>
      <c r="ME12">
        <f>2.52657658902305/1000</f>
        <v>2.5265765890230499E-3</v>
      </c>
      <c r="MF12" s="22">
        <f t="shared" si="63"/>
        <v>1539.3650210379187</v>
      </c>
      <c r="MG12" s="22">
        <f t="shared" si="64"/>
        <v>112939.57358484674</v>
      </c>
      <c r="MH12" s="22">
        <f t="shared" si="65"/>
        <v>0.10216425354686033</v>
      </c>
      <c r="MI12" s="22">
        <f t="shared" si="66"/>
        <v>3.8893236241153804</v>
      </c>
      <c r="MJ12" s="437">
        <f t="shared" si="67"/>
        <v>113973.10494433664</v>
      </c>
      <c r="MK12">
        <v>2.72</v>
      </c>
      <c r="ML12">
        <f t="shared" si="68"/>
        <v>112570852.45928591</v>
      </c>
      <c r="MM12" s="237">
        <f t="shared" ref="MM12:MM17" si="106">ML12/1000</f>
        <v>112570.85245928592</v>
      </c>
      <c r="MN12">
        <v>187.9</v>
      </c>
      <c r="MO12" s="237">
        <f t="shared" si="69"/>
        <v>74061.845858192653</v>
      </c>
      <c r="MV12" s="419" t="s">
        <v>716</v>
      </c>
      <c r="MW12" s="413">
        <v>6543</v>
      </c>
      <c r="MX12" s="413">
        <v>3392</v>
      </c>
      <c r="MY12" s="412">
        <v>0.52</v>
      </c>
      <c r="MZ12" s="411">
        <v>27.78</v>
      </c>
      <c r="NA12" s="420">
        <v>10139</v>
      </c>
      <c r="NC12" s="95">
        <f t="shared" si="14"/>
        <v>0.23318721265903988</v>
      </c>
      <c r="ND12" s="95">
        <f t="shared" si="14"/>
        <v>0.23229694562388714</v>
      </c>
      <c r="NF12" s="22">
        <f t="shared" si="15"/>
        <v>66.339477000000002</v>
      </c>
      <c r="NG12" s="95">
        <f t="shared" si="16"/>
        <v>1.5617636549427567E-2</v>
      </c>
      <c r="NJ12" t="s">
        <v>717</v>
      </c>
      <c r="NK12" s="101">
        <f>NG16</f>
        <v>0.31929873548908966</v>
      </c>
      <c r="NL12" s="22">
        <f t="shared" si="70"/>
        <v>377.68930961853954</v>
      </c>
      <c r="NM12">
        <v>10.5</v>
      </c>
      <c r="NN12">
        <f t="shared" ref="NN12:NN17" si="107">NM12/100</f>
        <v>0.105</v>
      </c>
      <c r="NO12">
        <v>0.86499999999999999</v>
      </c>
      <c r="NP12">
        <f t="shared" ref="NP12:NP17" si="108">NO12*NN12</f>
        <v>9.0824999999999989E-2</v>
      </c>
      <c r="NQ12">
        <v>43</v>
      </c>
      <c r="NR12">
        <f t="shared" ref="NR12:NR17" si="109">NQ12*NP12</f>
        <v>3.9054749999999996</v>
      </c>
      <c r="NS12">
        <v>73.367636682232202</v>
      </c>
      <c r="NT12">
        <f>0.06636778941357/1000</f>
        <v>6.6367789413569991E-5</v>
      </c>
      <c r="NU12">
        <f>2.52657658902305/1000</f>
        <v>2.5265765890230499E-3</v>
      </c>
      <c r="NV12" s="22">
        <f t="shared" si="71"/>
        <v>1475.0561564824654</v>
      </c>
      <c r="NW12" s="22">
        <f t="shared" si="72"/>
        <v>108221.38417469537</v>
      </c>
      <c r="NX12" s="22">
        <f t="shared" si="73"/>
        <v>9.7896216366618216E-2</v>
      </c>
      <c r="NY12" s="22">
        <f t="shared" si="74"/>
        <v>3.726842352462918</v>
      </c>
      <c r="NZ12" s="437">
        <f t="shared" si="75"/>
        <v>109211.73849215631</v>
      </c>
      <c r="OA12">
        <v>2.72</v>
      </c>
      <c r="OB12">
        <f t="shared" si="76"/>
        <v>107868066.8270549</v>
      </c>
      <c r="OC12" s="237">
        <f t="shared" ref="OC12:OC17" si="110">OB12/1000</f>
        <v>107868.06682705491</v>
      </c>
      <c r="OD12">
        <v>188</v>
      </c>
      <c r="OE12" s="237">
        <f t="shared" si="77"/>
        <v>71005.59020828543</v>
      </c>
    </row>
    <row r="13" spans="1:410" ht="16.5" customHeight="1" thickBot="1" x14ac:dyDescent="0.5">
      <c r="A13" s="981"/>
      <c r="B13" s="159" t="s">
        <v>718</v>
      </c>
      <c r="C13" s="160">
        <v>39314</v>
      </c>
      <c r="D13" s="161">
        <v>37980.72629630773</v>
      </c>
      <c r="E13" s="162">
        <v>36152</v>
      </c>
      <c r="F13" s="163">
        <v>113446.72629630772</v>
      </c>
      <c r="G13" s="200">
        <v>330125.30657861265</v>
      </c>
      <c r="H13" s="165"/>
      <c r="I13" s="157"/>
      <c r="J13" s="157"/>
      <c r="K13" s="157"/>
      <c r="L13" s="157"/>
      <c r="M13" s="285"/>
      <c r="N13" s="157"/>
      <c r="O13" s="157"/>
      <c r="P13" s="157"/>
      <c r="Q13" s="157"/>
      <c r="U13" t="s">
        <v>719</v>
      </c>
      <c r="Z13" t="s">
        <v>720</v>
      </c>
      <c r="AC13" t="s">
        <v>721</v>
      </c>
      <c r="AF13">
        <f>Z25/AC25</f>
        <v>1.2194183864915573</v>
      </c>
      <c r="AK13" s="701" t="s">
        <v>711</v>
      </c>
      <c r="AL13">
        <v>3</v>
      </c>
      <c r="AP13" s="747" t="s">
        <v>722</v>
      </c>
      <c r="AQ13" s="739">
        <v>33</v>
      </c>
      <c r="AR13" s="740">
        <v>31</v>
      </c>
      <c r="AS13" s="773">
        <f t="shared" si="0"/>
        <v>0.93939393939393945</v>
      </c>
      <c r="AT13" s="740">
        <v>7.2</v>
      </c>
      <c r="AU13" s="738">
        <v>2620</v>
      </c>
      <c r="AW13" s="95">
        <f t="shared" si="1"/>
        <v>3.4482758620689655E-2</v>
      </c>
      <c r="AX13" s="95">
        <f t="shared" si="2"/>
        <v>3.3297529538131039E-2</v>
      </c>
      <c r="AY13">
        <f>AQ13*AU13/1000000</f>
        <v>8.6459999999999995E-2</v>
      </c>
      <c r="BA13" s="95">
        <f t="shared" si="17"/>
        <v>6.6234882037559639E-5</v>
      </c>
      <c r="BB13" s="95"/>
      <c r="BC13" s="95"/>
      <c r="BE13" t="s">
        <v>723</v>
      </c>
      <c r="BF13" s="101">
        <f>BA23</f>
        <v>9.2981485764694366E-2</v>
      </c>
      <c r="BG13" s="22">
        <f t="shared" si="78"/>
        <v>107.73223118905152</v>
      </c>
      <c r="BH13">
        <v>0</v>
      </c>
      <c r="BI13">
        <f>BH13/100</f>
        <v>0</v>
      </c>
      <c r="BK13">
        <f>BJ13*BI13</f>
        <v>0</v>
      </c>
      <c r="BL13">
        <v>0</v>
      </c>
      <c r="BM13">
        <f t="shared" si="79"/>
        <v>0</v>
      </c>
      <c r="BN13">
        <v>72.335002492541093</v>
      </c>
      <c r="BO13">
        <v>7.1637159556547196E-3</v>
      </c>
      <c r="BP13">
        <v>4.7891015874360001E-4</v>
      </c>
      <c r="BQ13" s="22">
        <f>BM13*BG13</f>
        <v>0</v>
      </c>
      <c r="BR13" s="22">
        <f>$DO13*BN13</f>
        <v>0</v>
      </c>
      <c r="BS13" s="22">
        <f t="shared" si="81"/>
        <v>0</v>
      </c>
      <c r="BT13" s="22">
        <f t="shared" si="82"/>
        <v>0</v>
      </c>
      <c r="BU13" s="437">
        <f t="shared" si="20"/>
        <v>0</v>
      </c>
      <c r="BV13">
        <v>2.34</v>
      </c>
      <c r="BW13">
        <f t="shared" ref="BW13:BW29" si="111">BV13*BI13*BG13*1000000</f>
        <v>0</v>
      </c>
      <c r="BX13" s="237">
        <f t="shared" si="83"/>
        <v>0</v>
      </c>
      <c r="BY13">
        <v>1.6</v>
      </c>
      <c r="BZ13" s="237">
        <f t="shared" si="84"/>
        <v>172.37156990248243</v>
      </c>
      <c r="CA13" s="237"/>
      <c r="CB13" s="237"/>
      <c r="CC13" t="s">
        <v>285</v>
      </c>
      <c r="CD13" s="22">
        <f>SUM(BU11:BU19)</f>
        <v>181278.91526017827</v>
      </c>
      <c r="CE13" s="22">
        <f>SUM(BX11:BX19)</f>
        <v>193297.02022482888</v>
      </c>
      <c r="CF13">
        <f>SUM(BZ11:BZ19)</f>
        <v>160661.69812822927</v>
      </c>
      <c r="CI13" s="701" t="s">
        <v>716</v>
      </c>
      <c r="CJ13" s="695">
        <v>1012</v>
      </c>
      <c r="CN13" s="747" t="s">
        <v>722</v>
      </c>
      <c r="CO13" s="739">
        <v>33</v>
      </c>
      <c r="CP13" s="740">
        <v>31</v>
      </c>
      <c r="CQ13" s="773">
        <f t="shared" si="3"/>
        <v>0.93939393939393945</v>
      </c>
      <c r="CR13" s="740">
        <v>7.2</v>
      </c>
      <c r="CS13" s="738">
        <v>2620</v>
      </c>
      <c r="CU13" s="95">
        <f t="shared" si="4"/>
        <v>3.4482758620689655E-2</v>
      </c>
      <c r="CV13" s="95">
        <f t="shared" si="4"/>
        <v>3.3297529538131039E-2</v>
      </c>
      <c r="CW13">
        <f>CO13*CS13/1000000</f>
        <v>8.6459999999999995E-2</v>
      </c>
      <c r="CY13" s="95">
        <f t="shared" si="18"/>
        <v>6.6234882037559639E-5</v>
      </c>
      <c r="CZ13" s="95"/>
      <c r="DA13" s="95"/>
      <c r="DC13" t="s">
        <v>723</v>
      </c>
      <c r="DD13" s="101">
        <f>CY23</f>
        <v>9.2981485764694366E-2</v>
      </c>
      <c r="DE13" s="22">
        <f t="shared" si="85"/>
        <v>107.73223118905152</v>
      </c>
      <c r="DF13">
        <v>0</v>
      </c>
      <c r="DG13">
        <f>DF13/100</f>
        <v>0</v>
      </c>
      <c r="DI13">
        <f>DH13*DG13</f>
        <v>0</v>
      </c>
      <c r="DJ13">
        <v>0</v>
      </c>
      <c r="DK13">
        <f t="shared" si="86"/>
        <v>0</v>
      </c>
      <c r="DL13">
        <v>72.335002492541093</v>
      </c>
      <c r="DM13">
        <v>7.1637159556547196E-3</v>
      </c>
      <c r="DN13">
        <v>4.7891015874360001E-4</v>
      </c>
      <c r="DO13" s="22">
        <f>DK13*DE13</f>
        <v>0</v>
      </c>
      <c r="DP13" s="22">
        <f>$DO13*DL13</f>
        <v>0</v>
      </c>
      <c r="DQ13" s="22">
        <f t="shared" si="88"/>
        <v>0</v>
      </c>
      <c r="DR13" s="22">
        <f t="shared" si="89"/>
        <v>0</v>
      </c>
      <c r="DS13" s="437">
        <f t="shared" si="21"/>
        <v>0</v>
      </c>
      <c r="DT13">
        <v>2.34</v>
      </c>
      <c r="DU13">
        <f t="shared" ref="DU13:DU29" si="112">DT13*DG13*DE13*1000000</f>
        <v>0</v>
      </c>
      <c r="DV13" s="237">
        <f t="shared" si="90"/>
        <v>0</v>
      </c>
      <c r="DW13">
        <v>1.6</v>
      </c>
      <c r="DX13" s="237">
        <f t="shared" si="91"/>
        <v>172.37156990248243</v>
      </c>
      <c r="DY13" s="237"/>
      <c r="DZ13" s="237"/>
      <c r="EA13" t="s">
        <v>285</v>
      </c>
      <c r="EB13" s="22">
        <f>SUM(DS11:DS19)</f>
        <v>181278.91526017827</v>
      </c>
      <c r="EC13" s="22">
        <f>SUM(DV11:DV19)</f>
        <v>193297.02022482888</v>
      </c>
      <c r="ED13">
        <f>SUM(DX11:DX19)</f>
        <v>160661.69812822927</v>
      </c>
      <c r="EJ13" s="564" t="s">
        <v>722</v>
      </c>
      <c r="EK13" s="564">
        <v>616</v>
      </c>
      <c r="EL13" s="564">
        <v>181</v>
      </c>
      <c r="EM13" s="563">
        <v>0.28999999999999998</v>
      </c>
      <c r="EN13" s="564">
        <v>11.78</v>
      </c>
      <c r="EO13" s="571">
        <v>4300</v>
      </c>
      <c r="EQ13" s="95">
        <f t="shared" si="5"/>
        <v>9.453652547575199E-2</v>
      </c>
      <c r="ER13" s="95">
        <f t="shared" si="5"/>
        <v>4.787093361544565E-2</v>
      </c>
      <c r="ES13">
        <f>EK13*EO13/1000000</f>
        <v>2.6488</v>
      </c>
      <c r="EU13" s="95">
        <f t="shared" si="6"/>
        <v>5.3301307216330294E-4</v>
      </c>
      <c r="EV13" s="95">
        <f t="shared" si="22"/>
        <v>2.7887277501838655E-3</v>
      </c>
      <c r="EY13" t="s">
        <v>723</v>
      </c>
      <c r="EZ13" s="101">
        <f>EV23</f>
        <v>9.4129257170665601E-2</v>
      </c>
      <c r="FA13" s="22">
        <f>EZ13*$EX$9</f>
        <v>94.243522340529125</v>
      </c>
      <c r="FB13">
        <v>0</v>
      </c>
      <c r="FC13">
        <f t="shared" si="23"/>
        <v>0</v>
      </c>
      <c r="FE13">
        <f t="shared" si="24"/>
        <v>0</v>
      </c>
      <c r="FF13">
        <v>0</v>
      </c>
      <c r="FG13">
        <f t="shared" si="25"/>
        <v>0</v>
      </c>
      <c r="FH13">
        <v>72.335002492541093</v>
      </c>
      <c r="FI13">
        <v>7.1637159556547196E-3</v>
      </c>
      <c r="FJ13">
        <v>4.7891015874360001E-4</v>
      </c>
      <c r="FK13" s="22">
        <f t="shared" si="26"/>
        <v>0</v>
      </c>
      <c r="FL13" s="22">
        <f t="shared" si="27"/>
        <v>0</v>
      </c>
      <c r="FM13" s="22">
        <f t="shared" si="28"/>
        <v>0</v>
      </c>
      <c r="FN13" s="22">
        <f t="shared" si="29"/>
        <v>0</v>
      </c>
      <c r="FO13" s="437">
        <f t="shared" si="30"/>
        <v>0</v>
      </c>
      <c r="FP13">
        <v>2.34</v>
      </c>
      <c r="FQ13">
        <f t="shared" si="31"/>
        <v>0</v>
      </c>
      <c r="FR13" s="237">
        <f t="shared" si="32"/>
        <v>0</v>
      </c>
      <c r="FS13">
        <v>0</v>
      </c>
      <c r="FT13" s="237">
        <f t="shared" si="33"/>
        <v>0</v>
      </c>
      <c r="FV13" s="237"/>
      <c r="FW13" t="s">
        <v>285</v>
      </c>
      <c r="FX13" s="22">
        <f>SUM(FO11:FO19)</f>
        <v>197187.69210604034</v>
      </c>
      <c r="FY13" s="22">
        <f>SUM(FR11:FR19)</f>
        <v>203079.32750850896</v>
      </c>
      <c r="FZ13">
        <f>SUM(FT11:FT19)</f>
        <v>171499.41347298204</v>
      </c>
      <c r="GA13" s="22"/>
      <c r="GB13"/>
      <c r="GC13"/>
      <c r="GD13" s="237"/>
      <c r="GF13" s="564" t="s">
        <v>722</v>
      </c>
      <c r="GG13" s="564">
        <v>619</v>
      </c>
      <c r="GH13" s="564">
        <v>171</v>
      </c>
      <c r="GI13" s="563">
        <v>0.28000000000000003</v>
      </c>
      <c r="GJ13" s="564">
        <v>14.65</v>
      </c>
      <c r="GK13" s="571">
        <v>5347</v>
      </c>
      <c r="GM13" s="95">
        <f t="shared" si="7"/>
        <v>9.7265870521684478E-2</v>
      </c>
      <c r="GN13" s="95">
        <f t="shared" si="7"/>
        <v>4.8169014084507043E-2</v>
      </c>
      <c r="GP13" s="22">
        <f>GK13*GG13/1000000</f>
        <v>3.309793</v>
      </c>
      <c r="GQ13" s="95">
        <f t="shared" si="8"/>
        <v>6.7362674509948187E-4</v>
      </c>
      <c r="GR13" s="95">
        <f t="shared" si="34"/>
        <v>3.5495667333250128E-3</v>
      </c>
      <c r="GU13" t="s">
        <v>723</v>
      </c>
      <c r="GV13" s="101">
        <f>GR23</f>
        <v>5.9959060622014552E-2</v>
      </c>
      <c r="GW13" s="22">
        <f t="shared" si="35"/>
        <v>57.178359538465699</v>
      </c>
      <c r="GX13">
        <v>0</v>
      </c>
      <c r="GY13">
        <f t="shared" si="92"/>
        <v>0</v>
      </c>
      <c r="GZ13">
        <v>0</v>
      </c>
      <c r="HA13">
        <f t="shared" si="93"/>
        <v>0</v>
      </c>
      <c r="HB13">
        <v>0</v>
      </c>
      <c r="HC13">
        <f t="shared" si="94"/>
        <v>0</v>
      </c>
      <c r="HD13">
        <v>70.9769741921898</v>
      </c>
      <c r="HE13">
        <v>7.3169105356480999E-3</v>
      </c>
      <c r="HF13">
        <v>6.0998104818480998E-4</v>
      </c>
      <c r="HG13" s="22">
        <f t="shared" si="95"/>
        <v>0</v>
      </c>
      <c r="HH13" s="22">
        <f t="shared" si="36"/>
        <v>0</v>
      </c>
      <c r="HI13" s="22">
        <f t="shared" si="37"/>
        <v>0</v>
      </c>
      <c r="HJ13" s="22">
        <f t="shared" si="38"/>
        <v>0</v>
      </c>
      <c r="HK13" s="437">
        <f t="shared" si="39"/>
        <v>0</v>
      </c>
      <c r="HL13">
        <v>2.34</v>
      </c>
      <c r="HM13">
        <f t="shared" si="96"/>
        <v>0</v>
      </c>
      <c r="HN13" s="237">
        <f t="shared" si="97"/>
        <v>0</v>
      </c>
      <c r="HO13">
        <v>0</v>
      </c>
      <c r="HP13" s="237">
        <f t="shared" si="98"/>
        <v>0</v>
      </c>
      <c r="HQ13" s="237"/>
      <c r="HR13" t="s">
        <v>285</v>
      </c>
      <c r="HS13" s="22">
        <f>SUM(HK11:HK18)</f>
        <v>197313.82345376271</v>
      </c>
      <c r="HT13" s="22">
        <f>SUM(HN11:HN18)</f>
        <v>202462.6501622115</v>
      </c>
      <c r="HU13">
        <f>SUM(HP11:HP18)</f>
        <v>171796.84626955754</v>
      </c>
      <c r="HV13" s="237"/>
      <c r="HX13" s="502" t="s">
        <v>722</v>
      </c>
      <c r="HY13" s="502">
        <v>618</v>
      </c>
      <c r="HZ13" s="502">
        <v>127</v>
      </c>
      <c r="IA13" s="504">
        <v>0.21</v>
      </c>
      <c r="IB13" s="502">
        <v>19.5</v>
      </c>
      <c r="IC13" s="503">
        <v>7118</v>
      </c>
      <c r="IE13" s="95">
        <f t="shared" si="9"/>
        <v>9.932497589199614E-2</v>
      </c>
      <c r="IF13" s="95">
        <f t="shared" si="9"/>
        <v>3.9937106918238992E-2</v>
      </c>
      <c r="IH13" s="22">
        <f>IC13*HY13/1000000</f>
        <v>4.3989240000000001</v>
      </c>
      <c r="II13" s="95">
        <f t="shared" si="40"/>
        <v>1.0555793343766269E-3</v>
      </c>
      <c r="IJ13" s="95">
        <f t="shared" si="41"/>
        <v>6.0988408111908371E-3</v>
      </c>
      <c r="IM13" t="s">
        <v>723</v>
      </c>
      <c r="IN13" s="101">
        <f>IJ23</f>
        <v>3.5992774778232824E-2</v>
      </c>
      <c r="IO13" s="22">
        <f t="shared" si="42"/>
        <v>34.057809362804328</v>
      </c>
      <c r="IP13">
        <v>0</v>
      </c>
      <c r="IQ13">
        <f t="shared" si="99"/>
        <v>0</v>
      </c>
      <c r="IR13">
        <v>0</v>
      </c>
      <c r="IS13">
        <f t="shared" si="100"/>
        <v>0</v>
      </c>
      <c r="IT13">
        <v>0</v>
      </c>
      <c r="IU13">
        <f t="shared" si="101"/>
        <v>0</v>
      </c>
      <c r="IV13">
        <v>70.9769741921898</v>
      </c>
      <c r="IW13">
        <v>7.3169105356480999E-3</v>
      </c>
      <c r="IX13">
        <v>6.0998104818480998E-4</v>
      </c>
      <c r="IY13" s="22">
        <f t="shared" si="43"/>
        <v>0</v>
      </c>
      <c r="IZ13" s="22">
        <f t="shared" si="44"/>
        <v>0</v>
      </c>
      <c r="JA13" s="22">
        <f t="shared" si="45"/>
        <v>0</v>
      </c>
      <c r="JB13" s="22">
        <f t="shared" si="46"/>
        <v>0</v>
      </c>
      <c r="JC13" s="437">
        <f t="shared" si="47"/>
        <v>0</v>
      </c>
      <c r="JD13">
        <v>2.34</v>
      </c>
      <c r="JE13">
        <f t="shared" si="48"/>
        <v>0</v>
      </c>
      <c r="JF13" s="237">
        <f t="shared" si="102"/>
        <v>0</v>
      </c>
      <c r="JG13">
        <v>0</v>
      </c>
      <c r="JH13" s="237">
        <f t="shared" si="49"/>
        <v>0</v>
      </c>
      <c r="JJ13" t="s">
        <v>285</v>
      </c>
      <c r="JK13" s="22">
        <f>SUM(JC11:JC18)</f>
        <v>202765.45022866575</v>
      </c>
      <c r="JL13" s="22">
        <f>SUM(JF11:JF18)</f>
        <v>206357.93157075622</v>
      </c>
      <c r="JM13">
        <f>SUM(JH11:JH18)</f>
        <v>176258.48879848645</v>
      </c>
      <c r="JP13" s="417" t="s">
        <v>722</v>
      </c>
      <c r="JQ13" s="410">
        <v>624</v>
      </c>
      <c r="JR13" s="410">
        <v>121</v>
      </c>
      <c r="JS13" s="409">
        <v>0.19</v>
      </c>
      <c r="JT13" s="410">
        <v>16.829999999999998</v>
      </c>
      <c r="JU13" s="418">
        <v>6144</v>
      </c>
      <c r="JW13" s="95">
        <f t="shared" si="10"/>
        <v>0.10274987650255228</v>
      </c>
      <c r="JX13" s="95">
        <f t="shared" si="10"/>
        <v>4.1466758053461276E-2</v>
      </c>
      <c r="JZ13" s="22">
        <f>JU13*JQ13/1000000</f>
        <v>3.8338559999999999</v>
      </c>
      <c r="KA13" s="95">
        <f t="shared" si="11"/>
        <v>9.1998387891580686E-4</v>
      </c>
      <c r="KD13" t="s">
        <v>723</v>
      </c>
      <c r="KE13" s="101">
        <f>KA23</f>
        <v>1.768902332913011E-2</v>
      </c>
      <c r="KF13" s="22">
        <f t="shared" si="50"/>
        <v>18.801547312657807</v>
      </c>
      <c r="KG13">
        <v>0</v>
      </c>
      <c r="KH13">
        <f t="shared" si="51"/>
        <v>0</v>
      </c>
      <c r="KI13">
        <v>0</v>
      </c>
      <c r="KJ13">
        <f t="shared" si="52"/>
        <v>0</v>
      </c>
      <c r="KK13">
        <v>0</v>
      </c>
      <c r="KL13">
        <f t="shared" si="53"/>
        <v>0</v>
      </c>
      <c r="KM13">
        <v>0</v>
      </c>
      <c r="KN13">
        <v>0</v>
      </c>
      <c r="KO13">
        <v>0</v>
      </c>
      <c r="KP13" s="22">
        <f t="shared" si="54"/>
        <v>0</v>
      </c>
      <c r="KQ13" s="22">
        <f t="shared" si="55"/>
        <v>0</v>
      </c>
      <c r="KR13" s="22">
        <f t="shared" si="56"/>
        <v>0</v>
      </c>
      <c r="KS13" s="22">
        <f t="shared" si="57"/>
        <v>0</v>
      </c>
      <c r="KT13" s="437">
        <f t="shared" si="58"/>
        <v>0</v>
      </c>
      <c r="KU13">
        <v>2.34</v>
      </c>
      <c r="KV13">
        <f t="shared" si="59"/>
        <v>0</v>
      </c>
      <c r="KW13" s="237">
        <f t="shared" si="60"/>
        <v>0</v>
      </c>
      <c r="KX13">
        <v>0</v>
      </c>
      <c r="KY13" s="237">
        <f t="shared" si="61"/>
        <v>0</v>
      </c>
      <c r="LA13" t="s">
        <v>285</v>
      </c>
      <c r="LB13" s="22">
        <f>SUM(KT11:KT18)</f>
        <v>193663.40007202598</v>
      </c>
      <c r="LC13" s="22">
        <f>SUM(KW11:KW18)</f>
        <v>194380.12809660408</v>
      </c>
      <c r="LD13">
        <f>SUM(KY11:KY18)</f>
        <v>167348.59882952017</v>
      </c>
      <c r="LF13" s="90" t="s">
        <v>722</v>
      </c>
      <c r="LG13" s="93">
        <v>635</v>
      </c>
      <c r="LH13" s="93">
        <v>158</v>
      </c>
      <c r="LI13" s="92">
        <v>0.25</v>
      </c>
      <c r="LJ13" s="93">
        <v>21.98</v>
      </c>
      <c r="LK13" s="105">
        <v>8021</v>
      </c>
      <c r="LM13" s="95">
        <f>LG13/LG27</f>
        <v>0.10786478681841345</v>
      </c>
      <c r="LN13" s="95">
        <f>LH13/LH27</f>
        <v>5.398018448923813E-2</v>
      </c>
      <c r="LP13" s="22">
        <f t="shared" si="12"/>
        <v>5.0933349999999997</v>
      </c>
      <c r="LQ13" s="95">
        <f t="shared" si="13"/>
        <v>1.1990726857023404E-3</v>
      </c>
      <c r="LT13" t="s">
        <v>724</v>
      </c>
      <c r="LU13" s="101">
        <f>LQ23</f>
        <v>5.7102950084249225E-2</v>
      </c>
      <c r="LV13" s="22">
        <f t="shared" si="62"/>
        <v>68.294325421409027</v>
      </c>
      <c r="LW13">
        <v>3</v>
      </c>
      <c r="LX13">
        <f t="shared" si="103"/>
        <v>0.03</v>
      </c>
      <c r="LY13">
        <v>0.75</v>
      </c>
      <c r="LZ13">
        <f t="shared" si="104"/>
        <v>2.2499999999999999E-2</v>
      </c>
      <c r="MA13">
        <v>43</v>
      </c>
      <c r="MB13">
        <f t="shared" si="105"/>
        <v>0.96749999999999992</v>
      </c>
      <c r="MC13">
        <v>72.416541095972974</v>
      </c>
      <c r="MD13">
        <f t="shared" ref="MD13:MD18" si="113">7.87852632644844/1000</f>
        <v>7.8785263264484397E-3</v>
      </c>
      <c r="ME13">
        <f t="shared" ref="ME13:ME18" si="114">0.93521034397128/1000</f>
        <v>9.3521034397127997E-4</v>
      </c>
      <c r="MF13" s="22">
        <f t="shared" si="63"/>
        <v>66.074759845213222</v>
      </c>
      <c r="MG13" s="22">
        <f t="shared" si="64"/>
        <v>4784.9055617374279</v>
      </c>
      <c r="MH13" s="22">
        <f t="shared" si="65"/>
        <v>0.52057173495427056</v>
      </c>
      <c r="MI13" s="22">
        <f t="shared" si="66"/>
        <v>6.1793798882661573E-2</v>
      </c>
      <c r="MJ13" s="437">
        <f t="shared" si="67"/>
        <v>4815.8569270200533</v>
      </c>
      <c r="MK13">
        <v>2.34</v>
      </c>
      <c r="ML13">
        <f t="shared" si="68"/>
        <v>4794261.6445829142</v>
      </c>
      <c r="MM13" s="237">
        <f t="shared" si="106"/>
        <v>4794.2616445829144</v>
      </c>
      <c r="MN13">
        <v>0</v>
      </c>
      <c r="MO13" s="237">
        <f t="shared" si="69"/>
        <v>0</v>
      </c>
      <c r="MQ13" t="s">
        <v>285</v>
      </c>
      <c r="MR13" s="22">
        <f>SUM(MJ11:MJ18)</f>
        <v>219170.78903907636</v>
      </c>
      <c r="MS13" s="22">
        <f>SUM(MM11:MM18)</f>
        <v>214364.27593245055</v>
      </c>
      <c r="MT13">
        <f>SUM(MO11:MO18)</f>
        <v>183393.16608164748</v>
      </c>
      <c r="MV13" s="417" t="s">
        <v>722</v>
      </c>
      <c r="MW13" s="410">
        <v>642</v>
      </c>
      <c r="MX13" s="410">
        <v>137</v>
      </c>
      <c r="MY13" s="409">
        <v>0.21</v>
      </c>
      <c r="MZ13" s="410">
        <v>16.7</v>
      </c>
      <c r="NA13" s="418">
        <v>6095</v>
      </c>
      <c r="NC13" s="95">
        <f t="shared" si="14"/>
        <v>0.11169102296450939</v>
      </c>
      <c r="ND13" s="95">
        <f t="shared" si="14"/>
        <v>4.9369369369369372E-2</v>
      </c>
      <c r="NF13" s="22">
        <f t="shared" si="15"/>
        <v>3.9129900000000002</v>
      </c>
      <c r="NG13" s="95">
        <f t="shared" si="16"/>
        <v>9.2119592142013082E-4</v>
      </c>
      <c r="NJ13" t="s">
        <v>724</v>
      </c>
      <c r="NK13" s="101">
        <f>NG23</f>
        <v>4.4497911810421918E-2</v>
      </c>
      <c r="NL13" s="22">
        <f t="shared" si="70"/>
        <v>52.635302690446075</v>
      </c>
      <c r="NM13">
        <v>3</v>
      </c>
      <c r="NN13">
        <f t="shared" si="107"/>
        <v>0.03</v>
      </c>
      <c r="NO13">
        <v>0.75</v>
      </c>
      <c r="NP13">
        <f t="shared" si="108"/>
        <v>2.2499999999999999E-2</v>
      </c>
      <c r="NQ13">
        <v>0</v>
      </c>
      <c r="NR13">
        <f t="shared" si="109"/>
        <v>0</v>
      </c>
      <c r="NS13">
        <v>72.416541095972974</v>
      </c>
      <c r="NT13">
        <f t="shared" ref="NT13:NT18" si="115">7.87852632644844/1000</f>
        <v>7.8785263264484397E-3</v>
      </c>
      <c r="NU13">
        <f t="shared" ref="NU13:NU18" si="116">0.93521034397128/1000</f>
        <v>9.3521034397127997E-4</v>
      </c>
      <c r="NV13" s="22">
        <f t="shared" si="71"/>
        <v>0</v>
      </c>
      <c r="NW13" s="22">
        <f t="shared" si="72"/>
        <v>0</v>
      </c>
      <c r="NX13" s="22">
        <f t="shared" si="73"/>
        <v>0</v>
      </c>
      <c r="NY13" s="22">
        <f t="shared" si="74"/>
        <v>0</v>
      </c>
      <c r="NZ13" s="437">
        <f t="shared" si="75"/>
        <v>0</v>
      </c>
      <c r="OA13">
        <v>2.34</v>
      </c>
      <c r="OB13">
        <f t="shared" si="76"/>
        <v>3694998.2488693143</v>
      </c>
      <c r="OC13" s="237">
        <f t="shared" si="110"/>
        <v>3694.9982488693145</v>
      </c>
      <c r="OD13">
        <v>0</v>
      </c>
      <c r="OE13" s="237">
        <f t="shared" si="77"/>
        <v>0</v>
      </c>
      <c r="OG13" t="s">
        <v>285</v>
      </c>
      <c r="OH13" s="22">
        <f>SUM(NZ11:NZ18)</f>
        <v>211966.24623204052</v>
      </c>
      <c r="OI13" s="22">
        <f>SUM(OC11:OC18)</f>
        <v>210854.95292156067</v>
      </c>
      <c r="OJ13">
        <f>SUM(OE11:OE18)</f>
        <v>180799.50465297955</v>
      </c>
      <c r="OL13" t="s">
        <v>285</v>
      </c>
      <c r="OM13" s="22">
        <f t="shared" ref="OM13:OO18" si="117">OH13/(1+$T$24)</f>
        <v>206184.32458563262</v>
      </c>
      <c r="ON13" s="22">
        <f t="shared" si="117"/>
        <v>205103.34464325546</v>
      </c>
      <c r="OO13" s="22">
        <f t="shared" si="117"/>
        <v>175867.73561807143</v>
      </c>
      <c r="OQ13" t="s">
        <v>285</v>
      </c>
      <c r="OR13" s="22">
        <f t="shared" ref="OR13:OT18" si="118">OM13/(1+$T$23)</f>
        <v>190906.58767379029</v>
      </c>
      <c r="OS13" s="22">
        <f t="shared" si="118"/>
        <v>189905.70561082181</v>
      </c>
      <c r="OT13" s="22">
        <f t="shared" si="118"/>
        <v>162836.38126339822</v>
      </c>
    </row>
    <row r="14" spans="1:410" ht="16.5" customHeight="1" thickBot="1" x14ac:dyDescent="0.5">
      <c r="A14" s="981"/>
      <c r="B14" s="159" t="s">
        <v>725</v>
      </c>
      <c r="C14" s="160">
        <v>40771.075849776658</v>
      </c>
      <c r="D14" s="161">
        <v>40551</v>
      </c>
      <c r="E14" s="162">
        <v>37617</v>
      </c>
      <c r="F14" s="163">
        <v>118939.07584977665</v>
      </c>
      <c r="G14" s="200">
        <v>449064.38242838928</v>
      </c>
      <c r="H14" s="165"/>
      <c r="I14" s="157"/>
      <c r="J14" s="157"/>
      <c r="K14" s="157"/>
      <c r="L14" s="157"/>
      <c r="M14" s="285"/>
      <c r="N14" s="157"/>
      <c r="O14" s="157"/>
      <c r="P14" s="157"/>
      <c r="Q14" s="157"/>
      <c r="X14">
        <f>V18/X18</f>
        <v>0.73642400000000008</v>
      </c>
      <c r="AK14" s="701" t="s">
        <v>716</v>
      </c>
      <c r="AL14" s="695">
        <v>1149</v>
      </c>
      <c r="AP14" s="747" t="s">
        <v>726</v>
      </c>
      <c r="AQ14" s="739">
        <v>2</v>
      </c>
      <c r="AR14" s="740">
        <v>2</v>
      </c>
      <c r="AS14" s="773">
        <f t="shared" si="0"/>
        <v>1</v>
      </c>
      <c r="AT14" s="739" t="s">
        <v>409</v>
      </c>
      <c r="AU14" s="739" t="s">
        <v>409</v>
      </c>
      <c r="AW14" s="95">
        <f t="shared" si="1"/>
        <v>1.3614703880190605E-3</v>
      </c>
      <c r="AX14" s="95">
        <f t="shared" si="2"/>
        <v>1.6025641025641025E-3</v>
      </c>
      <c r="AY14">
        <v>0</v>
      </c>
      <c r="BA14" s="95">
        <f t="shared" si="17"/>
        <v>0</v>
      </c>
      <c r="BB14" s="95"/>
      <c r="BC14" s="95"/>
      <c r="BE14" s="16" t="s">
        <v>727</v>
      </c>
      <c r="BF14" s="101">
        <f>BA28</f>
        <v>0</v>
      </c>
      <c r="BG14" s="22">
        <f t="shared" si="78"/>
        <v>0</v>
      </c>
      <c r="BH14">
        <v>0</v>
      </c>
      <c r="BI14">
        <f>BH14/100</f>
        <v>0</v>
      </c>
      <c r="BJ14">
        <v>0</v>
      </c>
      <c r="BK14">
        <f>BJ14*BI14</f>
        <v>0</v>
      </c>
      <c r="BL14">
        <v>0</v>
      </c>
      <c r="BM14">
        <f t="shared" si="79"/>
        <v>0</v>
      </c>
      <c r="BN14">
        <v>72.335002492541093</v>
      </c>
      <c r="BO14">
        <v>7.1637159556547196E-3</v>
      </c>
      <c r="BP14">
        <v>4.7891015874360001E-4</v>
      </c>
      <c r="BQ14" s="22">
        <f t="shared" ref="BQ14:BQ17" si="119">BM14*BG14</f>
        <v>0</v>
      </c>
      <c r="BR14" s="22">
        <f t="shared" ref="BR14:BR29" si="120">$DO14*BN14</f>
        <v>0</v>
      </c>
      <c r="BS14" s="22">
        <f t="shared" si="81"/>
        <v>0</v>
      </c>
      <c r="BT14" s="22">
        <f t="shared" si="82"/>
        <v>0</v>
      </c>
      <c r="BU14" s="751">
        <f t="shared" si="20"/>
        <v>0</v>
      </c>
      <c r="BV14" s="16">
        <v>2.34</v>
      </c>
      <c r="BW14" s="16">
        <f t="shared" si="111"/>
        <v>0</v>
      </c>
      <c r="BX14" s="16">
        <f t="shared" si="83"/>
        <v>0</v>
      </c>
      <c r="BY14" s="752">
        <v>2.6</v>
      </c>
      <c r="BZ14" s="16">
        <f t="shared" si="84"/>
        <v>0</v>
      </c>
      <c r="CA14" s="16"/>
      <c r="CB14" s="237"/>
      <c r="CC14" t="s">
        <v>728</v>
      </c>
      <c r="CD14" s="22">
        <f>SUM(BU20:BU21)</f>
        <v>691.96523456875798</v>
      </c>
      <c r="CE14" s="22">
        <f>SUM(BX20:BX21)</f>
        <v>676.75896584778991</v>
      </c>
      <c r="CF14" s="22">
        <f>SUM(BZ20:BZ21)</f>
        <v>519.8557446219811</v>
      </c>
      <c r="CI14" s="701" t="s">
        <v>722</v>
      </c>
      <c r="CJ14" s="695">
        <v>34</v>
      </c>
      <c r="CN14" s="747" t="s">
        <v>726</v>
      </c>
      <c r="CO14" s="739">
        <v>2</v>
      </c>
      <c r="CP14" s="740">
        <v>2</v>
      </c>
      <c r="CQ14" s="773">
        <f t="shared" si="3"/>
        <v>1</v>
      </c>
      <c r="CR14" s="739" t="s">
        <v>409</v>
      </c>
      <c r="CS14" s="739" t="s">
        <v>409</v>
      </c>
      <c r="CU14" s="95">
        <f t="shared" si="4"/>
        <v>1.3614703880190605E-3</v>
      </c>
      <c r="CV14" s="95">
        <f t="shared" si="4"/>
        <v>1.6025641025641025E-3</v>
      </c>
      <c r="CW14">
        <v>0</v>
      </c>
      <c r="CY14" s="95">
        <f t="shared" si="18"/>
        <v>0</v>
      </c>
      <c r="CZ14" s="95"/>
      <c r="DA14" s="95"/>
      <c r="DC14" s="16" t="s">
        <v>727</v>
      </c>
      <c r="DD14" s="101">
        <f>CY28</f>
        <v>0</v>
      </c>
      <c r="DE14" s="22">
        <f t="shared" si="85"/>
        <v>0</v>
      </c>
      <c r="DF14">
        <v>0</v>
      </c>
      <c r="DG14">
        <f>DF14/100</f>
        <v>0</v>
      </c>
      <c r="DH14">
        <v>0</v>
      </c>
      <c r="DI14">
        <f>DH14*DG14</f>
        <v>0</v>
      </c>
      <c r="DJ14">
        <v>0</v>
      </c>
      <c r="DK14">
        <f t="shared" si="86"/>
        <v>0</v>
      </c>
      <c r="DL14">
        <v>72.335002492541093</v>
      </c>
      <c r="DM14">
        <v>7.1637159556547196E-3</v>
      </c>
      <c r="DN14">
        <v>4.7891015874360001E-4</v>
      </c>
      <c r="DO14" s="22">
        <f t="shared" ref="DO14:DO29" si="121">DK14*DE14</f>
        <v>0</v>
      </c>
      <c r="DP14" s="22">
        <f t="shared" si="87"/>
        <v>0</v>
      </c>
      <c r="DQ14" s="22">
        <f t="shared" si="88"/>
        <v>0</v>
      </c>
      <c r="DR14" s="22">
        <f t="shared" si="89"/>
        <v>0</v>
      </c>
      <c r="DS14" s="751">
        <f t="shared" si="21"/>
        <v>0</v>
      </c>
      <c r="DT14" s="16">
        <v>2.34</v>
      </c>
      <c r="DU14" s="16">
        <f t="shared" si="112"/>
        <v>0</v>
      </c>
      <c r="DV14" s="16">
        <f t="shared" si="90"/>
        <v>0</v>
      </c>
      <c r="DW14" s="752">
        <v>2.6</v>
      </c>
      <c r="DX14" s="16">
        <f t="shared" si="91"/>
        <v>0</v>
      </c>
      <c r="DY14" s="16"/>
      <c r="DZ14" s="237"/>
      <c r="EA14" t="s">
        <v>728</v>
      </c>
      <c r="EB14" s="22">
        <f>SUM(DS20:DS21)</f>
        <v>691.96523456875798</v>
      </c>
      <c r="EC14" s="22">
        <f>SUM(DV20:DV21)</f>
        <v>676.75896584778991</v>
      </c>
      <c r="ED14" s="22">
        <f>SUM(DX20:DX21)</f>
        <v>519.8557446219811</v>
      </c>
      <c r="EJ14" s="565" t="s">
        <v>726</v>
      </c>
      <c r="EK14" s="565">
        <v>14</v>
      </c>
      <c r="EL14" s="565">
        <v>5</v>
      </c>
      <c r="EM14" s="566">
        <v>0.36</v>
      </c>
      <c r="EN14" s="565" t="s">
        <v>409</v>
      </c>
      <c r="EO14" s="573" t="s">
        <v>409</v>
      </c>
      <c r="EQ14" s="95">
        <f t="shared" si="5"/>
        <v>1.7930327868852459E-3</v>
      </c>
      <c r="ER14" s="95">
        <f t="shared" si="5"/>
        <v>1.1649580615097856E-3</v>
      </c>
      <c r="ES14">
        <v>0</v>
      </c>
      <c r="EU14" s="95">
        <f t="shared" si="6"/>
        <v>0</v>
      </c>
      <c r="EV14" s="95">
        <f t="shared" si="22"/>
        <v>0</v>
      </c>
      <c r="EY14" s="16" t="s">
        <v>727</v>
      </c>
      <c r="EZ14" s="101">
        <f>EV28</f>
        <v>8.8286191306831624E-4</v>
      </c>
      <c r="FA14" s="22">
        <v>4</v>
      </c>
      <c r="FB14">
        <v>0</v>
      </c>
      <c r="FC14">
        <f t="shared" si="23"/>
        <v>0</v>
      </c>
      <c r="FD14">
        <v>0</v>
      </c>
      <c r="FE14">
        <f t="shared" si="24"/>
        <v>0</v>
      </c>
      <c r="FF14">
        <v>0</v>
      </c>
      <c r="FG14">
        <f t="shared" si="25"/>
        <v>0</v>
      </c>
      <c r="FH14">
        <v>72.335002492541093</v>
      </c>
      <c r="FI14">
        <v>7.1637159556547196E-3</v>
      </c>
      <c r="FJ14">
        <v>4.7891015874360001E-4</v>
      </c>
      <c r="FK14" s="22">
        <f t="shared" si="26"/>
        <v>0</v>
      </c>
      <c r="FL14" s="22">
        <f t="shared" si="27"/>
        <v>0</v>
      </c>
      <c r="FM14" s="22">
        <f t="shared" si="28"/>
        <v>0</v>
      </c>
      <c r="FN14" s="22">
        <f t="shared" si="29"/>
        <v>0</v>
      </c>
      <c r="FO14" s="437">
        <f t="shared" si="30"/>
        <v>0</v>
      </c>
      <c r="FP14">
        <v>2.34</v>
      </c>
      <c r="FQ14">
        <f t="shared" si="31"/>
        <v>0</v>
      </c>
      <c r="FR14" s="237">
        <f t="shared" si="32"/>
        <v>0</v>
      </c>
      <c r="FS14">
        <v>0</v>
      </c>
      <c r="FT14" s="237">
        <f t="shared" si="33"/>
        <v>0</v>
      </c>
      <c r="FV14" s="237"/>
      <c r="FW14" t="s">
        <v>728</v>
      </c>
      <c r="FX14" s="22">
        <f>SUM(FO20:FO21)</f>
        <v>1576.7721770219384</v>
      </c>
      <c r="FY14" s="22">
        <f>SUM(FR20:FR21)</f>
        <v>1542.0578828313737</v>
      </c>
      <c r="FZ14" s="22">
        <f>SUM(FT20:FT21)</f>
        <v>1524.4354545942813</v>
      </c>
      <c r="GA14" s="22"/>
      <c r="GB14"/>
      <c r="GC14"/>
      <c r="GD14" s="237"/>
      <c r="GF14" s="565" t="s">
        <v>726</v>
      </c>
      <c r="GG14" s="565">
        <v>13</v>
      </c>
      <c r="GH14" s="565">
        <v>3</v>
      </c>
      <c r="GI14" s="566">
        <v>0.23</v>
      </c>
      <c r="GJ14" s="565" t="s">
        <v>409</v>
      </c>
      <c r="GK14" s="573" t="s">
        <v>409</v>
      </c>
      <c r="GM14" s="95">
        <f t="shared" si="7"/>
        <v>1.7317170640735314E-3</v>
      </c>
      <c r="GN14" s="95">
        <f t="shared" si="7"/>
        <v>7.5150300601202404E-4</v>
      </c>
      <c r="GP14" s="22">
        <v>0</v>
      </c>
      <c r="GQ14" s="95">
        <f t="shared" si="8"/>
        <v>0</v>
      </c>
      <c r="GR14" s="95">
        <f t="shared" si="34"/>
        <v>0</v>
      </c>
      <c r="GU14" t="s">
        <v>729</v>
      </c>
      <c r="GV14" s="101">
        <f>GR24</f>
        <v>3.4949739206768929E-2</v>
      </c>
      <c r="GW14" s="22">
        <f t="shared" si="35"/>
        <v>33.328886967360596</v>
      </c>
      <c r="GX14">
        <v>4.5</v>
      </c>
      <c r="GY14">
        <f t="shared" si="92"/>
        <v>4.4999999999999998E-2</v>
      </c>
      <c r="GZ14">
        <v>0.75</v>
      </c>
      <c r="HA14">
        <f t="shared" si="93"/>
        <v>3.3750000000000002E-2</v>
      </c>
      <c r="HB14">
        <v>44.3</v>
      </c>
      <c r="HC14">
        <f t="shared" si="94"/>
        <v>1.495125</v>
      </c>
      <c r="HD14">
        <v>70.9769741921898</v>
      </c>
      <c r="HE14">
        <v>7.3169105356480999E-3</v>
      </c>
      <c r="HF14">
        <v>6.0998104818480998E-4</v>
      </c>
      <c r="HG14" s="22">
        <f t="shared" si="95"/>
        <v>49.830852127075012</v>
      </c>
      <c r="HH14" s="22">
        <f t="shared" si="36"/>
        <v>3536.8431053982295</v>
      </c>
      <c r="HI14" s="22">
        <f t="shared" si="37"/>
        <v>0.36460788692891771</v>
      </c>
      <c r="HJ14" s="22">
        <f t="shared" si="38"/>
        <v>3.0395875412415483E-2</v>
      </c>
      <c r="HK14" s="437">
        <f t="shared" si="39"/>
        <v>3555.1070332165291</v>
      </c>
      <c r="HL14">
        <v>3.34</v>
      </c>
      <c r="HM14">
        <f t="shared" si="96"/>
        <v>5009331.7111942964</v>
      </c>
      <c r="HN14" s="237">
        <f t="shared" si="97"/>
        <v>5009.3317111942961</v>
      </c>
      <c r="HO14">
        <v>138.4</v>
      </c>
      <c r="HP14" s="237">
        <f t="shared" si="98"/>
        <v>4612.7179562827059</v>
      </c>
      <c r="HQ14" s="237"/>
      <c r="HR14" t="s">
        <v>728</v>
      </c>
      <c r="HS14" s="22">
        <f>SUM(HK19:HK20)</f>
        <v>1860.0835099704909</v>
      </c>
      <c r="HT14" s="22">
        <f>SUM(HN19:HN20)</f>
        <v>1806.4783446466897</v>
      </c>
      <c r="HU14" s="22">
        <f>SUM(HP19:HP20)</f>
        <v>1768.1375615450461</v>
      </c>
      <c r="HV14" s="237"/>
      <c r="HX14" s="505" t="s">
        <v>726</v>
      </c>
      <c r="HY14" s="505">
        <v>13</v>
      </c>
      <c r="HZ14" s="505">
        <v>1</v>
      </c>
      <c r="IA14" s="506">
        <v>0.08</v>
      </c>
      <c r="IB14" s="505" t="s">
        <v>409</v>
      </c>
      <c r="IC14" s="505" t="s">
        <v>409</v>
      </c>
      <c r="IE14" s="95">
        <f t="shared" si="9"/>
        <v>1.8055555555555555E-3</v>
      </c>
      <c r="IF14" s="95">
        <f t="shared" si="9"/>
        <v>2.8011204481792715E-4</v>
      </c>
      <c r="IH14" s="22">
        <v>0</v>
      </c>
      <c r="II14" s="95">
        <f t="shared" si="40"/>
        <v>0</v>
      </c>
      <c r="IJ14" s="95">
        <f t="shared" si="41"/>
        <v>0</v>
      </c>
      <c r="IM14" t="s">
        <v>729</v>
      </c>
      <c r="IN14" s="101">
        <f>IJ24</f>
        <v>2.9604654434111671E-2</v>
      </c>
      <c r="IO14" s="22">
        <f t="shared" si="42"/>
        <v>28.013113275680027</v>
      </c>
      <c r="IP14">
        <v>4.5</v>
      </c>
      <c r="IQ14">
        <f t="shared" si="99"/>
        <v>4.4999999999999998E-2</v>
      </c>
      <c r="IR14">
        <v>0.75</v>
      </c>
      <c r="IS14">
        <f t="shared" si="100"/>
        <v>3.3750000000000002E-2</v>
      </c>
      <c r="IT14">
        <v>44.3</v>
      </c>
      <c r="IU14">
        <f t="shared" si="101"/>
        <v>1.495125</v>
      </c>
      <c r="IV14">
        <v>70.9769741921898</v>
      </c>
      <c r="IW14">
        <v>7.3169105356480999E-3</v>
      </c>
      <c r="IX14">
        <v>6.0998104818480998E-4</v>
      </c>
      <c r="IY14" s="22">
        <f t="shared" si="43"/>
        <v>41.883105986301103</v>
      </c>
      <c r="IZ14" s="22">
        <f t="shared" si="44"/>
        <v>2972.7361326784435</v>
      </c>
      <c r="JA14" s="22">
        <f t="shared" si="45"/>
        <v>0.30645493945683255</v>
      </c>
      <c r="JB14" s="22">
        <f t="shared" si="46"/>
        <v>2.5547900890759437E-2</v>
      </c>
      <c r="JC14" s="437">
        <f t="shared" si="47"/>
        <v>2988.087064719286</v>
      </c>
      <c r="JD14">
        <v>3.34</v>
      </c>
      <c r="JE14">
        <f t="shared" si="48"/>
        <v>4210370.9253347078</v>
      </c>
      <c r="JF14" s="237">
        <f t="shared" si="102"/>
        <v>4210.3709253347079</v>
      </c>
      <c r="JG14">
        <v>138.4</v>
      </c>
      <c r="JH14" s="237">
        <f t="shared" si="49"/>
        <v>3877.0148773541159</v>
      </c>
      <c r="JJ14" t="s">
        <v>728</v>
      </c>
      <c r="JK14" s="22">
        <f>SUM(JC19:JC20)</f>
        <v>1587.3665255200294</v>
      </c>
      <c r="JL14" s="22">
        <f>SUM(JF19:JF20)</f>
        <v>1542.5980973376884</v>
      </c>
      <c r="JM14" s="22">
        <f>SUM(JH19:JH20)</f>
        <v>1520.829745531762</v>
      </c>
      <c r="JP14" s="419" t="s">
        <v>726</v>
      </c>
      <c r="JQ14" s="411">
        <v>13</v>
      </c>
      <c r="JR14" s="411">
        <v>1</v>
      </c>
      <c r="JS14" s="412">
        <v>0.08</v>
      </c>
      <c r="JT14" s="411" t="s">
        <v>409</v>
      </c>
      <c r="JU14" s="421" t="s">
        <v>409</v>
      </c>
      <c r="JW14" s="95">
        <f t="shared" si="10"/>
        <v>1.8465909090909091E-3</v>
      </c>
      <c r="JX14" s="95">
        <f t="shared" si="10"/>
        <v>2.8951939779965256E-4</v>
      </c>
      <c r="JZ14" s="22">
        <v>0</v>
      </c>
      <c r="KA14" s="95">
        <f t="shared" si="11"/>
        <v>0</v>
      </c>
      <c r="KD14" t="s">
        <v>729</v>
      </c>
      <c r="KE14" s="101">
        <f>KA24</f>
        <v>1.9460266621831587E-2</v>
      </c>
      <c r="KF14" s="22">
        <f t="shared" si="50"/>
        <v>20.684190234786413</v>
      </c>
      <c r="KG14">
        <v>4.5</v>
      </c>
      <c r="KH14">
        <f t="shared" si="51"/>
        <v>4.4999999999999998E-2</v>
      </c>
      <c r="KI14">
        <v>0.75</v>
      </c>
      <c r="KJ14">
        <f t="shared" si="52"/>
        <v>3.3750000000000002E-2</v>
      </c>
      <c r="KK14">
        <v>44.3</v>
      </c>
      <c r="KL14">
        <f t="shared" si="53"/>
        <v>1.495125</v>
      </c>
      <c r="KM14">
        <v>72.416541095972974</v>
      </c>
      <c r="KN14">
        <f>7.87852632644844/1000</f>
        <v>7.8785263264484397E-3</v>
      </c>
      <c r="KO14">
        <f>0.93521034397128/1000</f>
        <v>9.3521034397127997E-4</v>
      </c>
      <c r="KP14" s="22">
        <f t="shared" si="54"/>
        <v>30.925449924785038</v>
      </c>
      <c r="KQ14" s="22">
        <f t="shared" si="55"/>
        <v>2239.5141153896502</v>
      </c>
      <c r="KR14" s="22">
        <f t="shared" si="56"/>
        <v>0.24364697138968183</v>
      </c>
      <c r="KS14" s="22">
        <f t="shared" si="57"/>
        <v>2.8921800661624811E-2</v>
      </c>
      <c r="KT14" s="437">
        <f t="shared" si="58"/>
        <v>2254.0005077638916</v>
      </c>
      <c r="KU14">
        <v>3.34</v>
      </c>
      <c r="KV14">
        <f t="shared" si="59"/>
        <v>3108833.7922883979</v>
      </c>
      <c r="KW14" s="237">
        <f t="shared" si="60"/>
        <v>3108.8337922883979</v>
      </c>
      <c r="KX14">
        <v>138.4</v>
      </c>
      <c r="KY14" s="237">
        <f t="shared" si="61"/>
        <v>2862.6919284944397</v>
      </c>
      <c r="LA14" t="s">
        <v>728</v>
      </c>
      <c r="LB14" s="22">
        <f>SUM(KT19:KT20)</f>
        <v>1799.3913993621193</v>
      </c>
      <c r="LC14" s="22">
        <f>SUM(KW19:KW20)</f>
        <v>1763.1857552249955</v>
      </c>
      <c r="LD14" s="22">
        <f>SUM(KY19:KY20)</f>
        <v>1728.0201519242898</v>
      </c>
      <c r="LF14" s="97" t="s">
        <v>726</v>
      </c>
      <c r="LG14" s="98">
        <v>13</v>
      </c>
      <c r="LH14" s="98">
        <v>0</v>
      </c>
      <c r="LI14" s="99">
        <v>0</v>
      </c>
      <c r="LJ14" s="98">
        <v>0</v>
      </c>
      <c r="LK14" s="106">
        <v>0</v>
      </c>
      <c r="LM14" s="95">
        <f>LG14/LG28</f>
        <v>1.8675477661255567E-3</v>
      </c>
      <c r="LN14" s="95">
        <f>LH14/LH28</f>
        <v>0</v>
      </c>
      <c r="LP14" s="22">
        <f t="shared" si="12"/>
        <v>0</v>
      </c>
      <c r="LQ14" s="95">
        <f t="shared" si="13"/>
        <v>0</v>
      </c>
      <c r="LT14" t="s">
        <v>729</v>
      </c>
      <c r="LU14" s="101">
        <v>0</v>
      </c>
      <c r="LV14" s="22">
        <f t="shared" si="62"/>
        <v>0</v>
      </c>
      <c r="LW14">
        <v>4.5</v>
      </c>
      <c r="LX14">
        <f t="shared" si="103"/>
        <v>4.4999999999999998E-2</v>
      </c>
      <c r="LY14">
        <v>0.75</v>
      </c>
      <c r="LZ14">
        <f t="shared" si="104"/>
        <v>3.3750000000000002E-2</v>
      </c>
      <c r="MA14">
        <v>44.3</v>
      </c>
      <c r="MB14">
        <f t="shared" si="105"/>
        <v>1.495125</v>
      </c>
      <c r="MC14">
        <v>73.416541095973002</v>
      </c>
      <c r="MD14">
        <f t="shared" si="113"/>
        <v>7.8785263264484397E-3</v>
      </c>
      <c r="ME14">
        <f t="shared" si="114"/>
        <v>9.3521034397127997E-4</v>
      </c>
      <c r="MF14" s="22">
        <f t="shared" si="63"/>
        <v>0</v>
      </c>
      <c r="MG14" s="22">
        <f t="shared" si="64"/>
        <v>0</v>
      </c>
      <c r="MH14" s="22">
        <f t="shared" si="65"/>
        <v>0</v>
      </c>
      <c r="MI14" s="22">
        <f t="shared" si="66"/>
        <v>0</v>
      </c>
      <c r="MJ14" s="437">
        <f t="shared" si="67"/>
        <v>0</v>
      </c>
      <c r="MK14">
        <v>3.34</v>
      </c>
      <c r="ML14">
        <f t="shared" si="68"/>
        <v>0</v>
      </c>
      <c r="MM14" s="237">
        <f t="shared" si="106"/>
        <v>0</v>
      </c>
      <c r="MN14">
        <v>138.4</v>
      </c>
      <c r="MO14" s="237">
        <f t="shared" si="69"/>
        <v>0</v>
      </c>
      <c r="MQ14" t="s">
        <v>728</v>
      </c>
      <c r="MR14" s="22">
        <f>SUM(MJ19:MJ20)</f>
        <v>2514.4428560449101</v>
      </c>
      <c r="MS14" s="22">
        <f>SUM(MM19:MM20)</f>
        <v>2501.1291791135345</v>
      </c>
      <c r="MT14" s="22">
        <f>SUM(MO19:MO20)</f>
        <v>2452.4595644798023</v>
      </c>
      <c r="MV14" s="419" t="s">
        <v>726</v>
      </c>
      <c r="MW14" s="411">
        <v>12</v>
      </c>
      <c r="MX14" s="411">
        <v>2</v>
      </c>
      <c r="MY14" s="412">
        <v>0.17</v>
      </c>
      <c r="MZ14" s="411">
        <v>3.46</v>
      </c>
      <c r="NA14" s="420">
        <v>1263</v>
      </c>
      <c r="NC14" s="95">
        <f t="shared" si="14"/>
        <v>1.7817371937639199E-3</v>
      </c>
      <c r="ND14" s="95">
        <f t="shared" si="14"/>
        <v>6.1862047633776682E-4</v>
      </c>
      <c r="NF14" s="22">
        <f t="shared" si="15"/>
        <v>1.5155999999999999E-2</v>
      </c>
      <c r="NG14" s="95">
        <f t="shared" si="16"/>
        <v>3.5680248058501302E-6</v>
      </c>
      <c r="NJ14" t="s">
        <v>729</v>
      </c>
      <c r="NK14" s="101">
        <v>0</v>
      </c>
      <c r="NL14" s="22">
        <f t="shared" si="70"/>
        <v>0</v>
      </c>
      <c r="NM14">
        <v>4</v>
      </c>
      <c r="NN14">
        <f t="shared" si="107"/>
        <v>0.04</v>
      </c>
      <c r="NO14">
        <v>0.75</v>
      </c>
      <c r="NP14">
        <f t="shared" si="108"/>
        <v>0.03</v>
      </c>
      <c r="NQ14">
        <v>44.3</v>
      </c>
      <c r="NR14">
        <f t="shared" si="109"/>
        <v>1.329</v>
      </c>
      <c r="NS14">
        <v>73.416541095973002</v>
      </c>
      <c r="NT14">
        <f t="shared" si="115"/>
        <v>7.8785263264484397E-3</v>
      </c>
      <c r="NU14">
        <f t="shared" si="116"/>
        <v>9.3521034397127997E-4</v>
      </c>
      <c r="NV14" s="22">
        <f t="shared" si="71"/>
        <v>0</v>
      </c>
      <c r="NW14" s="22">
        <f t="shared" si="72"/>
        <v>0</v>
      </c>
      <c r="NX14" s="22">
        <f t="shared" si="73"/>
        <v>0</v>
      </c>
      <c r="NY14" s="22">
        <f t="shared" si="74"/>
        <v>0</v>
      </c>
      <c r="NZ14" s="437">
        <f t="shared" si="75"/>
        <v>0</v>
      </c>
      <c r="OA14">
        <v>3.34</v>
      </c>
      <c r="OB14">
        <f t="shared" si="76"/>
        <v>0</v>
      </c>
      <c r="OC14" s="237">
        <f t="shared" si="110"/>
        <v>0</v>
      </c>
      <c r="OD14">
        <v>137</v>
      </c>
      <c r="OE14" s="237">
        <f t="shared" si="77"/>
        <v>0</v>
      </c>
      <c r="OG14" t="s">
        <v>728</v>
      </c>
      <c r="OH14" s="22">
        <f>SUM(NZ19:NZ20)</f>
        <v>2645.6739840725895</v>
      </c>
      <c r="OI14" s="22">
        <f>SUM(OC19:OC20)</f>
        <v>2632.2060605113979</v>
      </c>
      <c r="OJ14" s="22">
        <f>SUM(OE19:OE20)</f>
        <v>2577.152001834198</v>
      </c>
      <c r="OL14" t="s">
        <v>728</v>
      </c>
      <c r="OM14" s="22">
        <f t="shared" si="117"/>
        <v>2573.506457639623</v>
      </c>
      <c r="ON14" s="22">
        <f t="shared" si="117"/>
        <v>2560.4059061490079</v>
      </c>
      <c r="OO14" s="22">
        <f t="shared" si="117"/>
        <v>2506.8535877688923</v>
      </c>
      <c r="OQ14" t="s">
        <v>728</v>
      </c>
      <c r="OR14" s="22">
        <f t="shared" si="118"/>
        <v>2382.8161387719724</v>
      </c>
      <c r="OS14" s="22">
        <f t="shared" si="118"/>
        <v>2370.6863050091765</v>
      </c>
      <c r="OT14" s="22">
        <f t="shared" si="118"/>
        <v>2321.1020779612941</v>
      </c>
    </row>
    <row r="15" spans="1:410" ht="16.5" customHeight="1" thickBot="1" x14ac:dyDescent="0.5">
      <c r="A15" s="981"/>
      <c r="B15" s="159" t="s">
        <v>730</v>
      </c>
      <c r="C15" s="160">
        <v>40229</v>
      </c>
      <c r="D15" s="161">
        <v>40965</v>
      </c>
      <c r="E15" s="162">
        <v>39578</v>
      </c>
      <c r="F15" s="201">
        <v>120772</v>
      </c>
      <c r="G15" s="200">
        <v>569836.38242838928</v>
      </c>
      <c r="H15" s="165"/>
      <c r="I15" s="157"/>
      <c r="J15" s="157"/>
      <c r="K15" s="157"/>
      <c r="L15" s="157"/>
      <c r="M15" s="285"/>
      <c r="N15" s="157"/>
      <c r="O15" s="157"/>
      <c r="P15" s="157"/>
      <c r="Q15" s="157"/>
      <c r="S15" s="606">
        <v>2019</v>
      </c>
      <c r="V15">
        <f>Y25/V25</f>
        <v>0.88264369439344714</v>
      </c>
      <c r="AA15" t="s">
        <v>731</v>
      </c>
      <c r="AK15" s="701" t="s">
        <v>722</v>
      </c>
      <c r="AL15" s="695">
        <v>39</v>
      </c>
      <c r="AP15" s="968" t="s">
        <v>732</v>
      </c>
      <c r="AQ15" s="969"/>
      <c r="AR15" s="969"/>
      <c r="AS15" s="969"/>
      <c r="AT15" s="969"/>
      <c r="AU15" s="970"/>
      <c r="AV15" s="23">
        <f>SUM(AQ9:AQ14)</f>
        <v>39388</v>
      </c>
      <c r="AY15">
        <f t="shared" ref="AY15" si="122">AQ15*AU15/1000000</f>
        <v>0</v>
      </c>
      <c r="BA15" s="95">
        <f t="shared" si="17"/>
        <v>0</v>
      </c>
      <c r="BB15" s="95"/>
      <c r="BC15" s="95"/>
      <c r="BE15" t="s">
        <v>729</v>
      </c>
      <c r="BF15" s="101">
        <f>BA24</f>
        <v>5.9256607446584161E-2</v>
      </c>
      <c r="BG15" s="22">
        <f t="shared" si="78"/>
        <v>68.657179226730122</v>
      </c>
      <c r="BH15">
        <v>4.5</v>
      </c>
      <c r="BI15">
        <f t="shared" ref="BI15:BI29" si="123">BH15/100</f>
        <v>4.4999999999999998E-2</v>
      </c>
      <c r="BJ15">
        <v>0.75</v>
      </c>
      <c r="BK15">
        <f t="shared" ref="BK15:BK29" si="124">BJ15*BI15</f>
        <v>3.3750000000000002E-2</v>
      </c>
      <c r="BL15">
        <v>44.3</v>
      </c>
      <c r="BM15">
        <f t="shared" si="79"/>
        <v>1.495125</v>
      </c>
      <c r="BN15">
        <v>72.335002492541093</v>
      </c>
      <c r="BO15">
        <v>7.1637159556547196E-3</v>
      </c>
      <c r="BP15">
        <v>4.7891015874360001E-4</v>
      </c>
      <c r="BQ15" s="22">
        <f t="shared" si="119"/>
        <v>102.65106509136487</v>
      </c>
      <c r="BR15" s="22">
        <f t="shared" si="120"/>
        <v>7425.2650492458761</v>
      </c>
      <c r="BS15" s="22">
        <f t="shared" si="81"/>
        <v>0.73536307285996172</v>
      </c>
      <c r="BT15" s="22">
        <f t="shared" si="82"/>
        <v>4.9160637878105165E-2</v>
      </c>
      <c r="BU15" s="437">
        <f t="shared" si="20"/>
        <v>7458.8827843236522</v>
      </c>
      <c r="BV15">
        <v>3.34</v>
      </c>
      <c r="BW15">
        <f t="shared" si="111"/>
        <v>10319174.037777536</v>
      </c>
      <c r="BX15" s="237">
        <f t="shared" si="83"/>
        <v>10319.174037777535</v>
      </c>
      <c r="BY15">
        <v>137</v>
      </c>
      <c r="BZ15" s="237">
        <f t="shared" si="84"/>
        <v>9406.0335540620272</v>
      </c>
      <c r="CA15" s="237"/>
      <c r="CB15" s="237"/>
      <c r="CC15" s="16" t="s">
        <v>733</v>
      </c>
      <c r="CD15" s="22">
        <f>SUM(BU22:BU23)</f>
        <v>38080.30095853618</v>
      </c>
      <c r="CE15" s="22">
        <f>SUM(BX22:BX23)</f>
        <v>37361.341538176188</v>
      </c>
      <c r="CF15" s="22">
        <f>SUM(BZ22:BZ23)</f>
        <v>25857.625910718503</v>
      </c>
      <c r="CI15" s="701" t="s">
        <v>726</v>
      </c>
      <c r="CJ15" s="695">
        <v>2</v>
      </c>
      <c r="CN15" s="968" t="s">
        <v>732</v>
      </c>
      <c r="CO15" s="969"/>
      <c r="CP15" s="969"/>
      <c r="CQ15" s="969"/>
      <c r="CR15" s="969"/>
      <c r="CS15" s="970"/>
      <c r="CT15" s="23">
        <f>SUM(CO9:CO14)</f>
        <v>39388</v>
      </c>
      <c r="CW15">
        <f t="shared" ref="CW15:CW22" si="125">CO15*CS15/1000000</f>
        <v>0</v>
      </c>
      <c r="CY15" s="95">
        <f t="shared" si="18"/>
        <v>0</v>
      </c>
      <c r="CZ15" s="95"/>
      <c r="DA15" s="95"/>
      <c r="DC15" t="s">
        <v>729</v>
      </c>
      <c r="DD15" s="101">
        <f>CY24</f>
        <v>5.9256607446584161E-2</v>
      </c>
      <c r="DE15" s="22">
        <f t="shared" si="85"/>
        <v>68.657179226730122</v>
      </c>
      <c r="DF15">
        <v>4.5</v>
      </c>
      <c r="DG15">
        <f t="shared" ref="DG15:DG29" si="126">DF15/100</f>
        <v>4.4999999999999998E-2</v>
      </c>
      <c r="DH15">
        <v>0.75</v>
      </c>
      <c r="DI15">
        <f t="shared" ref="DI15:DI29" si="127">DH15*DG15</f>
        <v>3.3750000000000002E-2</v>
      </c>
      <c r="DJ15">
        <v>44.3</v>
      </c>
      <c r="DK15">
        <f t="shared" si="86"/>
        <v>1.495125</v>
      </c>
      <c r="DL15">
        <v>72.335002492541093</v>
      </c>
      <c r="DM15">
        <v>7.1637159556547196E-3</v>
      </c>
      <c r="DN15">
        <v>4.7891015874360001E-4</v>
      </c>
      <c r="DO15" s="22">
        <f t="shared" si="121"/>
        <v>102.65106509136487</v>
      </c>
      <c r="DP15" s="22">
        <f t="shared" si="87"/>
        <v>7425.2650492458761</v>
      </c>
      <c r="DQ15" s="22">
        <f t="shared" si="88"/>
        <v>0.73536307285996172</v>
      </c>
      <c r="DR15" s="22">
        <f t="shared" si="89"/>
        <v>4.9160637878105165E-2</v>
      </c>
      <c r="DS15" s="437">
        <f t="shared" si="21"/>
        <v>7458.8827843236522</v>
      </c>
      <c r="DT15">
        <v>3.34</v>
      </c>
      <c r="DU15">
        <f t="shared" si="112"/>
        <v>10319174.037777536</v>
      </c>
      <c r="DV15" s="237">
        <f t="shared" si="90"/>
        <v>10319.174037777535</v>
      </c>
      <c r="DW15">
        <v>137</v>
      </c>
      <c r="DX15" s="237">
        <f t="shared" si="91"/>
        <v>9406.0335540620272</v>
      </c>
      <c r="DY15" s="237"/>
      <c r="DZ15" s="237"/>
      <c r="EA15" s="16" t="s">
        <v>733</v>
      </c>
      <c r="EB15" s="22">
        <f>SUM(DS22:DS23)</f>
        <v>38080.30095853618</v>
      </c>
      <c r="EC15" s="22">
        <f>SUM(DV22:DV23)</f>
        <v>37361.341538176188</v>
      </c>
      <c r="ED15" s="22">
        <f>SUM(DX22:DX23)</f>
        <v>25857.625910718503</v>
      </c>
      <c r="EJ15" s="971" t="s">
        <v>732</v>
      </c>
      <c r="EK15" s="972"/>
      <c r="EL15" s="972"/>
      <c r="EM15" s="972"/>
      <c r="EN15" s="972"/>
      <c r="EO15" s="973"/>
      <c r="EP15" s="23">
        <f>SUM(EK9:EK14)</f>
        <v>147513</v>
      </c>
      <c r="ES15">
        <f t="shared" ref="ES15:ES36" si="128">EK15*EO15/1000000</f>
        <v>0</v>
      </c>
      <c r="EU15" s="95">
        <f t="shared" si="6"/>
        <v>0</v>
      </c>
      <c r="EV15" s="95">
        <f t="shared" si="22"/>
        <v>0</v>
      </c>
      <c r="EY15" t="s">
        <v>729</v>
      </c>
      <c r="EZ15" s="101">
        <f>EV24</f>
        <v>4.5730459881246882E-2</v>
      </c>
      <c r="FA15" s="22">
        <f>EZ15*$EX$9</f>
        <v>45.785972895195279</v>
      </c>
      <c r="FB15">
        <v>4.5</v>
      </c>
      <c r="FC15">
        <f t="shared" si="23"/>
        <v>4.4999999999999998E-2</v>
      </c>
      <c r="FD15">
        <v>0.75</v>
      </c>
      <c r="FE15">
        <f t="shared" si="24"/>
        <v>3.3750000000000002E-2</v>
      </c>
      <c r="FF15">
        <v>44.3</v>
      </c>
      <c r="FG15">
        <f t="shared" si="25"/>
        <v>1.495125</v>
      </c>
      <c r="FH15">
        <v>72.335002492541093</v>
      </c>
      <c r="FI15">
        <v>7.1637159556547196E-3</v>
      </c>
      <c r="FJ15">
        <v>4.7891015874360001E-4</v>
      </c>
      <c r="FK15" s="22">
        <f t="shared" si="26"/>
        <v>68.455752724928843</v>
      </c>
      <c r="FL15" s="22">
        <f t="shared" si="27"/>
        <v>4951.7470439865047</v>
      </c>
      <c r="FM15" s="22">
        <f t="shared" si="28"/>
        <v>0.4903975680519268</v>
      </c>
      <c r="FN15" s="22">
        <f t="shared" si="29"/>
        <v>3.2784155404408301E-2</v>
      </c>
      <c r="FO15" s="437">
        <f t="shared" si="30"/>
        <v>4974.1659770741271</v>
      </c>
      <c r="FP15">
        <v>3.34</v>
      </c>
      <c r="FQ15">
        <f t="shared" si="31"/>
        <v>6881631.72614785</v>
      </c>
      <c r="FR15" s="237">
        <f t="shared" si="32"/>
        <v>6881.6317261478498</v>
      </c>
      <c r="FS15">
        <v>138.4</v>
      </c>
      <c r="FT15" s="237">
        <f t="shared" si="33"/>
        <v>6336.7786486950272</v>
      </c>
      <c r="FV15" s="237"/>
      <c r="FW15" t="s">
        <v>733</v>
      </c>
      <c r="FX15" s="22">
        <f>SUM(FO22:FO23)</f>
        <v>41319.283477008459</v>
      </c>
      <c r="FY15" s="22">
        <f>SUM(FR22:FR23)</f>
        <v>40516.867876516211</v>
      </c>
      <c r="FZ15" s="22">
        <f>SUM(FT22:FT23)</f>
        <v>28675.270283331811</v>
      </c>
      <c r="GA15" s="22"/>
      <c r="GB15"/>
      <c r="GC15"/>
      <c r="GD15" s="237"/>
      <c r="GF15" s="971" t="s">
        <v>732</v>
      </c>
      <c r="GG15" s="972"/>
      <c r="GH15" s="972"/>
      <c r="GI15" s="972"/>
      <c r="GJ15" s="972"/>
      <c r="GK15" s="973"/>
      <c r="GL15" s="23">
        <f>SUM(GK9:GK14)</f>
        <v>39811</v>
      </c>
      <c r="GP15" s="22">
        <f t="shared" ref="GP15:GP22" si="129">GK15*GG15/1000000</f>
        <v>0</v>
      </c>
      <c r="GQ15" s="95">
        <f t="shared" si="8"/>
        <v>0</v>
      </c>
      <c r="GR15" s="95">
        <f t="shared" si="34"/>
        <v>0</v>
      </c>
      <c r="GU15" t="s">
        <v>734</v>
      </c>
      <c r="GV15" s="101">
        <f>GR25</f>
        <v>7.4825271830508508E-2</v>
      </c>
      <c r="GW15" s="22">
        <f t="shared" si="35"/>
        <v>71.35512549570187</v>
      </c>
      <c r="GX15">
        <v>4.5</v>
      </c>
      <c r="GY15">
        <f t="shared" si="92"/>
        <v>4.4999999999999998E-2</v>
      </c>
      <c r="GZ15">
        <v>0.75</v>
      </c>
      <c r="HA15">
        <f t="shared" si="93"/>
        <v>3.3750000000000002E-2</v>
      </c>
      <c r="HB15">
        <v>44.3</v>
      </c>
      <c r="HC15">
        <f t="shared" si="94"/>
        <v>1.495125</v>
      </c>
      <c r="HD15">
        <v>70.9769741921898</v>
      </c>
      <c r="HE15">
        <v>7.3169105356480999E-3</v>
      </c>
      <c r="HF15">
        <v>6.0998104818480998E-4</v>
      </c>
      <c r="HG15" s="22">
        <f t="shared" si="95"/>
        <v>106.68483200676125</v>
      </c>
      <c r="HH15" s="22">
        <f t="shared" si="36"/>
        <v>7572.1665680419983</v>
      </c>
      <c r="HI15" s="22">
        <f t="shared" si="37"/>
        <v>0.78060337130411905</v>
      </c>
      <c r="HJ15" s="22">
        <f t="shared" si="38"/>
        <v>6.5075725652904592E-2</v>
      </c>
      <c r="HK15" s="437">
        <f t="shared" si="39"/>
        <v>7611.2685297365333</v>
      </c>
      <c r="HL15">
        <v>4.34</v>
      </c>
      <c r="HM15">
        <f t="shared" si="96"/>
        <v>13935656.009310573</v>
      </c>
      <c r="HN15" s="237">
        <f t="shared" si="97"/>
        <v>13935.656009310573</v>
      </c>
      <c r="HO15">
        <v>138.4</v>
      </c>
      <c r="HP15" s="237">
        <f t="shared" si="98"/>
        <v>9875.5493686051377</v>
      </c>
      <c r="HQ15" s="237"/>
      <c r="HR15" t="s">
        <v>733</v>
      </c>
      <c r="HS15" s="22">
        <f>SUM(HK21:HK22)</f>
        <v>37585.887627718359</v>
      </c>
      <c r="HT15" s="22">
        <f>SUM(HN21:HN22)</f>
        <v>36812.863291223992</v>
      </c>
      <c r="HU15" s="22">
        <f>SUM(HP21:HP22)</f>
        <v>26129.21629683076</v>
      </c>
      <c r="HV15" s="237"/>
      <c r="HX15" s="1033" t="s">
        <v>732</v>
      </c>
      <c r="HY15" s="1033"/>
      <c r="HZ15" s="1033"/>
      <c r="IA15" s="1033"/>
      <c r="IB15" s="1033"/>
      <c r="IC15" s="1033"/>
      <c r="ID15" s="23">
        <f>SUM(IC9:IC14)</f>
        <v>43253</v>
      </c>
      <c r="IH15" s="22">
        <f t="shared" ref="IH15:IH24" si="130">IC15*HY15/1000000</f>
        <v>0</v>
      </c>
      <c r="II15" s="95">
        <f t="shared" si="40"/>
        <v>0</v>
      </c>
      <c r="IJ15" s="95">
        <f t="shared" si="41"/>
        <v>0</v>
      </c>
      <c r="IM15" t="s">
        <v>734</v>
      </c>
      <c r="IN15" s="101">
        <f>IJ25</f>
        <v>6.1302828516408864E-2</v>
      </c>
      <c r="IO15" s="22">
        <f t="shared" si="42"/>
        <v>58.007198941360613</v>
      </c>
      <c r="IP15">
        <v>4.5</v>
      </c>
      <c r="IQ15">
        <f t="shared" si="99"/>
        <v>4.4999999999999998E-2</v>
      </c>
      <c r="IR15">
        <v>0.75</v>
      </c>
      <c r="IS15">
        <f t="shared" si="100"/>
        <v>3.3750000000000002E-2</v>
      </c>
      <c r="IT15">
        <v>44.3</v>
      </c>
      <c r="IU15">
        <f t="shared" si="101"/>
        <v>1.495125</v>
      </c>
      <c r="IV15">
        <v>70.9769741921898</v>
      </c>
      <c r="IW15">
        <v>7.3169105356480999E-3</v>
      </c>
      <c r="IX15">
        <v>6.0998104818480998E-4</v>
      </c>
      <c r="IY15" s="22">
        <f t="shared" si="43"/>
        <v>86.728013317201786</v>
      </c>
      <c r="IZ15" s="22">
        <f t="shared" si="44"/>
        <v>6155.6919629549247</v>
      </c>
      <c r="JA15" s="22">
        <f t="shared" si="45"/>
        <v>0.63458111437646247</v>
      </c>
      <c r="JB15" s="22">
        <f t="shared" si="46"/>
        <v>5.2902444470212903E-2</v>
      </c>
      <c r="JC15" s="437">
        <f t="shared" si="47"/>
        <v>6187.479381942072</v>
      </c>
      <c r="JD15">
        <v>4.34</v>
      </c>
      <c r="JE15">
        <f t="shared" si="48"/>
        <v>11328805.953247728</v>
      </c>
      <c r="JF15" s="237">
        <f t="shared" si="102"/>
        <v>11328.805953247727</v>
      </c>
      <c r="JG15">
        <v>138.4</v>
      </c>
      <c r="JH15" s="237">
        <f t="shared" si="49"/>
        <v>8028.1963334843094</v>
      </c>
      <c r="JJ15" t="s">
        <v>733</v>
      </c>
      <c r="JK15" s="22">
        <f>SUM(JC21:JC22)</f>
        <v>39874.260863758856</v>
      </c>
      <c r="JL15" s="22">
        <f>SUM(JF21:JF22)</f>
        <v>39057.476304091673</v>
      </c>
      <c r="JM15" s="22">
        <f>SUM(JH21:JH22)</f>
        <v>27830.363485125137</v>
      </c>
      <c r="JP15" s="430" t="s">
        <v>732</v>
      </c>
      <c r="JQ15" s="431"/>
      <c r="JR15" s="431"/>
      <c r="JS15" s="431"/>
      <c r="JT15" s="431"/>
      <c r="JU15" s="432"/>
      <c r="JV15" s="23">
        <f>SUM(JU9:JU14)</f>
        <v>42302</v>
      </c>
      <c r="JZ15" s="22">
        <f t="shared" ref="JZ15:JZ25" si="131">JU15*JQ15/1000000</f>
        <v>0</v>
      </c>
      <c r="KA15" s="95">
        <f t="shared" si="11"/>
        <v>0</v>
      </c>
      <c r="KD15" t="s">
        <v>734</v>
      </c>
      <c r="KE15" s="101">
        <f>KA25</f>
        <v>3.8165633882624714E-2</v>
      </c>
      <c r="KF15" s="22">
        <f t="shared" si="50"/>
        <v>40.566002871399483</v>
      </c>
      <c r="KG15">
        <v>4.5</v>
      </c>
      <c r="KH15">
        <f t="shared" si="51"/>
        <v>4.4999999999999998E-2</v>
      </c>
      <c r="KI15">
        <v>0.75</v>
      </c>
      <c r="KJ15">
        <f t="shared" si="52"/>
        <v>3.3750000000000002E-2</v>
      </c>
      <c r="KK15">
        <v>44.3</v>
      </c>
      <c r="KL15">
        <f t="shared" si="53"/>
        <v>1.495125</v>
      </c>
      <c r="KM15">
        <v>72.416541095972974</v>
      </c>
      <c r="KN15">
        <f>7.87852632644844/1000</f>
        <v>7.8785263264484397E-3</v>
      </c>
      <c r="KO15">
        <f>0.93521034397128/1000</f>
        <v>9.3521034397127997E-4</v>
      </c>
      <c r="KP15" s="22">
        <f t="shared" si="54"/>
        <v>60.651245043101156</v>
      </c>
      <c r="KQ15" s="22">
        <f t="shared" si="55"/>
        <v>4392.1533791856618</v>
      </c>
      <c r="KR15" s="22">
        <f t="shared" si="56"/>
        <v>0.47784243080394789</v>
      </c>
      <c r="KS15" s="22">
        <f t="shared" si="57"/>
        <v>5.6721671739045021E-2</v>
      </c>
      <c r="KT15" s="437">
        <f t="shared" si="58"/>
        <v>4420.5642102590191</v>
      </c>
      <c r="KU15">
        <v>4.34</v>
      </c>
      <c r="KV15">
        <f t="shared" si="59"/>
        <v>7922540.3607843174</v>
      </c>
      <c r="KW15" s="237">
        <f t="shared" si="60"/>
        <v>7922.5403607843173</v>
      </c>
      <c r="KX15">
        <v>138.4</v>
      </c>
      <c r="KY15" s="237">
        <f t="shared" si="61"/>
        <v>5614.3347974016888</v>
      </c>
      <c r="LA15" t="s">
        <v>733</v>
      </c>
      <c r="LB15" s="22">
        <f>SUM(KT21:KT22)</f>
        <v>33730.285531500114</v>
      </c>
      <c r="LC15" s="22">
        <f>SUM(KW21:KW22)</f>
        <v>33217.932942691063</v>
      </c>
      <c r="LD15" s="22">
        <f>SUM(KY21:KY22)</f>
        <v>23769.257526141169</v>
      </c>
      <c r="LF15" s="1003" t="s">
        <v>732</v>
      </c>
      <c r="LG15" s="1004"/>
      <c r="LH15" s="1004"/>
      <c r="LI15" s="1004"/>
      <c r="LJ15" s="1004"/>
      <c r="LK15" s="1005"/>
      <c r="LL15" s="23">
        <f>SUM(LK9:LK14)</f>
        <v>68289</v>
      </c>
      <c r="LP15" s="22">
        <f t="shared" si="12"/>
        <v>0</v>
      </c>
      <c r="LQ15" s="95">
        <f t="shared" si="13"/>
        <v>0</v>
      </c>
      <c r="LT15" t="s">
        <v>734</v>
      </c>
      <c r="LU15" s="101">
        <v>0</v>
      </c>
      <c r="LV15" s="22">
        <f t="shared" si="62"/>
        <v>0</v>
      </c>
      <c r="LW15">
        <v>4.5</v>
      </c>
      <c r="LX15">
        <f t="shared" si="103"/>
        <v>4.4999999999999998E-2</v>
      </c>
      <c r="LY15">
        <v>0.75</v>
      </c>
      <c r="LZ15">
        <f t="shared" si="104"/>
        <v>3.3750000000000002E-2</v>
      </c>
      <c r="MA15">
        <v>44.3</v>
      </c>
      <c r="MB15">
        <f t="shared" si="105"/>
        <v>1.495125</v>
      </c>
      <c r="MC15">
        <v>74.416541095973002</v>
      </c>
      <c r="MD15">
        <f t="shared" si="113"/>
        <v>7.8785263264484397E-3</v>
      </c>
      <c r="ME15">
        <f t="shared" si="114"/>
        <v>9.3521034397127997E-4</v>
      </c>
      <c r="MF15" s="22">
        <f t="shared" si="63"/>
        <v>0</v>
      </c>
      <c r="MG15" s="22">
        <f t="shared" si="64"/>
        <v>0</v>
      </c>
      <c r="MH15" s="22">
        <f t="shared" si="65"/>
        <v>0</v>
      </c>
      <c r="MI15" s="22">
        <f t="shared" si="66"/>
        <v>0</v>
      </c>
      <c r="MJ15" s="437">
        <f t="shared" si="67"/>
        <v>0</v>
      </c>
      <c r="MK15">
        <v>4.34</v>
      </c>
      <c r="ML15">
        <f t="shared" si="68"/>
        <v>0</v>
      </c>
      <c r="MM15" s="237">
        <f t="shared" si="106"/>
        <v>0</v>
      </c>
      <c r="MN15">
        <v>138.4</v>
      </c>
      <c r="MO15" s="237">
        <f t="shared" si="69"/>
        <v>0</v>
      </c>
      <c r="MQ15" t="s">
        <v>733</v>
      </c>
      <c r="MR15" s="22">
        <f>SUM(MJ21:MJ22)</f>
        <v>37429.789056419664</v>
      </c>
      <c r="MS15" s="22">
        <f>SUM(MM21:MM22)</f>
        <v>36887.909947313783</v>
      </c>
      <c r="MT15" s="22">
        <f>SUM(MO21:MO22)</f>
        <v>26509.156187129855</v>
      </c>
      <c r="MV15" s="994" t="s">
        <v>732</v>
      </c>
      <c r="MW15" s="995"/>
      <c r="MX15" s="995"/>
      <c r="MY15" s="995"/>
      <c r="MZ15" s="995"/>
      <c r="NA15" s="996"/>
      <c r="NB15" s="23">
        <f>SUM(NA9:NA14)</f>
        <v>67784</v>
      </c>
      <c r="NF15" s="22">
        <f t="shared" si="15"/>
        <v>0</v>
      </c>
      <c r="NG15" s="95">
        <f t="shared" si="16"/>
        <v>0</v>
      </c>
      <c r="NJ15" t="s">
        <v>734</v>
      </c>
      <c r="NK15" s="101">
        <v>0</v>
      </c>
      <c r="NL15" s="22">
        <f t="shared" si="70"/>
        <v>0</v>
      </c>
      <c r="NM15">
        <v>4</v>
      </c>
      <c r="NN15">
        <f t="shared" si="107"/>
        <v>0.04</v>
      </c>
      <c r="NO15">
        <v>0.75</v>
      </c>
      <c r="NP15">
        <f t="shared" si="108"/>
        <v>0.03</v>
      </c>
      <c r="NQ15">
        <v>44.3</v>
      </c>
      <c r="NR15">
        <f t="shared" si="109"/>
        <v>1.329</v>
      </c>
      <c r="NS15">
        <v>74.416541095973002</v>
      </c>
      <c r="NT15">
        <f t="shared" si="115"/>
        <v>7.8785263264484397E-3</v>
      </c>
      <c r="NU15">
        <f t="shared" si="116"/>
        <v>9.3521034397127997E-4</v>
      </c>
      <c r="NV15" s="22">
        <f t="shared" si="71"/>
        <v>0</v>
      </c>
      <c r="NW15" s="22">
        <f t="shared" si="72"/>
        <v>0</v>
      </c>
      <c r="NX15" s="22">
        <f t="shared" si="73"/>
        <v>0</v>
      </c>
      <c r="NY15" s="22">
        <f t="shared" si="74"/>
        <v>0</v>
      </c>
      <c r="NZ15" s="437">
        <f t="shared" si="75"/>
        <v>0</v>
      </c>
      <c r="OA15">
        <v>4.34</v>
      </c>
      <c r="OB15">
        <f t="shared" si="76"/>
        <v>0</v>
      </c>
      <c r="OC15" s="237">
        <f t="shared" si="110"/>
        <v>0</v>
      </c>
      <c r="OD15">
        <v>137</v>
      </c>
      <c r="OE15" s="237">
        <f t="shared" si="77"/>
        <v>0</v>
      </c>
      <c r="OG15" t="s">
        <v>733</v>
      </c>
      <c r="OH15" s="22">
        <f>SUM(NZ21:NZ22)</f>
        <v>35788.298432224059</v>
      </c>
      <c r="OI15" s="22">
        <f>SUM(OC21:OC22)</f>
        <v>35266.572076469041</v>
      </c>
      <c r="OJ15" s="22">
        <f>SUM(OE21:OE22)</f>
        <v>25385.095835126238</v>
      </c>
      <c r="OL15" t="s">
        <v>733</v>
      </c>
      <c r="OM15" s="22">
        <f t="shared" si="117"/>
        <v>34812.081034068789</v>
      </c>
      <c r="ON15" s="22">
        <f t="shared" si="117"/>
        <v>34304.586099417204</v>
      </c>
      <c r="OO15" s="22">
        <f t="shared" si="117"/>
        <v>24692.652402672469</v>
      </c>
      <c r="OQ15" t="s">
        <v>733</v>
      </c>
      <c r="OR15" s="22">
        <f t="shared" si="118"/>
        <v>32232.593886046776</v>
      </c>
      <c r="OS15" s="22">
        <f t="shared" si="118"/>
        <v>31762.703042352547</v>
      </c>
      <c r="OT15" s="22">
        <f t="shared" si="118"/>
        <v>22862.989319303964</v>
      </c>
    </row>
    <row r="16" spans="1:410" ht="16.5" customHeight="1" thickBot="1" x14ac:dyDescent="0.5">
      <c r="A16" s="981"/>
      <c r="B16" s="159" t="s">
        <v>735</v>
      </c>
      <c r="C16" s="160">
        <v>39072</v>
      </c>
      <c r="D16" s="161">
        <v>41329</v>
      </c>
      <c r="E16" s="162">
        <v>40381</v>
      </c>
      <c r="F16" s="201">
        <v>120782</v>
      </c>
      <c r="G16" s="200">
        <v>690618.38242838928</v>
      </c>
      <c r="H16" s="165"/>
      <c r="I16" s="157"/>
      <c r="J16" s="157"/>
      <c r="K16" s="157"/>
      <c r="L16" s="157"/>
      <c r="M16" s="285"/>
      <c r="N16" s="157"/>
      <c r="O16" s="157"/>
      <c r="P16" s="157"/>
      <c r="Q16" s="157"/>
      <c r="W16" s="116">
        <v>0.16</v>
      </c>
      <c r="X16" s="101">
        <v>1.9400000000000001E-2</v>
      </c>
      <c r="Y16" s="116">
        <v>0.65</v>
      </c>
      <c r="AA16">
        <v>4.97</v>
      </c>
      <c r="AB16" t="s">
        <v>736</v>
      </c>
      <c r="AF16" s="116">
        <v>0.65</v>
      </c>
      <c r="AK16" s="701" t="s">
        <v>726</v>
      </c>
      <c r="AL16" s="695">
        <v>2</v>
      </c>
      <c r="AP16" s="746" t="s">
        <v>285</v>
      </c>
      <c r="AQ16" s="735">
        <v>23596</v>
      </c>
      <c r="AR16" s="736">
        <v>16948</v>
      </c>
      <c r="AS16" s="774">
        <f t="shared" ref="AS16:AS21" si="132">AR16/AQ16</f>
        <v>0.71825733175114426</v>
      </c>
      <c r="AT16" s="737">
        <v>39.700000000000003</v>
      </c>
      <c r="AU16" s="738">
        <v>14494</v>
      </c>
      <c r="AW16" s="95">
        <f t="shared" ref="AW16:AW21" si="133">AQ16/AQ31</f>
        <v>0.27434976222865581</v>
      </c>
      <c r="AX16" s="95">
        <f t="shared" ref="AX16:AX21" si="134">AR16/AR31</f>
        <v>0.31599947793336192</v>
      </c>
      <c r="AY16">
        <f>AQ16*AU16/1000000</f>
        <v>342.00042400000001</v>
      </c>
      <c r="BA16" s="95">
        <f t="shared" si="17"/>
        <v>0.26199812329904443</v>
      </c>
      <c r="BB16" s="95"/>
      <c r="BC16" s="95"/>
      <c r="BE16" t="s">
        <v>734</v>
      </c>
      <c r="BF16" s="101">
        <f>BA25</f>
        <v>0.102690496760696</v>
      </c>
      <c r="BG16" s="22">
        <f t="shared" si="78"/>
        <v>118.98149665987124</v>
      </c>
      <c r="BH16">
        <v>4.5</v>
      </c>
      <c r="BI16">
        <f t="shared" si="123"/>
        <v>4.4999999999999998E-2</v>
      </c>
      <c r="BJ16">
        <v>0.75</v>
      </c>
      <c r="BK16">
        <f t="shared" si="124"/>
        <v>3.3750000000000002E-2</v>
      </c>
      <c r="BL16">
        <v>44.3</v>
      </c>
      <c r="BM16">
        <f t="shared" si="79"/>
        <v>1.495125</v>
      </c>
      <c r="BN16">
        <v>72.335002492541093</v>
      </c>
      <c r="BO16">
        <v>7.1637159556547196E-3</v>
      </c>
      <c r="BP16">
        <v>4.7891015874360001E-4</v>
      </c>
      <c r="BQ16" s="22">
        <f t="shared" si="119"/>
        <v>177.89221019358999</v>
      </c>
      <c r="BR16" s="22">
        <f t="shared" si="120"/>
        <v>12867.833467756976</v>
      </c>
      <c r="BS16" s="22">
        <f t="shared" si="81"/>
        <v>1.2743692645505038</v>
      </c>
      <c r="BT16" s="22">
        <f t="shared" si="82"/>
        <v>8.5194386623062043E-2</v>
      </c>
      <c r="BU16" s="437">
        <f t="shared" si="20"/>
        <v>12926.092319619502</v>
      </c>
      <c r="BV16">
        <v>4.34</v>
      </c>
      <c r="BW16">
        <f t="shared" si="111"/>
        <v>23237086.297672849</v>
      </c>
      <c r="BX16" s="237">
        <f t="shared" si="83"/>
        <v>23237.086297672849</v>
      </c>
      <c r="BY16">
        <v>137</v>
      </c>
      <c r="BZ16" s="237">
        <f t="shared" si="84"/>
        <v>16300.46504240236</v>
      </c>
      <c r="CA16" s="237"/>
      <c r="CB16" s="237"/>
      <c r="CC16" t="s">
        <v>737</v>
      </c>
      <c r="CD16" s="22">
        <f>SUM(BU24:BU25)</f>
        <v>15016.496182957893</v>
      </c>
      <c r="CE16" s="22">
        <f>SUM(BX24:BX25)</f>
        <v>14831.239217346083</v>
      </c>
      <c r="CF16" s="22">
        <f>SUM(BZ24:BZ25)</f>
        <v>19683.028705728328</v>
      </c>
      <c r="CI16" s="701" t="s">
        <v>738</v>
      </c>
      <c r="CJ16" s="695">
        <v>2905</v>
      </c>
      <c r="CN16" s="746" t="s">
        <v>285</v>
      </c>
      <c r="CO16" s="735">
        <v>23596</v>
      </c>
      <c r="CP16" s="736">
        <v>16948</v>
      </c>
      <c r="CQ16" s="774">
        <f t="shared" ref="CQ16:CQ21" si="135">CP16/CO16</f>
        <v>0.71825733175114426</v>
      </c>
      <c r="CR16" s="737">
        <v>39.700000000000003</v>
      </c>
      <c r="CS16" s="738">
        <v>14494</v>
      </c>
      <c r="CU16" s="95">
        <f t="shared" ref="CU16:CV21" si="136">CO16/CO31</f>
        <v>0.27434976222865581</v>
      </c>
      <c r="CV16" s="95">
        <f t="shared" si="136"/>
        <v>0.31599947793336192</v>
      </c>
      <c r="CW16">
        <f>CO16*CS16/1000000</f>
        <v>342.00042400000001</v>
      </c>
      <c r="CY16" s="95">
        <f t="shared" si="18"/>
        <v>0.26199812329904443</v>
      </c>
      <c r="CZ16" s="95"/>
      <c r="DA16" s="95"/>
      <c r="DC16" t="s">
        <v>734</v>
      </c>
      <c r="DD16" s="101">
        <f>CY25</f>
        <v>0.102690496760696</v>
      </c>
      <c r="DE16" s="22">
        <f t="shared" si="85"/>
        <v>118.98149665987124</v>
      </c>
      <c r="DF16">
        <v>4.5</v>
      </c>
      <c r="DG16">
        <f t="shared" si="126"/>
        <v>4.4999999999999998E-2</v>
      </c>
      <c r="DH16">
        <v>0.75</v>
      </c>
      <c r="DI16">
        <f t="shared" si="127"/>
        <v>3.3750000000000002E-2</v>
      </c>
      <c r="DJ16">
        <v>44.3</v>
      </c>
      <c r="DK16">
        <f t="shared" si="86"/>
        <v>1.495125</v>
      </c>
      <c r="DL16">
        <v>72.335002492541093</v>
      </c>
      <c r="DM16">
        <v>7.1637159556547196E-3</v>
      </c>
      <c r="DN16">
        <v>4.7891015874360001E-4</v>
      </c>
      <c r="DO16" s="22">
        <f t="shared" si="121"/>
        <v>177.89221019358999</v>
      </c>
      <c r="DP16" s="22">
        <f t="shared" si="87"/>
        <v>12867.833467756976</v>
      </c>
      <c r="DQ16" s="22">
        <f t="shared" si="88"/>
        <v>1.2743692645505038</v>
      </c>
      <c r="DR16" s="22">
        <f t="shared" si="89"/>
        <v>8.5194386623062043E-2</v>
      </c>
      <c r="DS16" s="437">
        <f t="shared" si="21"/>
        <v>12926.092319619502</v>
      </c>
      <c r="DT16">
        <v>4.34</v>
      </c>
      <c r="DU16">
        <f t="shared" si="112"/>
        <v>23237086.297672849</v>
      </c>
      <c r="DV16" s="237">
        <f t="shared" si="90"/>
        <v>23237.086297672849</v>
      </c>
      <c r="DW16">
        <v>137</v>
      </c>
      <c r="DX16" s="237">
        <f t="shared" si="91"/>
        <v>16300.46504240236</v>
      </c>
      <c r="DY16" s="237"/>
      <c r="DZ16" s="237"/>
      <c r="EA16" t="s">
        <v>737</v>
      </c>
      <c r="EB16" s="22">
        <f>SUM(DS24:DS25)</f>
        <v>15016.496182957893</v>
      </c>
      <c r="EC16" s="22">
        <f>SUM(DV24:DV25)</f>
        <v>14831.239217346083</v>
      </c>
      <c r="ED16" s="22">
        <f>SUM(DX24:DX25)</f>
        <v>19683.028705728328</v>
      </c>
      <c r="EJ16" s="565" t="s">
        <v>285</v>
      </c>
      <c r="EK16" s="567">
        <v>91558</v>
      </c>
      <c r="EL16" s="567">
        <v>59550</v>
      </c>
      <c r="EM16" s="566">
        <v>0.65</v>
      </c>
      <c r="EN16" s="565">
        <v>43.39</v>
      </c>
      <c r="EO16" s="572">
        <v>15837</v>
      </c>
      <c r="EQ16" s="95">
        <f t="shared" ref="EQ16:ER21" si="137">EK16/EK31</f>
        <v>0.30594800507919534</v>
      </c>
      <c r="ER16" s="95">
        <f t="shared" si="137"/>
        <v>0.37473334466028579</v>
      </c>
      <c r="ES16">
        <f t="shared" si="128"/>
        <v>1450.004046</v>
      </c>
      <c r="EU16" s="95">
        <f t="shared" si="6"/>
        <v>0.29178160344596771</v>
      </c>
      <c r="EV16" s="95">
        <f>ES16/$ES$31</f>
        <v>0.36072800449964387</v>
      </c>
      <c r="EY16" t="s">
        <v>734</v>
      </c>
      <c r="EZ16" s="101">
        <f>EV25</f>
        <v>8.2722885400426077E-2</v>
      </c>
      <c r="FA16" s="22">
        <f>EZ16*$EX$9</f>
        <v>82.823304173887152</v>
      </c>
      <c r="FB16">
        <v>4.5</v>
      </c>
      <c r="FC16">
        <f t="shared" si="23"/>
        <v>4.4999999999999998E-2</v>
      </c>
      <c r="FD16">
        <v>0.75</v>
      </c>
      <c r="FE16">
        <f t="shared" si="24"/>
        <v>3.3750000000000002E-2</v>
      </c>
      <c r="FF16">
        <v>44.3</v>
      </c>
      <c r="FG16">
        <f t="shared" si="25"/>
        <v>1.495125</v>
      </c>
      <c r="FH16">
        <v>72.335002492541093</v>
      </c>
      <c r="FI16">
        <v>7.1637159556547196E-3</v>
      </c>
      <c r="FJ16">
        <v>4.7891015874360001E-4</v>
      </c>
      <c r="FK16" s="22">
        <f t="shared" si="26"/>
        <v>123.83119265298303</v>
      </c>
      <c r="FL16" s="22">
        <f t="shared" si="27"/>
        <v>8957.3296292078649</v>
      </c>
      <c r="FM16" s="22">
        <f t="shared" si="28"/>
        <v>0.88709149061592807</v>
      </c>
      <c r="FN16" s="22">
        <f t="shared" si="29"/>
        <v>5.9304016130849423E-2</v>
      </c>
      <c r="FO16" s="437">
        <f t="shared" si="30"/>
        <v>8997.8837552197856</v>
      </c>
      <c r="FP16">
        <v>4.34</v>
      </c>
      <c r="FQ16">
        <f t="shared" si="31"/>
        <v>16175391.305160157</v>
      </c>
      <c r="FR16" s="237">
        <f t="shared" si="32"/>
        <v>16175.391305160158</v>
      </c>
      <c r="FS16">
        <v>138.4</v>
      </c>
      <c r="FT16" s="237">
        <f t="shared" si="33"/>
        <v>11462.745297665982</v>
      </c>
      <c r="FV16" s="237"/>
      <c r="FW16" t="s">
        <v>737</v>
      </c>
      <c r="FX16" s="22">
        <f>SUM(FO24:FO25)</f>
        <v>12193.56828227091</v>
      </c>
      <c r="FY16" s="22">
        <f>SUM(FR24:FR25)</f>
        <v>12043.13748720185</v>
      </c>
      <c r="FZ16" s="22">
        <f>SUM(FT24:FT25)</f>
        <v>16717.306361136343</v>
      </c>
      <c r="GA16" s="22"/>
      <c r="GB16"/>
      <c r="GC16"/>
      <c r="GD16" s="237"/>
      <c r="GF16" s="565" t="s">
        <v>285</v>
      </c>
      <c r="GG16" s="567">
        <v>90386</v>
      </c>
      <c r="GH16" s="567">
        <v>55074</v>
      </c>
      <c r="GI16" s="566">
        <v>0.61</v>
      </c>
      <c r="GJ16" s="565">
        <v>45.67</v>
      </c>
      <c r="GK16" s="572">
        <v>16669</v>
      </c>
      <c r="GM16" s="95">
        <f t="shared" ref="GM16:GN21" si="138">GG16/GG30</f>
        <v>0.31433142062250041</v>
      </c>
      <c r="GN16" s="95">
        <f t="shared" si="138"/>
        <v>0.37226499395037277</v>
      </c>
      <c r="GP16" s="22">
        <f t="shared" si="129"/>
        <v>1506.6442340000001</v>
      </c>
      <c r="GQ16" s="95">
        <f t="shared" si="8"/>
        <v>0.30664027973118629</v>
      </c>
      <c r="GR16" s="95">
        <f>GP16/$GP$30</f>
        <v>0.37846413363544068</v>
      </c>
      <c r="GU16" t="s">
        <v>739</v>
      </c>
      <c r="GV16" s="101">
        <v>0</v>
      </c>
      <c r="GW16" s="22">
        <f t="shared" si="35"/>
        <v>0</v>
      </c>
      <c r="GX16">
        <v>4.5</v>
      </c>
      <c r="GY16">
        <f t="shared" si="92"/>
        <v>4.4999999999999998E-2</v>
      </c>
      <c r="GZ16">
        <v>0.86499999999999999</v>
      </c>
      <c r="HA16">
        <f t="shared" si="93"/>
        <v>3.8925000000000001E-2</v>
      </c>
      <c r="HB16">
        <v>43</v>
      </c>
      <c r="HC16">
        <f t="shared" si="94"/>
        <v>1.673775</v>
      </c>
      <c r="HD16">
        <v>74.054734089485606</v>
      </c>
      <c r="HE16">
        <v>1.1457692289250001E-4</v>
      </c>
      <c r="HF16">
        <v>2.5659043229536902E-3</v>
      </c>
      <c r="HG16" s="22">
        <f t="shared" si="95"/>
        <v>0</v>
      </c>
      <c r="HH16" s="22">
        <f t="shared" si="36"/>
        <v>0</v>
      </c>
      <c r="HI16" s="22">
        <f t="shared" si="37"/>
        <v>0</v>
      </c>
      <c r="HJ16" s="22">
        <f t="shared" si="38"/>
        <v>0</v>
      </c>
      <c r="HK16" s="437">
        <f t="shared" si="39"/>
        <v>0</v>
      </c>
      <c r="HL16">
        <v>5.34</v>
      </c>
      <c r="HM16">
        <f t="shared" si="96"/>
        <v>0</v>
      </c>
      <c r="HN16" s="237">
        <f t="shared" si="97"/>
        <v>0</v>
      </c>
      <c r="HO16">
        <v>138.4</v>
      </c>
      <c r="HP16" s="237">
        <f t="shared" si="98"/>
        <v>0</v>
      </c>
      <c r="HQ16" s="237"/>
      <c r="HR16" t="s">
        <v>737</v>
      </c>
      <c r="HS16" s="22">
        <f>SUM(HK23:HK24)</f>
        <v>10601.080019348692</v>
      </c>
      <c r="HT16" s="22">
        <f>SUM(HN23:HN24)</f>
        <v>10348.635976391126</v>
      </c>
      <c r="HU16" s="22">
        <f>SUM(HP23:HP24)</f>
        <v>14365.070097847383</v>
      </c>
      <c r="HV16" s="237"/>
      <c r="HX16" s="505" t="s">
        <v>285</v>
      </c>
      <c r="HY16" s="507">
        <v>88778</v>
      </c>
      <c r="HZ16" s="507">
        <v>51515</v>
      </c>
      <c r="IA16" s="506">
        <v>0.57999999999999996</v>
      </c>
      <c r="IB16" s="505">
        <v>42.2</v>
      </c>
      <c r="IC16" s="507">
        <v>15404</v>
      </c>
      <c r="IE16" s="95">
        <f t="shared" ref="IE16:IF21" si="139">HY16/HY30</f>
        <v>0.32252533068855149</v>
      </c>
      <c r="IF16" s="95">
        <f t="shared" si="139"/>
        <v>0.3623861278182266</v>
      </c>
      <c r="IH16" s="22">
        <f t="shared" si="130"/>
        <v>1367.536312</v>
      </c>
      <c r="II16" s="95">
        <f t="shared" si="40"/>
        <v>0.32815822004581735</v>
      </c>
      <c r="IJ16" s="95">
        <f>IH16/$IH$30</f>
        <v>0.39091665694198569</v>
      </c>
      <c r="IM16" t="s">
        <v>739</v>
      </c>
      <c r="IN16" s="101">
        <v>0</v>
      </c>
      <c r="IO16" s="22">
        <f t="shared" si="42"/>
        <v>0</v>
      </c>
      <c r="IP16">
        <v>4.5</v>
      </c>
      <c r="IQ16">
        <f t="shared" si="99"/>
        <v>4.4999999999999998E-2</v>
      </c>
      <c r="IR16">
        <v>0.86499999999999999</v>
      </c>
      <c r="IS16">
        <f t="shared" si="100"/>
        <v>3.8925000000000001E-2</v>
      </c>
      <c r="IT16">
        <v>43</v>
      </c>
      <c r="IU16">
        <f t="shared" si="101"/>
        <v>1.673775</v>
      </c>
      <c r="IV16">
        <v>74.054734089485606</v>
      </c>
      <c r="IW16">
        <v>1.1457692289250001E-4</v>
      </c>
      <c r="IX16">
        <v>2.5659043229536902E-3</v>
      </c>
      <c r="IY16" s="22">
        <f t="shared" si="43"/>
        <v>0</v>
      </c>
      <c r="IZ16" s="22">
        <f t="shared" si="44"/>
        <v>0</v>
      </c>
      <c r="JA16" s="22">
        <f t="shared" si="45"/>
        <v>0</v>
      </c>
      <c r="JB16" s="22">
        <f t="shared" si="46"/>
        <v>0</v>
      </c>
      <c r="JC16" s="437">
        <f t="shared" si="47"/>
        <v>0</v>
      </c>
      <c r="JD16">
        <v>5.34</v>
      </c>
      <c r="JE16">
        <f t="shared" si="48"/>
        <v>0</v>
      </c>
      <c r="JF16" s="237">
        <f t="shared" si="102"/>
        <v>0</v>
      </c>
      <c r="JG16">
        <v>138.4</v>
      </c>
      <c r="JH16" s="237">
        <f t="shared" si="49"/>
        <v>0</v>
      </c>
      <c r="JJ16" t="s">
        <v>737</v>
      </c>
      <c r="JK16" s="22">
        <f>SUM(JC23:JC24)</f>
        <v>9179.3810332647008</v>
      </c>
      <c r="JL16" s="22">
        <f>SUM(JF23:JF24)</f>
        <v>8960.8084433196254</v>
      </c>
      <c r="JM16" s="22">
        <f>SUM(JH23:JH24)</f>
        <v>12438.560235936571</v>
      </c>
      <c r="JP16" s="419" t="s">
        <v>285</v>
      </c>
      <c r="JQ16" s="413">
        <v>88209</v>
      </c>
      <c r="JR16" s="413">
        <v>44654</v>
      </c>
      <c r="JS16" s="412">
        <v>0.51</v>
      </c>
      <c r="JT16" s="411">
        <v>42.55</v>
      </c>
      <c r="JU16" s="420">
        <v>15530</v>
      </c>
      <c r="JW16" s="95">
        <f t="shared" ref="JW16:JX21" si="140">JQ16/JQ30</f>
        <v>0.32716651521614154</v>
      </c>
      <c r="JX16" s="95">
        <f t="shared" si="140"/>
        <v>0.33788599922819074</v>
      </c>
      <c r="JZ16" s="22">
        <f t="shared" si="131"/>
        <v>1369.8857700000001</v>
      </c>
      <c r="KA16" s="95">
        <f t="shared" si="11"/>
        <v>0.3287220032145618</v>
      </c>
      <c r="KD16" t="s">
        <v>739</v>
      </c>
      <c r="KE16" s="101">
        <v>0</v>
      </c>
      <c r="KF16" s="22">
        <f t="shared" si="50"/>
        <v>0</v>
      </c>
      <c r="KG16">
        <v>4.5</v>
      </c>
      <c r="KH16">
        <f t="shared" si="51"/>
        <v>4.4999999999999998E-2</v>
      </c>
      <c r="KI16">
        <v>0.86499999999999999</v>
      </c>
      <c r="KJ16">
        <f t="shared" si="52"/>
        <v>3.8925000000000001E-2</v>
      </c>
      <c r="KK16">
        <v>43</v>
      </c>
      <c r="KL16">
        <f t="shared" si="53"/>
        <v>1.673775</v>
      </c>
      <c r="KM16">
        <v>73.367636682232202</v>
      </c>
      <c r="KN16">
        <f>0.06636778941357/1000</f>
        <v>6.6367789413569991E-5</v>
      </c>
      <c r="KO16">
        <f>2.52657658902305/1000</f>
        <v>2.5265765890230499E-3</v>
      </c>
      <c r="KP16" s="22">
        <f t="shared" si="54"/>
        <v>0</v>
      </c>
      <c r="KQ16" s="22">
        <f t="shared" si="55"/>
        <v>0</v>
      </c>
      <c r="KR16" s="22">
        <f t="shared" si="56"/>
        <v>0</v>
      </c>
      <c r="KS16" s="22">
        <f t="shared" si="57"/>
        <v>0</v>
      </c>
      <c r="KT16" s="437">
        <f t="shared" si="58"/>
        <v>0</v>
      </c>
      <c r="KU16">
        <v>5.34</v>
      </c>
      <c r="KV16">
        <f t="shared" si="59"/>
        <v>0</v>
      </c>
      <c r="KW16" s="237">
        <f t="shared" si="60"/>
        <v>0</v>
      </c>
      <c r="KX16">
        <v>138.4</v>
      </c>
      <c r="KY16" s="237">
        <f t="shared" si="61"/>
        <v>0</v>
      </c>
      <c r="LA16" t="s">
        <v>737</v>
      </c>
      <c r="LB16" s="22">
        <f>SUM(KT23:KT24)</f>
        <v>10668.041171200479</v>
      </c>
      <c r="LC16" s="22">
        <f>SUM(KW23:KW24)</f>
        <v>10534.893635946208</v>
      </c>
      <c r="LD16" s="22">
        <f>SUM(KY23:KY24)</f>
        <v>14623.544947845407</v>
      </c>
      <c r="LF16" s="97" t="s">
        <v>285</v>
      </c>
      <c r="LG16" s="104">
        <v>87423</v>
      </c>
      <c r="LH16" s="104">
        <v>38834</v>
      </c>
      <c r="LI16" s="99">
        <v>0.44</v>
      </c>
      <c r="LJ16" s="98">
        <v>43.87</v>
      </c>
      <c r="LK16" s="100">
        <v>16013</v>
      </c>
      <c r="LM16" s="95">
        <f t="shared" ref="LM16:LN19" si="141">LG16/LG23</f>
        <v>0.32399888816825723</v>
      </c>
      <c r="LN16" s="95">
        <f t="shared" si="141"/>
        <v>0.30740125069263041</v>
      </c>
      <c r="LP16" s="22">
        <f t="shared" si="12"/>
        <v>1399.904499</v>
      </c>
      <c r="LQ16" s="95">
        <f t="shared" si="13"/>
        <v>0.32956545119115854</v>
      </c>
      <c r="LT16" t="s">
        <v>739</v>
      </c>
      <c r="LU16" s="101">
        <v>0</v>
      </c>
      <c r="LV16" s="22">
        <f t="shared" si="62"/>
        <v>0</v>
      </c>
      <c r="LW16">
        <v>4.5</v>
      </c>
      <c r="LX16">
        <f t="shared" si="103"/>
        <v>4.4999999999999998E-2</v>
      </c>
      <c r="LY16">
        <v>0.86499999999999999</v>
      </c>
      <c r="LZ16">
        <f t="shared" si="104"/>
        <v>3.8925000000000001E-2</v>
      </c>
      <c r="MA16">
        <v>43</v>
      </c>
      <c r="MB16">
        <f t="shared" si="105"/>
        <v>1.673775</v>
      </c>
      <c r="MC16">
        <v>75.416541095973002</v>
      </c>
      <c r="MD16">
        <f t="shared" si="113"/>
        <v>7.8785263264484397E-3</v>
      </c>
      <c r="ME16">
        <f t="shared" si="114"/>
        <v>9.3521034397127997E-4</v>
      </c>
      <c r="MF16" s="22">
        <f t="shared" si="63"/>
        <v>0</v>
      </c>
      <c r="MG16" s="22">
        <f t="shared" si="64"/>
        <v>0</v>
      </c>
      <c r="MH16" s="22">
        <f t="shared" si="65"/>
        <v>0</v>
      </c>
      <c r="MI16" s="22">
        <f t="shared" si="66"/>
        <v>0</v>
      </c>
      <c r="MJ16" s="437">
        <f t="shared" si="67"/>
        <v>0</v>
      </c>
      <c r="MK16">
        <v>5.34</v>
      </c>
      <c r="ML16">
        <f t="shared" si="68"/>
        <v>0</v>
      </c>
      <c r="MM16" s="237">
        <f t="shared" si="106"/>
        <v>0</v>
      </c>
      <c r="MN16">
        <v>138.4</v>
      </c>
      <c r="MO16" s="237">
        <f t="shared" si="69"/>
        <v>0</v>
      </c>
      <c r="MQ16" t="s">
        <v>737</v>
      </c>
      <c r="MR16" s="22">
        <f>SUM(MJ23:MJ24)</f>
        <v>13569.745137314527</v>
      </c>
      <c r="MS16" s="22">
        <f>SUM(MM23:MM24)</f>
        <v>13399.8772372394</v>
      </c>
      <c r="MT16" s="22">
        <f>SUM(MO23:MO24)</f>
        <v>18600.086529093631</v>
      </c>
      <c r="MV16" s="419" t="s">
        <v>285</v>
      </c>
      <c r="MW16" s="413">
        <v>84557</v>
      </c>
      <c r="MX16" s="413">
        <v>37498</v>
      </c>
      <c r="MY16" s="412">
        <v>0.44</v>
      </c>
      <c r="MZ16" s="411">
        <v>43.95</v>
      </c>
      <c r="NA16" s="420">
        <v>16040</v>
      </c>
      <c r="NC16" s="95">
        <f t="shared" ref="NC16:ND21" si="142">MW16/MW23</f>
        <v>0.31623925230848632</v>
      </c>
      <c r="ND16" s="95">
        <f t="shared" si="142"/>
        <v>0.28665127585732414</v>
      </c>
      <c r="NF16" s="22">
        <f t="shared" si="15"/>
        <v>1356.2942800000001</v>
      </c>
      <c r="NG16" s="95">
        <f t="shared" si="16"/>
        <v>0.31929873548908966</v>
      </c>
      <c r="NJ16" t="s">
        <v>739</v>
      </c>
      <c r="NK16" s="101">
        <v>0</v>
      </c>
      <c r="NL16" s="22">
        <f t="shared" si="70"/>
        <v>0</v>
      </c>
      <c r="NM16">
        <v>4</v>
      </c>
      <c r="NN16">
        <f t="shared" si="107"/>
        <v>0.04</v>
      </c>
      <c r="NO16">
        <v>0.86499999999999999</v>
      </c>
      <c r="NP16">
        <f t="shared" si="108"/>
        <v>3.4599999999999999E-2</v>
      </c>
      <c r="NQ16">
        <v>43</v>
      </c>
      <c r="NR16">
        <f t="shared" si="109"/>
        <v>1.4878</v>
      </c>
      <c r="NS16">
        <v>75.416541095973002</v>
      </c>
      <c r="NT16">
        <f t="shared" si="115"/>
        <v>7.8785263264484397E-3</v>
      </c>
      <c r="NU16">
        <f t="shared" si="116"/>
        <v>9.3521034397127997E-4</v>
      </c>
      <c r="NV16" s="22">
        <f t="shared" si="71"/>
        <v>0</v>
      </c>
      <c r="NW16" s="22">
        <f t="shared" si="72"/>
        <v>0</v>
      </c>
      <c r="NX16" s="22">
        <f t="shared" si="73"/>
        <v>0</v>
      </c>
      <c r="NY16" s="22">
        <f t="shared" si="74"/>
        <v>0</v>
      </c>
      <c r="NZ16" s="437">
        <f t="shared" si="75"/>
        <v>0</v>
      </c>
      <c r="OA16">
        <v>5.34</v>
      </c>
      <c r="OB16">
        <f t="shared" si="76"/>
        <v>0</v>
      </c>
      <c r="OC16" s="237">
        <f t="shared" si="110"/>
        <v>0</v>
      </c>
      <c r="OD16">
        <v>137</v>
      </c>
      <c r="OE16" s="237">
        <f t="shared" si="77"/>
        <v>0</v>
      </c>
      <c r="OG16" t="s">
        <v>737</v>
      </c>
      <c r="OH16" s="22">
        <f>SUM(NZ23:NZ24)</f>
        <v>13164.734394821578</v>
      </c>
      <c r="OI16" s="22">
        <f>SUM(OC23:OC24)</f>
        <v>12999.853992973163</v>
      </c>
      <c r="OJ16" s="22">
        <f>SUM(OE23:OE24)</f>
        <v>18044.764119230735</v>
      </c>
      <c r="OL16" t="s">
        <v>737</v>
      </c>
      <c r="OM16" s="22">
        <f t="shared" si="117"/>
        <v>12805.632584416808</v>
      </c>
      <c r="ON16" s="22">
        <f t="shared" si="117"/>
        <v>12645.249717347926</v>
      </c>
      <c r="OO16" s="22">
        <f t="shared" si="117"/>
        <v>17552.547013347328</v>
      </c>
      <c r="OQ16" t="s">
        <v>737</v>
      </c>
      <c r="OR16" s="22">
        <f t="shared" si="118"/>
        <v>11856.767601554438</v>
      </c>
      <c r="OS16" s="22">
        <f t="shared" si="118"/>
        <v>11708.268699249462</v>
      </c>
      <c r="OT16" s="22">
        <f t="shared" si="118"/>
        <v>16251.947678545372</v>
      </c>
    </row>
    <row r="17" spans="1:410" ht="16.5" customHeight="1" thickBot="1" x14ac:dyDescent="0.5">
      <c r="A17" s="981"/>
      <c r="B17" s="159" t="s">
        <v>740</v>
      </c>
      <c r="C17" s="160">
        <v>34593</v>
      </c>
      <c r="D17" s="161">
        <v>38833</v>
      </c>
      <c r="E17" s="162">
        <v>38760.78330939178</v>
      </c>
      <c r="F17" s="163">
        <v>112186.78330939179</v>
      </c>
      <c r="G17" s="200">
        <v>802805.16573778109</v>
      </c>
      <c r="H17" s="165"/>
      <c r="I17" s="157"/>
      <c r="J17" s="157"/>
      <c r="K17" s="157"/>
      <c r="L17" s="157"/>
      <c r="M17" s="285"/>
      <c r="N17" s="157"/>
      <c r="O17" s="157"/>
      <c r="P17" s="157"/>
      <c r="Q17" s="157"/>
      <c r="U17" t="s">
        <v>741</v>
      </c>
      <c r="V17" t="s">
        <v>742</v>
      </c>
      <c r="W17" s="16" t="s">
        <v>743</v>
      </c>
      <c r="X17" s="16" t="s">
        <v>744</v>
      </c>
      <c r="Y17" s="16" t="s">
        <v>745</v>
      </c>
      <c r="Z17" s="16" t="s">
        <v>746</v>
      </c>
      <c r="AA17" s="16" t="s">
        <v>747</v>
      </c>
      <c r="AD17" t="s">
        <v>747</v>
      </c>
      <c r="AE17" s="16" t="s">
        <v>748</v>
      </c>
      <c r="AF17" t="s">
        <v>749</v>
      </c>
      <c r="AK17" s="701" t="s">
        <v>738</v>
      </c>
      <c r="AL17" s="695">
        <v>1728</v>
      </c>
      <c r="AP17" s="747" t="s">
        <v>709</v>
      </c>
      <c r="AQ17" s="739">
        <v>153</v>
      </c>
      <c r="AR17" s="740">
        <v>150</v>
      </c>
      <c r="AS17" s="774">
        <f t="shared" si="132"/>
        <v>0.98039215686274506</v>
      </c>
      <c r="AT17" s="740">
        <v>54.7</v>
      </c>
      <c r="AU17" s="738">
        <v>19956</v>
      </c>
      <c r="AW17" s="95">
        <f t="shared" si="133"/>
        <v>0.94444444444444442</v>
      </c>
      <c r="AX17" s="95">
        <f t="shared" si="134"/>
        <v>0.92592592592592593</v>
      </c>
      <c r="AY17">
        <f t="shared" ref="AY17:AY29" si="143">AQ17*AU17/1000000</f>
        <v>3.0532680000000001</v>
      </c>
      <c r="BA17" s="95">
        <f t="shared" si="17"/>
        <v>2.3390336087098732E-3</v>
      </c>
      <c r="BB17" s="95"/>
      <c r="BC17" s="95"/>
      <c r="BE17" t="s">
        <v>739</v>
      </c>
      <c r="BF17" s="101">
        <f>BA26</f>
        <v>1.1831200058393335E-2</v>
      </c>
      <c r="BG17" s="22">
        <f t="shared" si="78"/>
        <v>13.70812231545051</v>
      </c>
      <c r="BH17">
        <v>4.5</v>
      </c>
      <c r="BI17">
        <f t="shared" si="123"/>
        <v>4.4999999999999998E-2</v>
      </c>
      <c r="BJ17">
        <v>0.86499999999999999</v>
      </c>
      <c r="BK17">
        <f t="shared" si="124"/>
        <v>3.8925000000000001E-2</v>
      </c>
      <c r="BL17">
        <v>43</v>
      </c>
      <c r="BM17">
        <f t="shared" si="79"/>
        <v>1.673775</v>
      </c>
      <c r="BN17">
        <v>73.510933419407607</v>
      </c>
      <c r="BO17">
        <v>5.406312413867E-5</v>
      </c>
      <c r="BP17">
        <v>2.5456284629589302E-3</v>
      </c>
      <c r="BQ17" s="22">
        <f t="shared" si="119"/>
        <v>22.944312428543178</v>
      </c>
      <c r="BR17" s="22">
        <f t="shared" si="120"/>
        <v>1686.6578232887241</v>
      </c>
      <c r="BS17" s="22">
        <f t="shared" si="81"/>
        <v>1.2404412111007587E-3</v>
      </c>
      <c r="BT17" s="22">
        <f t="shared" si="82"/>
        <v>5.8407694781121851E-2</v>
      </c>
      <c r="BU17" s="437">
        <f t="shared" si="20"/>
        <v>1702.1705947596322</v>
      </c>
      <c r="BV17">
        <v>5.34</v>
      </c>
      <c r="BW17">
        <f t="shared" si="111"/>
        <v>3294061.7924027573</v>
      </c>
      <c r="BX17" s="237">
        <f t="shared" si="83"/>
        <v>3294.0617924027574</v>
      </c>
      <c r="BY17">
        <v>137</v>
      </c>
      <c r="BZ17" s="237">
        <f t="shared" si="84"/>
        <v>1878.0127572167198</v>
      </c>
      <c r="CA17" s="237"/>
      <c r="CB17" s="237"/>
      <c r="CC17" t="s">
        <v>722</v>
      </c>
      <c r="CD17" s="22">
        <f>SUM(BU26:BU27)</f>
        <v>7393.4296830463045</v>
      </c>
      <c r="CE17" s="22">
        <f>SUM(BX26:BX27)</f>
        <v>7259.1961446509358</v>
      </c>
      <c r="CF17" s="22">
        <f>SUM(BZ26:BZ27)</f>
        <v>8163.5008608862181</v>
      </c>
      <c r="CI17" s="697" t="s">
        <v>750</v>
      </c>
      <c r="CJ17" s="695"/>
      <c r="CN17" s="747" t="s">
        <v>709</v>
      </c>
      <c r="CO17" s="739">
        <v>153</v>
      </c>
      <c r="CP17" s="740">
        <v>150</v>
      </c>
      <c r="CQ17" s="774">
        <f t="shared" si="135"/>
        <v>0.98039215686274506</v>
      </c>
      <c r="CR17" s="740">
        <v>54.7</v>
      </c>
      <c r="CS17" s="738">
        <v>19956</v>
      </c>
      <c r="CU17" s="95">
        <f t="shared" si="136"/>
        <v>0.94444444444444442</v>
      </c>
      <c r="CV17" s="95">
        <f t="shared" si="136"/>
        <v>0.92592592592592593</v>
      </c>
      <c r="CW17">
        <f t="shared" si="125"/>
        <v>3.0532680000000001</v>
      </c>
      <c r="CY17" s="95">
        <f t="shared" si="18"/>
        <v>2.3390336087098732E-3</v>
      </c>
      <c r="CZ17" s="95"/>
      <c r="DA17" s="95"/>
      <c r="DC17" t="s">
        <v>739</v>
      </c>
      <c r="DD17" s="101">
        <f>CY26</f>
        <v>1.1831200058393335E-2</v>
      </c>
      <c r="DE17" s="22">
        <f t="shared" si="85"/>
        <v>13.70812231545051</v>
      </c>
      <c r="DF17">
        <v>4.5</v>
      </c>
      <c r="DG17">
        <f t="shared" si="126"/>
        <v>4.4999999999999998E-2</v>
      </c>
      <c r="DH17">
        <v>0.86499999999999999</v>
      </c>
      <c r="DI17">
        <f t="shared" si="127"/>
        <v>3.8925000000000001E-2</v>
      </c>
      <c r="DJ17">
        <v>43</v>
      </c>
      <c r="DK17">
        <f t="shared" si="86"/>
        <v>1.673775</v>
      </c>
      <c r="DL17">
        <v>73.510933419407607</v>
      </c>
      <c r="DM17">
        <v>5.406312413867E-5</v>
      </c>
      <c r="DN17">
        <v>2.5456284629589302E-3</v>
      </c>
      <c r="DO17" s="22">
        <f t="shared" si="121"/>
        <v>22.944312428543178</v>
      </c>
      <c r="DP17" s="22">
        <f t="shared" si="87"/>
        <v>1686.6578232887241</v>
      </c>
      <c r="DQ17" s="22">
        <f t="shared" si="88"/>
        <v>1.2404412111007587E-3</v>
      </c>
      <c r="DR17" s="22">
        <f t="shared" si="89"/>
        <v>5.8407694781121851E-2</v>
      </c>
      <c r="DS17" s="437">
        <f t="shared" si="21"/>
        <v>1702.1705947596322</v>
      </c>
      <c r="DT17">
        <v>5.34</v>
      </c>
      <c r="DU17">
        <f t="shared" si="112"/>
        <v>3294061.7924027573</v>
      </c>
      <c r="DV17" s="237">
        <f t="shared" si="90"/>
        <v>3294.0617924027574</v>
      </c>
      <c r="DW17">
        <v>137</v>
      </c>
      <c r="DX17" s="237">
        <f t="shared" si="91"/>
        <v>1878.0127572167198</v>
      </c>
      <c r="DY17" s="237"/>
      <c r="DZ17" s="237"/>
      <c r="EA17" t="s">
        <v>722</v>
      </c>
      <c r="EB17" s="22">
        <f>SUM(DS26:DS27)</f>
        <v>7393.4296830463045</v>
      </c>
      <c r="EC17" s="22">
        <f>SUM(DV26:DV27)</f>
        <v>7259.1961446509358</v>
      </c>
      <c r="ED17" s="22">
        <f>SUM(DX26:DX27)</f>
        <v>8163.5008608862181</v>
      </c>
      <c r="EJ17" s="564" t="s">
        <v>709</v>
      </c>
      <c r="EK17" s="562">
        <v>1168</v>
      </c>
      <c r="EL17" s="564">
        <v>708</v>
      </c>
      <c r="EM17" s="563">
        <v>0.61</v>
      </c>
      <c r="EN17" s="564">
        <v>59.25</v>
      </c>
      <c r="EO17" s="571">
        <v>21626</v>
      </c>
      <c r="EQ17" s="95">
        <f t="shared" si="137"/>
        <v>0.91107644305772228</v>
      </c>
      <c r="ER17" s="95">
        <f t="shared" si="137"/>
        <v>0.91828793774319062</v>
      </c>
      <c r="ES17">
        <f t="shared" si="128"/>
        <v>25.259167999999999</v>
      </c>
      <c r="EU17" s="95">
        <f t="shared" si="6"/>
        <v>5.0828551555304261E-3</v>
      </c>
      <c r="EV17" s="95">
        <f t="shared" ref="EV17:EV22" si="144">ES17/$ES$40</f>
        <v>2.6593530182783258E-2</v>
      </c>
      <c r="EY17" t="s">
        <v>739</v>
      </c>
      <c r="EZ17" s="101">
        <v>0</v>
      </c>
      <c r="FA17" s="22">
        <f>EZ17*$EX$9</f>
        <v>0</v>
      </c>
      <c r="FB17">
        <v>4.5</v>
      </c>
      <c r="FC17">
        <f t="shared" si="23"/>
        <v>4.4999999999999998E-2</v>
      </c>
      <c r="FD17">
        <v>0.86499999999999999</v>
      </c>
      <c r="FE17">
        <f t="shared" si="24"/>
        <v>3.8925000000000001E-2</v>
      </c>
      <c r="FF17">
        <v>43</v>
      </c>
      <c r="FG17">
        <f t="shared" si="25"/>
        <v>1.673775</v>
      </c>
      <c r="FH17">
        <v>73.510933419407607</v>
      </c>
      <c r="FI17">
        <v>5.406312413867E-5</v>
      </c>
      <c r="FJ17">
        <v>2.5456284629589302E-3</v>
      </c>
      <c r="FK17" s="22">
        <f t="shared" si="26"/>
        <v>0</v>
      </c>
      <c r="FL17" s="22">
        <f t="shared" si="27"/>
        <v>0</v>
      </c>
      <c r="FM17" s="22">
        <f t="shared" si="28"/>
        <v>0</v>
      </c>
      <c r="FN17" s="22">
        <f t="shared" si="29"/>
        <v>0</v>
      </c>
      <c r="FO17" s="437">
        <f t="shared" si="30"/>
        <v>0</v>
      </c>
      <c r="FP17">
        <v>5.34</v>
      </c>
      <c r="FQ17">
        <f t="shared" si="31"/>
        <v>0</v>
      </c>
      <c r="FR17" s="237">
        <f t="shared" si="32"/>
        <v>0</v>
      </c>
      <c r="FS17">
        <v>138.4</v>
      </c>
      <c r="FT17" s="237">
        <f t="shared" si="33"/>
        <v>0</v>
      </c>
      <c r="FV17" s="237"/>
      <c r="FW17" t="s">
        <v>722</v>
      </c>
      <c r="FX17" s="22">
        <f>SUM(FO26:FO27)</f>
        <v>14386.114892432448</v>
      </c>
      <c r="FY17" s="22">
        <f>SUM(FR26:FR27)</f>
        <v>14121.001094490581</v>
      </c>
      <c r="FZ17" s="22">
        <f>SUM(FT26:FT27)</f>
        <v>15356.12354730052</v>
      </c>
      <c r="GA17" s="22"/>
      <c r="GB17"/>
      <c r="GC17"/>
      <c r="GD17" s="237"/>
      <c r="GF17" s="564" t="s">
        <v>709</v>
      </c>
      <c r="GG17" s="562">
        <v>1192</v>
      </c>
      <c r="GH17" s="564">
        <v>694</v>
      </c>
      <c r="GI17" s="563">
        <v>0.57999999999999996</v>
      </c>
      <c r="GJ17" s="564">
        <v>72.760000000000005</v>
      </c>
      <c r="GK17" s="571">
        <v>26557</v>
      </c>
      <c r="GM17" s="95">
        <f t="shared" si="138"/>
        <v>0.9078446306169079</v>
      </c>
      <c r="GN17" s="95">
        <f t="shared" si="138"/>
        <v>0.93279569892473113</v>
      </c>
      <c r="GP17" s="22">
        <f t="shared" si="129"/>
        <v>31.655944000000002</v>
      </c>
      <c r="GQ17" s="95">
        <f t="shared" si="8"/>
        <v>6.4427867603114378E-3</v>
      </c>
      <c r="GR17" s="95">
        <f t="shared" ref="GR17:GR22" si="145">GP17/$GP$38</f>
        <v>3.3949218496262319E-2</v>
      </c>
      <c r="GU17" t="s">
        <v>751</v>
      </c>
      <c r="GV17" s="101">
        <f>GR27</f>
        <v>4.3753010164433543E-3</v>
      </c>
      <c r="GW17" s="22">
        <f t="shared" si="35"/>
        <v>4.1723891604025436</v>
      </c>
      <c r="GX17">
        <v>4.5</v>
      </c>
      <c r="GY17">
        <f t="shared" si="92"/>
        <v>4.4999999999999998E-2</v>
      </c>
      <c r="GZ17">
        <v>0.86499999999999999</v>
      </c>
      <c r="HA17">
        <f t="shared" si="93"/>
        <v>3.8925000000000001E-2</v>
      </c>
      <c r="HB17">
        <v>43</v>
      </c>
      <c r="HC17">
        <f t="shared" si="94"/>
        <v>1.673775</v>
      </c>
      <c r="HD17">
        <v>74.054734089485606</v>
      </c>
      <c r="HE17">
        <v>1.1457692289250001E-4</v>
      </c>
      <c r="HF17">
        <v>2.5659043229536902E-3</v>
      </c>
      <c r="HG17" s="22">
        <f t="shared" si="95"/>
        <v>6.9836406669527671</v>
      </c>
      <c r="HH17" s="22">
        <f t="shared" si="36"/>
        <v>517.17165256770511</v>
      </c>
      <c r="HI17" s="22">
        <f t="shared" si="37"/>
        <v>8.0016405820637453E-4</v>
      </c>
      <c r="HJ17" s="22">
        <f t="shared" si="38"/>
        <v>1.7919353777289298E-2</v>
      </c>
      <c r="HK17" s="437">
        <f t="shared" si="39"/>
        <v>521.94268591231651</v>
      </c>
      <c r="HL17">
        <v>6.34</v>
      </c>
      <c r="HM17">
        <f t="shared" si="96"/>
        <v>1190382.6274628458</v>
      </c>
      <c r="HN17" s="237">
        <f t="shared" si="97"/>
        <v>1190.3826274628457</v>
      </c>
      <c r="HO17">
        <v>138.4</v>
      </c>
      <c r="HP17" s="237">
        <f t="shared" si="98"/>
        <v>577.458659799712</v>
      </c>
      <c r="HQ17" s="237"/>
      <c r="HR17" t="s">
        <v>722</v>
      </c>
      <c r="HS17" s="22">
        <f>SUM(HK25:HK26)</f>
        <v>13488.082415991308</v>
      </c>
      <c r="HT17" s="22">
        <f>SUM(HN25:HN26)</f>
        <v>13223.825827237228</v>
      </c>
      <c r="HU17" s="22">
        <f>SUM(HP25:HP26)</f>
        <v>14358.666148781431</v>
      </c>
      <c r="HV17" s="237"/>
      <c r="HX17" s="502" t="s">
        <v>709</v>
      </c>
      <c r="HY17" s="503">
        <v>1238</v>
      </c>
      <c r="HZ17" s="502">
        <v>627</v>
      </c>
      <c r="IA17" s="504">
        <v>0.51</v>
      </c>
      <c r="IB17" s="502">
        <v>45.4</v>
      </c>
      <c r="IC17" s="503">
        <v>16570</v>
      </c>
      <c r="IE17" s="95">
        <f t="shared" si="139"/>
        <v>0.91096394407652681</v>
      </c>
      <c r="IF17" s="95">
        <f t="shared" si="139"/>
        <v>0.92614475627769577</v>
      </c>
      <c r="IH17" s="22">
        <f t="shared" si="130"/>
        <v>20.513660000000002</v>
      </c>
      <c r="II17" s="95">
        <f t="shared" si="40"/>
        <v>4.9225209547672198E-3</v>
      </c>
      <c r="IJ17" s="95">
        <f t="shared" ref="IJ17:IJ22" si="146">IH17/$IH$37</f>
        <v>2.8440943011266626E-2</v>
      </c>
      <c r="IM17" t="s">
        <v>751</v>
      </c>
      <c r="IN17" s="101">
        <f>IJ27</f>
        <v>4.2588528528827189E-3</v>
      </c>
      <c r="IO17" s="22">
        <f t="shared" si="42"/>
        <v>4.0298976519986027</v>
      </c>
      <c r="IP17">
        <v>4.5</v>
      </c>
      <c r="IQ17">
        <f t="shared" si="99"/>
        <v>4.4999999999999998E-2</v>
      </c>
      <c r="IR17">
        <v>0.86499999999999999</v>
      </c>
      <c r="IS17">
        <f t="shared" si="100"/>
        <v>3.8925000000000001E-2</v>
      </c>
      <c r="IT17">
        <v>43</v>
      </c>
      <c r="IU17">
        <f t="shared" si="101"/>
        <v>1.673775</v>
      </c>
      <c r="IV17">
        <v>74.054734089485606</v>
      </c>
      <c r="IW17">
        <v>1.1457692289250001E-4</v>
      </c>
      <c r="IX17">
        <v>2.5659043229536902E-3</v>
      </c>
      <c r="IY17" s="22">
        <f t="shared" si="43"/>
        <v>6.7451419424739614</v>
      </c>
      <c r="IZ17" s="22">
        <f t="shared" si="44"/>
        <v>499.50969294574566</v>
      </c>
      <c r="JA17" s="22">
        <f t="shared" si="45"/>
        <v>7.7283760824180682E-4</v>
      </c>
      <c r="JB17" s="22">
        <f t="shared" si="46"/>
        <v>1.7307388869130188E-2</v>
      </c>
      <c r="JC17" s="437">
        <f t="shared" si="47"/>
        <v>504.11779044909593</v>
      </c>
      <c r="JD17">
        <v>6.34</v>
      </c>
      <c r="JE17">
        <f t="shared" si="48"/>
        <v>1149729.8001152014</v>
      </c>
      <c r="JF17" s="237">
        <f t="shared" si="102"/>
        <v>1149.7298001152014</v>
      </c>
      <c r="JG17">
        <v>138.4</v>
      </c>
      <c r="JH17" s="237">
        <f t="shared" si="49"/>
        <v>557.73783503660661</v>
      </c>
      <c r="JJ17" t="s">
        <v>722</v>
      </c>
      <c r="JK17" s="22">
        <f>SUM(JC25:JC26)</f>
        <v>14558.411701637857</v>
      </c>
      <c r="JL17" s="22">
        <f>SUM(JF25:JF26)</f>
        <v>14274.361062815637</v>
      </c>
      <c r="JM17" s="22">
        <f>SUM(JH25:JH26)</f>
        <v>15439.41093826181</v>
      </c>
      <c r="JP17" s="417" t="s">
        <v>709</v>
      </c>
      <c r="JQ17" s="408">
        <v>1257</v>
      </c>
      <c r="JR17" s="410">
        <v>559</v>
      </c>
      <c r="JS17" s="409">
        <v>0.44</v>
      </c>
      <c r="JT17" s="410">
        <v>60.13</v>
      </c>
      <c r="JU17" s="418">
        <v>21948</v>
      </c>
      <c r="JW17" s="95">
        <f t="shared" si="140"/>
        <v>0.92699115044247793</v>
      </c>
      <c r="JX17" s="95">
        <f t="shared" si="140"/>
        <v>0.91940789473684215</v>
      </c>
      <c r="JZ17" s="22">
        <f t="shared" si="131"/>
        <v>27.588636000000001</v>
      </c>
      <c r="KA17" s="95">
        <f t="shared" si="11"/>
        <v>6.6202539587496955E-3</v>
      </c>
      <c r="KD17" t="s">
        <v>751</v>
      </c>
      <c r="KE17" s="101">
        <f>KA27</f>
        <v>2.8389597195019396E-3</v>
      </c>
      <c r="KF17" s="22">
        <f t="shared" si="50"/>
        <v>3.0175117354865493</v>
      </c>
      <c r="KG17">
        <v>4.5</v>
      </c>
      <c r="KH17">
        <f t="shared" si="51"/>
        <v>4.4999999999999998E-2</v>
      </c>
      <c r="KI17">
        <v>0.86499999999999999</v>
      </c>
      <c r="KJ17">
        <f t="shared" si="52"/>
        <v>3.8925000000000001E-2</v>
      </c>
      <c r="KK17">
        <v>43</v>
      </c>
      <c r="KL17">
        <f t="shared" si="53"/>
        <v>1.673775</v>
      </c>
      <c r="KM17">
        <v>73.367636682232202</v>
      </c>
      <c r="KN17">
        <f>0.06636778941357/1000</f>
        <v>6.6367789413569991E-5</v>
      </c>
      <c r="KO17">
        <f>2.52657658902305/1000</f>
        <v>2.5265765890230499E-3</v>
      </c>
      <c r="KP17" s="22">
        <f t="shared" si="54"/>
        <v>5.0506357050639989</v>
      </c>
      <c r="KQ17" s="22">
        <f t="shared" si="55"/>
        <v>370.55320542344515</v>
      </c>
      <c r="KR17" s="22">
        <f t="shared" si="56"/>
        <v>3.351995268783451E-4</v>
      </c>
      <c r="KS17" s="22">
        <f t="shared" si="57"/>
        <v>1.2760817932098625E-2</v>
      </c>
      <c r="KT17" s="437">
        <f t="shared" si="58"/>
        <v>373.94420776220392</v>
      </c>
      <c r="KU17">
        <v>6.34</v>
      </c>
      <c r="KV17">
        <f t="shared" si="59"/>
        <v>860896.09813431243</v>
      </c>
      <c r="KW17" s="237">
        <f t="shared" si="60"/>
        <v>860.89609813431241</v>
      </c>
      <c r="KX17">
        <v>138.4</v>
      </c>
      <c r="KY17" s="237">
        <f t="shared" si="61"/>
        <v>417.62362419133842</v>
      </c>
      <c r="LA17" t="s">
        <v>722</v>
      </c>
      <c r="LB17" s="22">
        <f>SUM(KT25:KT26)</f>
        <v>12181.495365458613</v>
      </c>
      <c r="LC17" s="22">
        <f>SUM(KW25:KW26)</f>
        <v>12034.31877150997</v>
      </c>
      <c r="LD17" s="22">
        <f>SUM(KY25:KY26)</f>
        <v>13030.560570706586</v>
      </c>
      <c r="LF17" s="90" t="s">
        <v>709</v>
      </c>
      <c r="LG17" s="91">
        <v>1303</v>
      </c>
      <c r="LH17" s="93">
        <v>694</v>
      </c>
      <c r="LI17" s="92">
        <v>0.53</v>
      </c>
      <c r="LJ17" s="93">
        <v>74.41</v>
      </c>
      <c r="LK17" s="94">
        <v>27158</v>
      </c>
      <c r="LM17" s="95">
        <f t="shared" si="141"/>
        <v>0.94011544011544013</v>
      </c>
      <c r="LN17" s="95">
        <f t="shared" si="141"/>
        <v>0.91436100131752307</v>
      </c>
      <c r="LP17" s="22">
        <f t="shared" si="12"/>
        <v>35.386873999999999</v>
      </c>
      <c r="LQ17" s="95">
        <f t="shared" si="13"/>
        <v>8.3307762096524827E-3</v>
      </c>
      <c r="LT17" t="s">
        <v>751</v>
      </c>
      <c r="LU17" s="101">
        <v>0</v>
      </c>
      <c r="LV17" s="22">
        <f t="shared" si="62"/>
        <v>0</v>
      </c>
      <c r="LW17">
        <v>4.5</v>
      </c>
      <c r="LX17">
        <f t="shared" si="103"/>
        <v>4.4999999999999998E-2</v>
      </c>
      <c r="LY17">
        <v>0.86499999999999999</v>
      </c>
      <c r="LZ17">
        <f t="shared" si="104"/>
        <v>3.8925000000000001E-2</v>
      </c>
      <c r="MA17">
        <v>43</v>
      </c>
      <c r="MB17">
        <f t="shared" si="105"/>
        <v>1.673775</v>
      </c>
      <c r="MC17">
        <v>76.416541095973002</v>
      </c>
      <c r="MD17">
        <f t="shared" si="113"/>
        <v>7.8785263264484397E-3</v>
      </c>
      <c r="ME17">
        <f t="shared" si="114"/>
        <v>9.3521034397127997E-4</v>
      </c>
      <c r="MF17" s="22">
        <f t="shared" si="63"/>
        <v>0</v>
      </c>
      <c r="MG17" s="22">
        <f t="shared" si="64"/>
        <v>0</v>
      </c>
      <c r="MH17" s="22">
        <f t="shared" si="65"/>
        <v>0</v>
      </c>
      <c r="MI17" s="22">
        <f t="shared" si="66"/>
        <v>0</v>
      </c>
      <c r="MJ17" s="437">
        <f t="shared" si="67"/>
        <v>0</v>
      </c>
      <c r="MK17">
        <v>6.34</v>
      </c>
      <c r="ML17">
        <f t="shared" si="68"/>
        <v>0</v>
      </c>
      <c r="MM17" s="237">
        <f t="shared" si="106"/>
        <v>0</v>
      </c>
      <c r="MN17">
        <v>138.4</v>
      </c>
      <c r="MO17" s="237">
        <f t="shared" si="69"/>
        <v>0</v>
      </c>
      <c r="MQ17" t="s">
        <v>722</v>
      </c>
      <c r="MR17" s="22">
        <f>SUM(MJ25:MJ26)</f>
        <v>13691.937888183025</v>
      </c>
      <c r="MS17" s="22">
        <f>SUM(MM25:MM26)</f>
        <v>13521.52012413736</v>
      </c>
      <c r="MT17" s="22">
        <f>SUM(MO25:MO26)</f>
        <v>14598.436476173632</v>
      </c>
      <c r="MV17" s="417" t="s">
        <v>709</v>
      </c>
      <c r="MW17" s="408">
        <v>1346</v>
      </c>
      <c r="MX17" s="410">
        <v>708</v>
      </c>
      <c r="MY17" s="409">
        <v>0.53</v>
      </c>
      <c r="MZ17" s="410">
        <v>77.06</v>
      </c>
      <c r="NA17" s="418">
        <v>28128</v>
      </c>
      <c r="NC17" s="95">
        <f t="shared" si="142"/>
        <v>0.9295580110497238</v>
      </c>
      <c r="ND17" s="95">
        <f t="shared" si="142"/>
        <v>0.91354838709677422</v>
      </c>
      <c r="NF17" s="22">
        <f t="shared" si="15"/>
        <v>37.860287999999997</v>
      </c>
      <c r="NG17" s="95">
        <f t="shared" si="16"/>
        <v>8.9130672169853535E-3</v>
      </c>
      <c r="NJ17" t="s">
        <v>751</v>
      </c>
      <c r="NK17" s="101">
        <v>0</v>
      </c>
      <c r="NL17" s="22">
        <f t="shared" si="70"/>
        <v>0</v>
      </c>
      <c r="NM17">
        <v>4</v>
      </c>
      <c r="NN17">
        <f t="shared" si="107"/>
        <v>0.04</v>
      </c>
      <c r="NO17">
        <v>0.86499999999999999</v>
      </c>
      <c r="NP17">
        <f t="shared" si="108"/>
        <v>3.4599999999999999E-2</v>
      </c>
      <c r="NQ17">
        <v>43</v>
      </c>
      <c r="NR17">
        <f t="shared" si="109"/>
        <v>1.4878</v>
      </c>
      <c r="NS17">
        <v>76.416541095973002</v>
      </c>
      <c r="NT17">
        <f t="shared" si="115"/>
        <v>7.8785263264484397E-3</v>
      </c>
      <c r="NU17">
        <f t="shared" si="116"/>
        <v>9.3521034397127997E-4</v>
      </c>
      <c r="NV17" s="22">
        <f t="shared" si="71"/>
        <v>0</v>
      </c>
      <c r="NW17" s="22">
        <f t="shared" si="72"/>
        <v>0</v>
      </c>
      <c r="NX17" s="22">
        <f t="shared" si="73"/>
        <v>0</v>
      </c>
      <c r="NY17" s="22">
        <f t="shared" si="74"/>
        <v>0</v>
      </c>
      <c r="NZ17" s="437">
        <f t="shared" si="75"/>
        <v>0</v>
      </c>
      <c r="OA17">
        <v>6.34</v>
      </c>
      <c r="OB17">
        <f t="shared" si="76"/>
        <v>0</v>
      </c>
      <c r="OC17" s="237">
        <f t="shared" si="110"/>
        <v>0</v>
      </c>
      <c r="OD17">
        <v>137</v>
      </c>
      <c r="OE17" s="237">
        <f t="shared" si="77"/>
        <v>0</v>
      </c>
      <c r="OG17" t="s">
        <v>722</v>
      </c>
      <c r="OH17" s="22">
        <f>SUM(NZ25:NZ26)</f>
        <v>13481.581105048492</v>
      </c>
      <c r="OI17" s="22">
        <f>SUM(OC25:OC26)</f>
        <v>13318.585882857253</v>
      </c>
      <c r="OJ17" s="22">
        <f>SUM(OE25:OE26)</f>
        <v>14420.199836391217</v>
      </c>
      <c r="OL17" t="s">
        <v>722</v>
      </c>
      <c r="OM17" s="22">
        <f t="shared" si="117"/>
        <v>13113.836490022608</v>
      </c>
      <c r="ON17" s="22">
        <f t="shared" si="117"/>
        <v>12955.287379512834</v>
      </c>
      <c r="OO17" s="22">
        <f t="shared" si="117"/>
        <v>14026.851994167861</v>
      </c>
      <c r="OQ17" t="s">
        <v>722</v>
      </c>
      <c r="OR17" s="22">
        <f t="shared" si="118"/>
        <v>12142.1343773517</v>
      </c>
      <c r="OS17" s="22">
        <f t="shared" si="118"/>
        <v>11995.333354883262</v>
      </c>
      <c r="OT17" s="22">
        <f t="shared" si="118"/>
        <v>12987.497742097912</v>
      </c>
    </row>
    <row r="18" spans="1:410" ht="16.5" customHeight="1" thickBot="1" x14ac:dyDescent="0.5">
      <c r="A18" s="981"/>
      <c r="B18" s="159" t="s">
        <v>752</v>
      </c>
      <c r="C18" s="160">
        <v>38566</v>
      </c>
      <c r="D18" s="161">
        <v>40513</v>
      </c>
      <c r="E18" s="162">
        <v>39439.63451437137</v>
      </c>
      <c r="F18" s="163">
        <v>118518.63451437137</v>
      </c>
      <c r="G18" s="200">
        <v>921323.80025215249</v>
      </c>
      <c r="H18" s="165"/>
      <c r="I18" s="157"/>
      <c r="J18" s="157"/>
      <c r="K18" s="157"/>
      <c r="L18" s="157"/>
      <c r="M18" s="285"/>
      <c r="N18" s="157"/>
      <c r="O18" s="157"/>
      <c r="P18" s="157"/>
      <c r="Q18" s="157"/>
      <c r="S18" s="115">
        <v>2012</v>
      </c>
      <c r="U18" s="85">
        <v>4.235182</v>
      </c>
      <c r="V18" s="438">
        <f t="shared" ref="V18:V26" si="147">U18*365*0.65</f>
        <v>1004.7969295</v>
      </c>
      <c r="W18" s="83">
        <f t="shared" ref="W18:W26" si="148">U18/0.16</f>
        <v>26.469887499999999</v>
      </c>
      <c r="X18" s="83">
        <f>W18/0.0194</f>
        <v>1364.4271907216494</v>
      </c>
      <c r="Y18" s="438">
        <f>X18*$Y$16</f>
        <v>886.87767396907213</v>
      </c>
      <c r="Z18" s="16">
        <f t="shared" ref="Z18:Z24" si="149">Z19/(1+T19)</f>
        <v>978611.36711768457</v>
      </c>
      <c r="AA18">
        <f>Z18/10^6*$AA$16</f>
        <v>4.8636984945748925</v>
      </c>
      <c r="AB18" s="237">
        <f>AA18/$W$16/$X$16*$Y$16</f>
        <v>1018.4935636190979</v>
      </c>
      <c r="AC18" s="16">
        <f t="shared" ref="AC18:AC24" si="150">AC19/(1+T19)</f>
        <v>802523.05357908434</v>
      </c>
      <c r="AD18">
        <f t="shared" ref="AD18:AD31" si="151">AC18/10^6*$AC$92</f>
        <v>4.0837831026271205</v>
      </c>
      <c r="AE18" s="16">
        <f t="shared" ref="AE18:AE29" si="152">AD18*315</f>
        <v>1286.391677327543</v>
      </c>
      <c r="AF18" s="237">
        <f t="shared" ref="AF18:AF29" si="153">AE18*$AF$16</f>
        <v>836.15459026290296</v>
      </c>
      <c r="AG18" s="237"/>
      <c r="AH18" s="237"/>
      <c r="AI18" s="237"/>
      <c r="AJ18" s="237"/>
      <c r="AK18" s="697" t="s">
        <v>750</v>
      </c>
      <c r="AL18" s="695"/>
      <c r="AO18" s="237"/>
      <c r="AP18" s="747" t="s">
        <v>711</v>
      </c>
      <c r="AQ18" s="739">
        <v>478</v>
      </c>
      <c r="AR18" s="740">
        <v>536</v>
      </c>
      <c r="AS18" s="774">
        <f t="shared" si="132"/>
        <v>1.1213389121338913</v>
      </c>
      <c r="AT18" s="740">
        <v>165.9</v>
      </c>
      <c r="AU18" s="738">
        <v>60564</v>
      </c>
      <c r="AV18" s="237"/>
      <c r="AW18" s="95">
        <f t="shared" si="133"/>
        <v>0.94094488188976377</v>
      </c>
      <c r="AX18" s="95">
        <f t="shared" si="134"/>
        <v>0.96925858951175403</v>
      </c>
      <c r="AY18">
        <f t="shared" si="143"/>
        <v>28.949591999999999</v>
      </c>
      <c r="BA18" s="95">
        <f t="shared" si="17"/>
        <v>2.217757126018367E-2</v>
      </c>
      <c r="BB18" s="95"/>
      <c r="BC18" s="95"/>
      <c r="BE18" t="s">
        <v>751</v>
      </c>
      <c r="BF18" s="101">
        <f>BA27</f>
        <v>3.6638001962501403E-3</v>
      </c>
      <c r="BG18" s="22">
        <f t="shared" si="78"/>
        <v>4.2450318633517252</v>
      </c>
      <c r="BH18">
        <v>4.5</v>
      </c>
      <c r="BI18">
        <f t="shared" si="123"/>
        <v>4.4999999999999998E-2</v>
      </c>
      <c r="BJ18">
        <v>0.86499999999999999</v>
      </c>
      <c r="BK18">
        <f t="shared" si="124"/>
        <v>3.8925000000000001E-2</v>
      </c>
      <c r="BL18">
        <v>43</v>
      </c>
      <c r="BM18">
        <f t="shared" si="79"/>
        <v>1.673775</v>
      </c>
      <c r="BN18">
        <v>73.510933419407607</v>
      </c>
      <c r="BO18">
        <v>5.406312413867E-5</v>
      </c>
      <c r="BP18">
        <v>2.5456284629589302E-3</v>
      </c>
      <c r="BQ18" s="22">
        <f>BM18*BG18</f>
        <v>7.1052282070815336</v>
      </c>
      <c r="BR18" s="22">
        <f t="shared" si="120"/>
        <v>522.31195766046756</v>
      </c>
      <c r="BS18" s="22">
        <f t="shared" si="81"/>
        <v>3.8413083459302864E-4</v>
      </c>
      <c r="BT18" s="22">
        <f t="shared" si="82"/>
        <v>1.8087271159765401E-2</v>
      </c>
      <c r="BU18" s="437">
        <f>BR18+BS18*$HI$8+BT18*$HJ$8</f>
        <v>527.11584018117401</v>
      </c>
      <c r="BV18">
        <v>6.34</v>
      </c>
      <c r="BW18">
        <f t="shared" si="111"/>
        <v>1211107.5906142471</v>
      </c>
      <c r="BX18" s="237">
        <f t="shared" si="83"/>
        <v>1211.1075906142471</v>
      </c>
      <c r="BY18">
        <v>137</v>
      </c>
      <c r="BZ18" s="237">
        <f t="shared" si="84"/>
        <v>581.56936527918629</v>
      </c>
      <c r="CA18" s="237"/>
      <c r="CB18" s="237"/>
      <c r="CC18" t="s">
        <v>726</v>
      </c>
      <c r="CD18" s="22">
        <f>SUM(BU28:BU29)</f>
        <v>21045.865134025938</v>
      </c>
      <c r="CE18" s="22">
        <f>SUM(BX28:BX29)</f>
        <v>20664.793522831085</v>
      </c>
      <c r="CF18" s="22">
        <f>SUM(BZ28:BZ29)</f>
        <v>23260.312788827905</v>
      </c>
      <c r="CG18" s="237"/>
      <c r="CH18" s="237"/>
      <c r="CI18" s="701" t="s">
        <v>285</v>
      </c>
      <c r="CJ18" s="695">
        <v>1</v>
      </c>
      <c r="CM18" s="237"/>
      <c r="CN18" s="747" t="s">
        <v>711</v>
      </c>
      <c r="CO18" s="739">
        <v>478</v>
      </c>
      <c r="CP18" s="740">
        <v>536</v>
      </c>
      <c r="CQ18" s="774">
        <f t="shared" si="135"/>
        <v>1.1213389121338913</v>
      </c>
      <c r="CR18" s="740">
        <v>165.9</v>
      </c>
      <c r="CS18" s="738">
        <v>60564</v>
      </c>
      <c r="CT18" s="237"/>
      <c r="CU18" s="95">
        <f t="shared" si="136"/>
        <v>0.94094488188976377</v>
      </c>
      <c r="CV18" s="95">
        <f t="shared" si="136"/>
        <v>0.96925858951175403</v>
      </c>
      <c r="CW18">
        <f t="shared" si="125"/>
        <v>28.949591999999999</v>
      </c>
      <c r="CY18" s="95">
        <f t="shared" si="18"/>
        <v>2.217757126018367E-2</v>
      </c>
      <c r="CZ18" s="95"/>
      <c r="DA18" s="95"/>
      <c r="DC18" t="s">
        <v>751</v>
      </c>
      <c r="DD18" s="101">
        <f>CY27</f>
        <v>3.6638001962501403E-3</v>
      </c>
      <c r="DE18" s="22">
        <f t="shared" si="85"/>
        <v>4.2450318633517252</v>
      </c>
      <c r="DF18">
        <v>4.5</v>
      </c>
      <c r="DG18">
        <f t="shared" si="126"/>
        <v>4.4999999999999998E-2</v>
      </c>
      <c r="DH18">
        <v>0.86499999999999999</v>
      </c>
      <c r="DI18">
        <f t="shared" si="127"/>
        <v>3.8925000000000001E-2</v>
      </c>
      <c r="DJ18">
        <v>43</v>
      </c>
      <c r="DK18">
        <f t="shared" si="86"/>
        <v>1.673775</v>
      </c>
      <c r="DL18">
        <v>73.510933419407607</v>
      </c>
      <c r="DM18">
        <v>5.406312413867E-5</v>
      </c>
      <c r="DN18">
        <v>2.5456284629589302E-3</v>
      </c>
      <c r="DO18" s="22">
        <f>DK18*DE18</f>
        <v>7.1052282070815336</v>
      </c>
      <c r="DP18" s="22">
        <f t="shared" si="87"/>
        <v>522.31195766046756</v>
      </c>
      <c r="DQ18" s="22">
        <f t="shared" si="88"/>
        <v>3.8413083459302864E-4</v>
      </c>
      <c r="DR18" s="22">
        <f t="shared" si="89"/>
        <v>1.8087271159765401E-2</v>
      </c>
      <c r="DS18" s="437">
        <f>DP18+DQ18*$HI$8+DR18*$HJ$8</f>
        <v>527.11584018117401</v>
      </c>
      <c r="DT18">
        <v>6.34</v>
      </c>
      <c r="DU18">
        <f t="shared" si="112"/>
        <v>1211107.5906142471</v>
      </c>
      <c r="DV18" s="237">
        <f t="shared" si="90"/>
        <v>1211.1075906142471</v>
      </c>
      <c r="DW18">
        <v>137</v>
      </c>
      <c r="DX18" s="237">
        <f t="shared" si="91"/>
        <v>581.56936527918629</v>
      </c>
      <c r="DY18" s="237"/>
      <c r="DZ18" s="237"/>
      <c r="EA18" t="s">
        <v>726</v>
      </c>
      <c r="EB18" s="22">
        <f>SUM(DS28:DS29)</f>
        <v>21045.865134025938</v>
      </c>
      <c r="EC18" s="22">
        <f>SUM(DV28:DV29)</f>
        <v>20664.793522831085</v>
      </c>
      <c r="ED18" s="22">
        <f>SUM(DX28:DX29)</f>
        <v>23260.312788827905</v>
      </c>
      <c r="EE18" s="237"/>
      <c r="EF18" s="237"/>
      <c r="EG18" s="237"/>
      <c r="EH18" s="237"/>
      <c r="EI18" s="237"/>
      <c r="EJ18" s="565" t="s">
        <v>711</v>
      </c>
      <c r="EK18" s="567">
        <v>1943</v>
      </c>
      <c r="EL18" s="565">
        <v>1154</v>
      </c>
      <c r="EM18" s="566">
        <v>0.59</v>
      </c>
      <c r="EN18" s="565">
        <v>124.74</v>
      </c>
      <c r="EO18" s="572">
        <v>45530</v>
      </c>
      <c r="EP18" s="237"/>
      <c r="EQ18" s="95">
        <f t="shared" si="137"/>
        <v>0.99692149820420728</v>
      </c>
      <c r="ER18" s="95">
        <f t="shared" si="137"/>
        <v>0.99226139294926918</v>
      </c>
      <c r="ES18">
        <f t="shared" si="128"/>
        <v>88.464789999999994</v>
      </c>
      <c r="EU18" s="95">
        <f t="shared" si="6"/>
        <v>1.7801604309944666E-2</v>
      </c>
      <c r="EV18" s="95">
        <f t="shared" si="144"/>
        <v>9.3138105854420158E-2</v>
      </c>
      <c r="EW18" s="237"/>
      <c r="EY18" t="s">
        <v>751</v>
      </c>
      <c r="EZ18" s="101">
        <f>EV27</f>
        <v>4.3331584296655195E-3</v>
      </c>
      <c r="FA18" s="22">
        <f>EZ18*$EX$9</f>
        <v>4.3384185273109681</v>
      </c>
      <c r="FB18">
        <v>4.5</v>
      </c>
      <c r="FC18">
        <f t="shared" si="23"/>
        <v>4.4999999999999998E-2</v>
      </c>
      <c r="FD18">
        <v>0.86499999999999999</v>
      </c>
      <c r="FE18">
        <f t="shared" si="24"/>
        <v>3.8925000000000001E-2</v>
      </c>
      <c r="FF18">
        <v>43</v>
      </c>
      <c r="FG18">
        <f t="shared" si="25"/>
        <v>1.673775</v>
      </c>
      <c r="FH18">
        <v>73.510933419407607</v>
      </c>
      <c r="FI18">
        <v>5.406312413867E-5</v>
      </c>
      <c r="FJ18">
        <v>2.5456284629589302E-3</v>
      </c>
      <c r="FK18" s="22">
        <f t="shared" si="26"/>
        <v>7.2615364705499159</v>
      </c>
      <c r="FL18" s="22">
        <f t="shared" si="27"/>
        <v>533.80232400919499</v>
      </c>
      <c r="FM18" s="22">
        <f t="shared" si="28"/>
        <v>3.925813476448197E-4</v>
      </c>
      <c r="FN18" s="22">
        <f t="shared" si="29"/>
        <v>1.8485173924246198E-2</v>
      </c>
      <c r="FO18" s="437">
        <f t="shared" si="30"/>
        <v>538.71188737685429</v>
      </c>
      <c r="FP18">
        <v>6.34</v>
      </c>
      <c r="FQ18">
        <f t="shared" si="31"/>
        <v>1237750.8058418192</v>
      </c>
      <c r="FR18" s="237">
        <f t="shared" si="32"/>
        <v>1237.7508058418191</v>
      </c>
      <c r="FS18">
        <v>138.4</v>
      </c>
      <c r="FT18" s="237">
        <f t="shared" si="33"/>
        <v>600.43712417983795</v>
      </c>
      <c r="FV18" s="237"/>
      <c r="FW18" t="s">
        <v>726</v>
      </c>
      <c r="FX18" s="22">
        <f>SUM(FO28:FO29)</f>
        <v>31560.321727940754</v>
      </c>
      <c r="FY18" s="22">
        <f>SUM(FR28:FR29)</f>
        <v>30983.755787817645</v>
      </c>
      <c r="FZ18" s="22">
        <f>SUM(FT28:FT29)</f>
        <v>33788.221346304032</v>
      </c>
      <c r="GA18" s="22"/>
      <c r="GB18"/>
      <c r="GC18"/>
      <c r="GD18" s="237"/>
      <c r="GF18" s="565" t="s">
        <v>711</v>
      </c>
      <c r="GG18" s="567">
        <v>1816</v>
      </c>
      <c r="GH18" s="565">
        <v>1007</v>
      </c>
      <c r="GI18" s="566">
        <v>0.55000000000000004</v>
      </c>
      <c r="GJ18" s="565">
        <v>118.17</v>
      </c>
      <c r="GK18" s="572">
        <v>43130</v>
      </c>
      <c r="GM18" s="95">
        <f t="shared" si="138"/>
        <v>0.98268398268398272</v>
      </c>
      <c r="GN18" s="95">
        <f t="shared" si="138"/>
        <v>0.99505928853754944</v>
      </c>
      <c r="GP18" s="22">
        <f t="shared" si="129"/>
        <v>78.324079999999995</v>
      </c>
      <c r="GQ18" s="95">
        <f t="shared" si="8"/>
        <v>1.5940934999050221E-2</v>
      </c>
      <c r="GR18" s="95">
        <f t="shared" si="145"/>
        <v>8.3998168098816745E-2</v>
      </c>
      <c r="GU18" t="s">
        <v>753</v>
      </c>
      <c r="GV18" s="101">
        <f>GR28</f>
        <v>5.5843265440740936E-3</v>
      </c>
      <c r="GW18" s="22">
        <f t="shared" si="35"/>
        <v>5.3253441198848783</v>
      </c>
      <c r="GX18">
        <v>3</v>
      </c>
      <c r="GY18">
        <f t="shared" si="92"/>
        <v>0.03</v>
      </c>
      <c r="GZ18">
        <v>0.75</v>
      </c>
      <c r="HA18">
        <f t="shared" si="93"/>
        <v>2.2499999999999999E-2</v>
      </c>
      <c r="HB18">
        <v>44.3</v>
      </c>
      <c r="HC18">
        <f t="shared" si="94"/>
        <v>0.99674999999999991</v>
      </c>
      <c r="HD18">
        <v>70.9769741921898</v>
      </c>
      <c r="HE18">
        <v>7.3169105356480999E-3</v>
      </c>
      <c r="HF18">
        <v>6.0998104818480998E-4</v>
      </c>
      <c r="HG18" s="22">
        <f t="shared" si="95"/>
        <v>5.3080367514952522</v>
      </c>
      <c r="HH18" s="22">
        <f t="shared" si="36"/>
        <v>376.74838752207353</v>
      </c>
      <c r="HI18" s="22">
        <f t="shared" si="37"/>
        <v>3.8838430030622928E-2</v>
      </c>
      <c r="HJ18" s="22">
        <f t="shared" si="38"/>
        <v>3.2378018214805678E-3</v>
      </c>
      <c r="HK18" s="437">
        <f t="shared" si="39"/>
        <v>378.6938810456233</v>
      </c>
      <c r="HL18">
        <v>2.34</v>
      </c>
      <c r="HM18">
        <f t="shared" si="96"/>
        <v>373839.15721591841</v>
      </c>
      <c r="HN18" s="237">
        <f t="shared" si="97"/>
        <v>373.83915721591842</v>
      </c>
      <c r="HO18">
        <v>2</v>
      </c>
      <c r="HP18" s="237">
        <f t="shared" si="98"/>
        <v>10.650688239769755</v>
      </c>
      <c r="HQ18" s="237"/>
      <c r="HR18" t="s">
        <v>726</v>
      </c>
      <c r="HS18" s="22">
        <f>SUM(HK27:HK28)</f>
        <v>34839.367256662699</v>
      </c>
      <c r="HT18" s="22">
        <f>SUM(HN27:HN28)</f>
        <v>34012.410548136519</v>
      </c>
      <c r="HU18" s="22">
        <f>SUM(HP27:HP28)</f>
        <v>37081.953870574413</v>
      </c>
      <c r="HV18" s="237"/>
      <c r="HX18" s="505" t="s">
        <v>711</v>
      </c>
      <c r="HY18" s="507">
        <v>1740</v>
      </c>
      <c r="HZ18" s="505">
        <v>873</v>
      </c>
      <c r="IA18" s="506">
        <v>0.5</v>
      </c>
      <c r="IB18" s="505">
        <v>83.22</v>
      </c>
      <c r="IC18" s="507">
        <v>30376</v>
      </c>
      <c r="IE18" s="95">
        <f t="shared" si="139"/>
        <v>0.98194130925507905</v>
      </c>
      <c r="IF18" s="95">
        <f t="shared" si="139"/>
        <v>0.99430523917995439</v>
      </c>
      <c r="IH18" s="22">
        <f t="shared" si="130"/>
        <v>52.854239999999997</v>
      </c>
      <c r="II18" s="95">
        <f t="shared" si="40"/>
        <v>1.2683066013002835E-2</v>
      </c>
      <c r="IJ18" s="95">
        <f t="shared" si="146"/>
        <v>7.3279191901582108E-2</v>
      </c>
      <c r="IM18" t="s">
        <v>753</v>
      </c>
      <c r="IN18" s="101">
        <f>IJ28</f>
        <v>5.7120054171886196E-3</v>
      </c>
      <c r="IO18" s="22">
        <f t="shared" si="42"/>
        <v>5.4049289830126037</v>
      </c>
      <c r="IP18">
        <v>3</v>
      </c>
      <c r="IQ18">
        <f t="shared" si="99"/>
        <v>0.03</v>
      </c>
      <c r="IR18">
        <v>0.75</v>
      </c>
      <c r="IS18">
        <f t="shared" si="100"/>
        <v>2.2499999999999999E-2</v>
      </c>
      <c r="IT18">
        <v>44.3</v>
      </c>
      <c r="IU18">
        <f t="shared" si="101"/>
        <v>0.99674999999999991</v>
      </c>
      <c r="IV18">
        <v>70.9769741921898</v>
      </c>
      <c r="IW18">
        <v>7.3169105356480999E-3</v>
      </c>
      <c r="IX18">
        <v>6.0998104818480998E-4</v>
      </c>
      <c r="IY18" s="22">
        <f t="shared" si="43"/>
        <v>5.3873629638178127</v>
      </c>
      <c r="IZ18" s="22">
        <f t="shared" si="44"/>
        <v>382.37872204685607</v>
      </c>
      <c r="JA18" s="22">
        <f t="shared" si="45"/>
        <v>3.9418852829318923E-2</v>
      </c>
      <c r="JB18" s="22">
        <f t="shared" si="46"/>
        <v>3.2861893076216141E-3</v>
      </c>
      <c r="JC18" s="437">
        <f t="shared" si="47"/>
        <v>384.35329009259669</v>
      </c>
      <c r="JD18">
        <v>2.34</v>
      </c>
      <c r="JE18">
        <f t="shared" si="48"/>
        <v>379426.01460748474</v>
      </c>
      <c r="JF18" s="237">
        <f t="shared" si="102"/>
        <v>379.42601460748472</v>
      </c>
      <c r="JG18">
        <v>2</v>
      </c>
      <c r="JH18" s="237">
        <f t="shared" si="49"/>
        <v>10.809857966025207</v>
      </c>
      <c r="JJ18" t="s">
        <v>726</v>
      </c>
      <c r="JK18" s="22">
        <f>SUM(JC27:JC28)</f>
        <v>31228.410507906883</v>
      </c>
      <c r="JL18" s="22">
        <f>SUM(JF27:JF28)</f>
        <v>30489.386494636332</v>
      </c>
      <c r="JM18" s="22">
        <f>SUM(JH27:JH28)</f>
        <v>33163.498135647184</v>
      </c>
      <c r="JP18" s="419" t="s">
        <v>711</v>
      </c>
      <c r="JQ18" s="413">
        <v>1720</v>
      </c>
      <c r="JR18" s="411">
        <v>790</v>
      </c>
      <c r="JS18" s="412">
        <v>0.46</v>
      </c>
      <c r="JT18" s="411">
        <v>113.91</v>
      </c>
      <c r="JU18" s="420">
        <v>41576</v>
      </c>
      <c r="JW18" s="95">
        <f t="shared" si="140"/>
        <v>0.98341909662664384</v>
      </c>
      <c r="JX18" s="95">
        <f t="shared" si="140"/>
        <v>0.99371069182389937</v>
      </c>
      <c r="JZ18" s="22">
        <f t="shared" si="131"/>
        <v>71.510720000000006</v>
      </c>
      <c r="KA18" s="95">
        <f t="shared" si="11"/>
        <v>1.7159932342180346E-2</v>
      </c>
      <c r="KD18" t="s">
        <v>753</v>
      </c>
      <c r="KE18" s="101">
        <f>KA28</f>
        <v>5.027254279090323E-3</v>
      </c>
      <c r="KF18" s="22">
        <f t="shared" si="50"/>
        <v>5.3434357240867705</v>
      </c>
      <c r="KG18">
        <v>3</v>
      </c>
      <c r="KH18">
        <f t="shared" ref="KH18:KH28" si="154">KG18/100</f>
        <v>0.03</v>
      </c>
      <c r="KI18">
        <v>0.75</v>
      </c>
      <c r="KJ18">
        <f t="shared" ref="KJ18:KJ28" si="155">KI18*KH18</f>
        <v>2.2499999999999999E-2</v>
      </c>
      <c r="KK18">
        <v>44.3</v>
      </c>
      <c r="KL18">
        <f t="shared" ref="KL18:KL28" si="156">KK18*KJ18</f>
        <v>0.99674999999999991</v>
      </c>
      <c r="KM18">
        <v>72.416541095972974</v>
      </c>
      <c r="KN18">
        <f>7.87852632644844/1000</f>
        <v>7.8785263264484397E-3</v>
      </c>
      <c r="KO18">
        <f>0.93521034397128/1000</f>
        <v>9.3521034397127997E-4</v>
      </c>
      <c r="KP18" s="22">
        <f t="shared" si="54"/>
        <v>5.3260695579834882</v>
      </c>
      <c r="KQ18" s="22">
        <f t="shared" si="55"/>
        <v>385.69553502572188</v>
      </c>
      <c r="KR18" s="22">
        <f t="shared" si="56"/>
        <v>4.196157922906852E-2</v>
      </c>
      <c r="KS18" s="22">
        <f t="shared" si="57"/>
        <v>4.9809953433367013E-3</v>
      </c>
      <c r="KT18" s="437">
        <f t="shared" si="58"/>
        <v>388.19042301012001</v>
      </c>
      <c r="KU18">
        <v>2.34</v>
      </c>
      <c r="KV18">
        <f t="shared" si="59"/>
        <v>375109.18783089123</v>
      </c>
      <c r="KW18" s="237">
        <f t="shared" ref="KW18:KW28" si="157">KV18/1000</f>
        <v>375.10918783089124</v>
      </c>
      <c r="KX18">
        <v>2</v>
      </c>
      <c r="KY18" s="237">
        <f t="shared" si="61"/>
        <v>10.686871448173539</v>
      </c>
      <c r="LA18" t="s">
        <v>726</v>
      </c>
      <c r="LB18" s="22">
        <f>SUM(KT27:KT28)</f>
        <v>25154.758372792618</v>
      </c>
      <c r="LC18" s="22">
        <f>SUM(KW27:KW28)</f>
        <v>24826.331286054476</v>
      </c>
      <c r="LD18" s="22">
        <f>SUM(KY27:KY28)</f>
        <v>27013.069953201819</v>
      </c>
      <c r="LF18" s="97" t="s">
        <v>711</v>
      </c>
      <c r="LG18" s="104">
        <v>1765</v>
      </c>
      <c r="LH18" s="98">
        <v>983</v>
      </c>
      <c r="LI18" s="99">
        <v>0.56000000000000005</v>
      </c>
      <c r="LJ18" s="98">
        <v>127.72</v>
      </c>
      <c r="LK18" s="100">
        <v>46616</v>
      </c>
      <c r="LM18" s="95">
        <f t="shared" si="141"/>
        <v>0.9849330357142857</v>
      </c>
      <c r="LN18" s="95">
        <f t="shared" si="141"/>
        <v>0.99493927125506076</v>
      </c>
      <c r="LP18" s="22">
        <f t="shared" si="12"/>
        <v>82.277240000000006</v>
      </c>
      <c r="LQ18" s="95">
        <f t="shared" si="13"/>
        <v>1.9369703963901069E-2</v>
      </c>
      <c r="LT18" t="s">
        <v>753</v>
      </c>
      <c r="LU18" s="101">
        <v>0</v>
      </c>
      <c r="LV18" s="22">
        <f t="shared" si="62"/>
        <v>0</v>
      </c>
      <c r="LW18">
        <v>3</v>
      </c>
      <c r="LX18">
        <f t="shared" ref="LX18:LX28" si="158">LW18/100</f>
        <v>0.03</v>
      </c>
      <c r="LY18">
        <v>0.75</v>
      </c>
      <c r="LZ18">
        <f t="shared" ref="LZ18:LZ28" si="159">LY18*LX18</f>
        <v>2.2499999999999999E-2</v>
      </c>
      <c r="MA18">
        <v>44.3</v>
      </c>
      <c r="MB18">
        <f t="shared" ref="MB18:MB28" si="160">MA18*LZ18</f>
        <v>0.99674999999999991</v>
      </c>
      <c r="MC18">
        <v>72.416541095972974</v>
      </c>
      <c r="MD18">
        <f t="shared" si="113"/>
        <v>7.8785263264484397E-3</v>
      </c>
      <c r="ME18">
        <f t="shared" si="114"/>
        <v>9.3521034397127997E-4</v>
      </c>
      <c r="MF18" s="22">
        <f t="shared" si="63"/>
        <v>0</v>
      </c>
      <c r="MG18" s="22">
        <f t="shared" si="64"/>
        <v>0</v>
      </c>
      <c r="MH18" s="22">
        <f t="shared" si="65"/>
        <v>0</v>
      </c>
      <c r="MI18" s="22">
        <f t="shared" si="66"/>
        <v>0</v>
      </c>
      <c r="MJ18" s="437">
        <f t="shared" si="67"/>
        <v>0</v>
      </c>
      <c r="MK18">
        <v>2.34</v>
      </c>
      <c r="ML18">
        <f t="shared" si="68"/>
        <v>0</v>
      </c>
      <c r="MM18" s="237">
        <f t="shared" ref="MM18:MM28" si="161">ML18/1000</f>
        <v>0</v>
      </c>
      <c r="MN18">
        <v>2</v>
      </c>
      <c r="MO18" s="237">
        <f t="shared" si="69"/>
        <v>0</v>
      </c>
      <c r="MQ18" t="s">
        <v>726</v>
      </c>
      <c r="MR18" s="22">
        <f>SUM(MJ27:MJ28)</f>
        <v>29077.241919538588</v>
      </c>
      <c r="MS18" s="22">
        <f>SUM(MM27:MM28)</f>
        <v>28692.962628081867</v>
      </c>
      <c r="MT18" s="22">
        <f>SUM(MO27:MO28)</f>
        <v>31181.819029637678</v>
      </c>
      <c r="MV18" s="419" t="s">
        <v>711</v>
      </c>
      <c r="MW18" s="413">
        <v>1723</v>
      </c>
      <c r="MX18" s="411">
        <v>946</v>
      </c>
      <c r="MY18" s="412">
        <v>0.55000000000000004</v>
      </c>
      <c r="MZ18" s="411">
        <v>128.30000000000001</v>
      </c>
      <c r="NA18" s="420">
        <v>46829</v>
      </c>
      <c r="NC18" s="95">
        <f t="shared" si="142"/>
        <v>0.98457142857142854</v>
      </c>
      <c r="ND18" s="95">
        <f t="shared" si="142"/>
        <v>0.99474237644584651</v>
      </c>
      <c r="NF18" s="22">
        <f t="shared" si="15"/>
        <v>80.686367000000004</v>
      </c>
      <c r="NG18" s="95">
        <f t="shared" si="16"/>
        <v>1.8995180717202916E-2</v>
      </c>
      <c r="NJ18" t="s">
        <v>753</v>
      </c>
      <c r="NK18" s="101">
        <v>0</v>
      </c>
      <c r="NL18" s="22">
        <f t="shared" si="70"/>
        <v>0</v>
      </c>
      <c r="NM18">
        <v>3</v>
      </c>
      <c r="NN18">
        <f t="shared" ref="NN18:NN28" si="162">NM18/100</f>
        <v>0.03</v>
      </c>
      <c r="NO18">
        <v>0.75</v>
      </c>
      <c r="NP18">
        <f t="shared" ref="NP18:NP28" si="163">NO18*NN18</f>
        <v>2.2499999999999999E-2</v>
      </c>
      <c r="NQ18">
        <v>44.3</v>
      </c>
      <c r="NR18">
        <f t="shared" ref="NR18:NR28" si="164">NQ18*NP18</f>
        <v>0.99674999999999991</v>
      </c>
      <c r="NS18">
        <v>72.416541095972974</v>
      </c>
      <c r="NT18">
        <f t="shared" si="115"/>
        <v>7.8785263264484397E-3</v>
      </c>
      <c r="NU18">
        <f t="shared" si="116"/>
        <v>9.3521034397127997E-4</v>
      </c>
      <c r="NV18" s="22">
        <f t="shared" si="71"/>
        <v>0</v>
      </c>
      <c r="NW18" s="22">
        <f t="shared" si="72"/>
        <v>0</v>
      </c>
      <c r="NX18" s="22">
        <f t="shared" si="73"/>
        <v>0</v>
      </c>
      <c r="NY18" s="22">
        <f t="shared" si="74"/>
        <v>0</v>
      </c>
      <c r="NZ18" s="437">
        <f t="shared" si="75"/>
        <v>0</v>
      </c>
      <c r="OA18">
        <v>2.34</v>
      </c>
      <c r="OB18">
        <f t="shared" si="76"/>
        <v>0</v>
      </c>
      <c r="OC18" s="237">
        <f t="shared" ref="OC18:OC28" si="165">OB18/1000</f>
        <v>0</v>
      </c>
      <c r="OD18">
        <v>2.6</v>
      </c>
      <c r="OE18" s="237">
        <f t="shared" si="77"/>
        <v>0</v>
      </c>
      <c r="OG18" t="s">
        <v>726</v>
      </c>
      <c r="OH18" s="22">
        <f>SUM(NZ27:NZ28)</f>
        <v>28388.593183229972</v>
      </c>
      <c r="OI18" s="22">
        <f>SUM(OC27:OC28)</f>
        <v>28018.156572841443</v>
      </c>
      <c r="OJ18" s="22">
        <f>SUM(OE27:OE28)</f>
        <v>30487.795522188164</v>
      </c>
      <c r="OL18" t="s">
        <v>726</v>
      </c>
      <c r="OM18" s="22">
        <f t="shared" si="117"/>
        <v>27614.221676657653</v>
      </c>
      <c r="ON18" s="22">
        <f t="shared" si="117"/>
        <v>27253.889672517998</v>
      </c>
      <c r="OO18" s="22">
        <f t="shared" si="117"/>
        <v>29656.162901360294</v>
      </c>
      <c r="OQ18" t="s">
        <v>726</v>
      </c>
      <c r="OR18" s="22">
        <f t="shared" si="118"/>
        <v>25568.077700149621</v>
      </c>
      <c r="OS18" s="22">
        <f t="shared" si="118"/>
        <v>25234.445386062671</v>
      </c>
      <c r="OT18" s="22">
        <f t="shared" si="118"/>
        <v>27458.716245159481</v>
      </c>
    </row>
    <row r="19" spans="1:410" ht="16.5" customHeight="1" thickBot="1" x14ac:dyDescent="0.5">
      <c r="A19" s="981"/>
      <c r="B19" s="159" t="s">
        <v>754</v>
      </c>
      <c r="C19" s="160">
        <v>41254</v>
      </c>
      <c r="D19" s="161">
        <v>41184</v>
      </c>
      <c r="E19" s="162">
        <v>38954</v>
      </c>
      <c r="F19" s="163">
        <v>121392</v>
      </c>
      <c r="G19" s="200">
        <v>1042715.8002521525</v>
      </c>
      <c r="H19" s="142"/>
      <c r="I19" s="166"/>
      <c r="J19" s="166"/>
      <c r="K19" s="166"/>
      <c r="L19" s="166"/>
      <c r="M19" s="286"/>
      <c r="N19" s="166"/>
      <c r="O19" s="166"/>
      <c r="P19" s="166"/>
      <c r="Q19" s="166"/>
      <c r="S19" s="115">
        <v>2013</v>
      </c>
      <c r="T19" s="107">
        <f>$M$127</f>
        <v>2.8204394465260352E-2</v>
      </c>
      <c r="U19" s="85">
        <f>U18*(1+T19)</f>
        <v>4.3546327437601704</v>
      </c>
      <c r="V19" s="438">
        <f t="shared" si="147"/>
        <v>1033.1366184571004</v>
      </c>
      <c r="W19" s="83">
        <f t="shared" si="148"/>
        <v>27.216454648501063</v>
      </c>
      <c r="X19" s="83">
        <f t="shared" ref="X19:X25" si="166">W19/0.0194</f>
        <v>1402.9100334278899</v>
      </c>
      <c r="Y19" s="438">
        <f t="shared" ref="Y19:Y25" si="167">X19*$Y$16</f>
        <v>911.8915217281284</v>
      </c>
      <c r="Z19" s="16">
        <f t="shared" si="149"/>
        <v>1006212.5081440595</v>
      </c>
      <c r="AA19">
        <f t="shared" ref="AA19:AA24" si="168">Z19/10^6*$AA$16</f>
        <v>5.000876165475975</v>
      </c>
      <c r="AB19" s="237">
        <f t="shared" ref="AB19:AB29" si="169">AA19/$W$16/$X$16*$Y$16</f>
        <v>1047.2195578477397</v>
      </c>
      <c r="AC19" s="16">
        <f t="shared" si="150"/>
        <v>825157.73034969415</v>
      </c>
      <c r="AD19">
        <f t="shared" si="151"/>
        <v>4.1989637321641808</v>
      </c>
      <c r="AE19" s="16">
        <f t="shared" si="152"/>
        <v>1322.6735756317169</v>
      </c>
      <c r="AF19" s="237">
        <f t="shared" si="153"/>
        <v>859.73782416061601</v>
      </c>
      <c r="AG19" s="237"/>
      <c r="AH19" s="237"/>
      <c r="AI19" s="237"/>
      <c r="AJ19" s="237"/>
      <c r="AK19" s="701" t="s">
        <v>285</v>
      </c>
      <c r="AL19" s="695"/>
      <c r="AO19" s="237"/>
      <c r="AP19" s="747" t="s">
        <v>716</v>
      </c>
      <c r="AQ19" s="739">
        <v>6456</v>
      </c>
      <c r="AR19" s="742">
        <v>4421</v>
      </c>
      <c r="AS19" s="774">
        <f t="shared" si="132"/>
        <v>0.68478934324659235</v>
      </c>
      <c r="AT19" s="740">
        <v>47.3</v>
      </c>
      <c r="AU19" s="738">
        <v>17274</v>
      </c>
      <c r="AV19" s="237"/>
      <c r="AW19" s="95">
        <f t="shared" si="133"/>
        <v>0.79851576994434137</v>
      </c>
      <c r="AX19" s="95">
        <f t="shared" si="134"/>
        <v>0.85562221792142445</v>
      </c>
      <c r="AY19">
        <f t="shared" si="143"/>
        <v>111.520944</v>
      </c>
      <c r="BA19" s="95">
        <f t="shared" si="17"/>
        <v>8.5433455592844029E-2</v>
      </c>
      <c r="BB19" s="95"/>
      <c r="BC19" s="95"/>
      <c r="BE19" t="s">
        <v>753</v>
      </c>
      <c r="BF19" s="101">
        <f>BA29</f>
        <v>6.0936512816043651E-3</v>
      </c>
      <c r="BG19" s="22">
        <f t="shared" si="78"/>
        <v>7.0603587720312815</v>
      </c>
      <c r="BH19">
        <v>3</v>
      </c>
      <c r="BI19">
        <f t="shared" si="123"/>
        <v>0.03</v>
      </c>
      <c r="BJ19">
        <v>0.75</v>
      </c>
      <c r="BK19">
        <f t="shared" si="124"/>
        <v>2.2499999999999999E-2</v>
      </c>
      <c r="BL19">
        <v>44.3</v>
      </c>
      <c r="BM19">
        <f t="shared" si="79"/>
        <v>0.99674999999999991</v>
      </c>
      <c r="BN19">
        <v>72.335002492541093</v>
      </c>
      <c r="BO19">
        <v>7.1637159556547196E-3</v>
      </c>
      <c r="BP19">
        <v>4.7891015874360001E-4</v>
      </c>
      <c r="BQ19" s="22">
        <f t="shared" ref="BQ19:BQ29" si="170">BM19*BG19</f>
        <v>7.0374126060221789</v>
      </c>
      <c r="BR19" s="22">
        <f t="shared" si="120"/>
        <v>509.05125839765441</v>
      </c>
      <c r="BS19" s="22">
        <f t="shared" si="81"/>
        <v>5.0414024972286746E-2</v>
      </c>
      <c r="BT19" s="22">
        <f t="shared" si="82"/>
        <v>3.3702883882942933E-3</v>
      </c>
      <c r="BU19" s="437">
        <f t="shared" ref="BU19:BU29" si="171">BR19+BS19*$HI$8+BT19*$HJ$8</f>
        <v>511.35597751977639</v>
      </c>
      <c r="BV19">
        <v>2.34</v>
      </c>
      <c r="BW19">
        <f t="shared" si="111"/>
        <v>495637.18579659594</v>
      </c>
      <c r="BX19" s="237">
        <f t="shared" si="83"/>
        <v>495.63718579659593</v>
      </c>
      <c r="BY19">
        <v>2</v>
      </c>
      <c r="BZ19" s="237">
        <f t="shared" si="84"/>
        <v>14.120717544062563</v>
      </c>
      <c r="CA19" s="237"/>
      <c r="CB19" s="237"/>
      <c r="CD19" s="437">
        <f>SUM(CD13:CD18)</f>
        <v>263506.97245331336</v>
      </c>
      <c r="CE19" s="437">
        <f>SUM(CE13:CE18)</f>
        <v>274090.34961368097</v>
      </c>
      <c r="CF19" s="437">
        <f>SUM(CF13:CF18)</f>
        <v>238146.0221390122</v>
      </c>
      <c r="CG19" s="237"/>
      <c r="CH19" s="237"/>
      <c r="CI19" s="701" t="s">
        <v>709</v>
      </c>
      <c r="CJ19" s="695"/>
      <c r="CM19" s="237"/>
      <c r="CN19" s="747" t="s">
        <v>716</v>
      </c>
      <c r="CO19" s="739">
        <v>6456</v>
      </c>
      <c r="CP19" s="742">
        <v>4421</v>
      </c>
      <c r="CQ19" s="774">
        <f t="shared" si="135"/>
        <v>0.68478934324659235</v>
      </c>
      <c r="CR19" s="740">
        <v>47.3</v>
      </c>
      <c r="CS19" s="738">
        <v>17274</v>
      </c>
      <c r="CT19" s="237"/>
      <c r="CU19" s="95">
        <f t="shared" si="136"/>
        <v>0.79851576994434137</v>
      </c>
      <c r="CV19" s="95">
        <f t="shared" si="136"/>
        <v>0.85562221792142445</v>
      </c>
      <c r="CW19">
        <f t="shared" si="125"/>
        <v>111.520944</v>
      </c>
      <c r="CY19" s="95">
        <f t="shared" si="18"/>
        <v>8.5433455592844029E-2</v>
      </c>
      <c r="CZ19" s="95"/>
      <c r="DA19" s="95"/>
      <c r="DC19" t="s">
        <v>753</v>
      </c>
      <c r="DD19" s="101">
        <f>CY29</f>
        <v>6.0936512816043651E-3</v>
      </c>
      <c r="DE19" s="22">
        <f t="shared" si="85"/>
        <v>7.0603587720312815</v>
      </c>
      <c r="DF19">
        <v>3</v>
      </c>
      <c r="DG19">
        <f t="shared" si="126"/>
        <v>0.03</v>
      </c>
      <c r="DH19">
        <v>0.75</v>
      </c>
      <c r="DI19">
        <f t="shared" si="127"/>
        <v>2.2499999999999999E-2</v>
      </c>
      <c r="DJ19">
        <v>44.3</v>
      </c>
      <c r="DK19">
        <f t="shared" si="86"/>
        <v>0.99674999999999991</v>
      </c>
      <c r="DL19">
        <v>72.335002492541093</v>
      </c>
      <c r="DM19">
        <v>7.1637159556547196E-3</v>
      </c>
      <c r="DN19">
        <v>4.7891015874360001E-4</v>
      </c>
      <c r="DO19" s="22">
        <f t="shared" si="121"/>
        <v>7.0374126060221789</v>
      </c>
      <c r="DP19" s="22">
        <f t="shared" si="87"/>
        <v>509.05125839765441</v>
      </c>
      <c r="DQ19" s="22">
        <f t="shared" si="88"/>
        <v>5.0414024972286746E-2</v>
      </c>
      <c r="DR19" s="22">
        <f t="shared" si="89"/>
        <v>3.3702883882942933E-3</v>
      </c>
      <c r="DS19" s="437">
        <f t="shared" si="21"/>
        <v>511.35597751977639</v>
      </c>
      <c r="DT19">
        <v>2.34</v>
      </c>
      <c r="DU19">
        <f t="shared" si="112"/>
        <v>495637.18579659594</v>
      </c>
      <c r="DV19" s="237">
        <f t="shared" si="90"/>
        <v>495.63718579659593</v>
      </c>
      <c r="DW19">
        <v>2</v>
      </c>
      <c r="DX19" s="237">
        <f t="shared" si="91"/>
        <v>14.120717544062563</v>
      </c>
      <c r="DY19" s="237"/>
      <c r="DZ19" s="237"/>
      <c r="EB19" s="437">
        <f>SUM(EB13:EB18)</f>
        <v>263506.97245331336</v>
      </c>
      <c r="EC19" s="437">
        <f>SUM(EC13:EC18)</f>
        <v>274090.34961368097</v>
      </c>
      <c r="ED19" s="437">
        <f>SUM(ED13:ED18)</f>
        <v>238146.0221390122</v>
      </c>
      <c r="EE19" s="237"/>
      <c r="EF19" s="237"/>
      <c r="EG19" s="237"/>
      <c r="EH19" s="237"/>
      <c r="EI19" s="237"/>
      <c r="EJ19" s="564" t="s">
        <v>716</v>
      </c>
      <c r="EK19" s="562">
        <v>26534</v>
      </c>
      <c r="EL19" s="562">
        <v>16109</v>
      </c>
      <c r="EM19" s="563">
        <v>0.61</v>
      </c>
      <c r="EN19" s="564">
        <v>44.88</v>
      </c>
      <c r="EO19" s="571">
        <v>16381</v>
      </c>
      <c r="EP19" s="237"/>
      <c r="EQ19" s="95">
        <f t="shared" si="137"/>
        <v>0.81731095025411982</v>
      </c>
      <c r="ER19" s="95">
        <f t="shared" si="137"/>
        <v>0.83414457332228664</v>
      </c>
      <c r="ES19">
        <f t="shared" si="128"/>
        <v>434.65345400000001</v>
      </c>
      <c r="EU19" s="95">
        <f t="shared" si="6"/>
        <v>8.7464501979360801E-2</v>
      </c>
      <c r="EV19" s="95">
        <f t="shared" si="144"/>
        <v>0.45761482515972002</v>
      </c>
      <c r="EW19" s="237"/>
      <c r="EX19" t="s">
        <v>728</v>
      </c>
      <c r="EY19" t="s">
        <v>753</v>
      </c>
      <c r="EZ19" s="101">
        <f>EV28</f>
        <v>8.8286191306831624E-4</v>
      </c>
      <c r="FA19" s="22">
        <f t="shared" ref="FA19:FA29" si="172">EZ19*$EX$8</f>
        <v>0.19778381105018358</v>
      </c>
      <c r="FB19">
        <v>3</v>
      </c>
      <c r="FC19">
        <f t="shared" si="23"/>
        <v>0.03</v>
      </c>
      <c r="FD19">
        <v>0.75</v>
      </c>
      <c r="FE19">
        <f t="shared" si="24"/>
        <v>2.2499999999999999E-2</v>
      </c>
      <c r="FF19">
        <v>44.3</v>
      </c>
      <c r="FG19">
        <f t="shared" si="25"/>
        <v>0.99674999999999991</v>
      </c>
      <c r="FH19">
        <v>72.335002492541093</v>
      </c>
      <c r="FI19">
        <v>7.1637159556547196E-3</v>
      </c>
      <c r="FJ19">
        <v>4.7891015874360001E-4</v>
      </c>
      <c r="FK19" s="22">
        <f t="shared" si="26"/>
        <v>0.19714101366427048</v>
      </c>
      <c r="FL19" s="22">
        <f t="shared" si="27"/>
        <v>14.260195714787082</v>
      </c>
      <c r="FM19" s="22">
        <f t="shared" si="28"/>
        <v>1.4122622251006795E-3</v>
      </c>
      <c r="FN19" s="22">
        <f t="shared" si="29"/>
        <v>9.4412834148829996E-5</v>
      </c>
      <c r="FO19" s="437">
        <f t="shared" si="30"/>
        <v>14.324758458139341</v>
      </c>
      <c r="FP19">
        <v>2.34</v>
      </c>
      <c r="FQ19">
        <f t="shared" si="31"/>
        <v>13884.423535722888</v>
      </c>
      <c r="FR19" s="237">
        <f t="shared" si="32"/>
        <v>13.884423535722888</v>
      </c>
      <c r="FS19">
        <v>2</v>
      </c>
      <c r="FT19" s="237">
        <f t="shared" si="33"/>
        <v>0.39556762210036717</v>
      </c>
      <c r="FV19" s="237"/>
      <c r="FW19"/>
      <c r="FX19" s="437">
        <f>SUM(FX13:FX18)</f>
        <v>298223.75266271486</v>
      </c>
      <c r="FY19" s="437">
        <f>SUM(FY13:FY18)</f>
        <v>302286.14763736661</v>
      </c>
      <c r="FZ19" s="437">
        <f>SUM(FZ13:FZ18)</f>
        <v>267560.77046564902</v>
      </c>
      <c r="GA19" s="437"/>
      <c r="GB19"/>
      <c r="GC19"/>
      <c r="GD19" s="237"/>
      <c r="GF19" s="564" t="s">
        <v>716</v>
      </c>
      <c r="GG19" s="562">
        <v>25218</v>
      </c>
      <c r="GH19" s="562">
        <v>14625</v>
      </c>
      <c r="GI19" s="563">
        <v>0.57999999999999996</v>
      </c>
      <c r="GJ19" s="564">
        <v>43.87</v>
      </c>
      <c r="GK19" s="571">
        <v>16013</v>
      </c>
      <c r="GM19" s="95">
        <f t="shared" si="138"/>
        <v>0.79085520745131244</v>
      </c>
      <c r="GN19" s="95">
        <f t="shared" si="138"/>
        <v>0.82334065191690597</v>
      </c>
      <c r="GP19" s="22">
        <f t="shared" si="129"/>
        <v>403.815834</v>
      </c>
      <c r="GQ19" s="95">
        <f t="shared" si="8"/>
        <v>8.2186754844503176E-2</v>
      </c>
      <c r="GR19" s="95">
        <f t="shared" si="145"/>
        <v>0.43306975715892071</v>
      </c>
      <c r="GT19" t="s">
        <v>728</v>
      </c>
      <c r="GU19" t="s">
        <v>675</v>
      </c>
      <c r="GV19" s="101">
        <f>GR10</f>
        <v>5.7355041114334044E-4</v>
      </c>
      <c r="GW19" s="22">
        <f t="shared" ref="GW19:GW28" si="173">GV19*$GT$8</f>
        <v>0.12238256400998294</v>
      </c>
      <c r="GX19">
        <v>8</v>
      </c>
      <c r="GY19">
        <f t="shared" si="92"/>
        <v>0.08</v>
      </c>
      <c r="GZ19">
        <v>0.86499999999999999</v>
      </c>
      <c r="HA19">
        <f t="shared" si="93"/>
        <v>6.9199999999999998E-2</v>
      </c>
      <c r="HB19">
        <v>44.3</v>
      </c>
      <c r="HC19">
        <f t="shared" si="94"/>
        <v>3.0655599999999996</v>
      </c>
      <c r="HD19">
        <v>70.9769741921898</v>
      </c>
      <c r="HE19">
        <v>7.3169105356480999E-3</v>
      </c>
      <c r="HF19">
        <v>6.0998104818480998E-4</v>
      </c>
      <c r="HG19" s="22">
        <f t="shared" si="95"/>
        <v>0.37517109292644329</v>
      </c>
      <c r="HH19" s="22">
        <f t="shared" si="36"/>
        <v>26.628508980295805</v>
      </c>
      <c r="HI19" s="22">
        <f t="shared" si="37"/>
        <v>2.7450933225041051E-3</v>
      </c>
      <c r="HJ19" s="22">
        <f t="shared" si="38"/>
        <v>2.2884725651191264E-4</v>
      </c>
      <c r="HK19" s="437">
        <f t="shared" si="39"/>
        <v>26.766016116301579</v>
      </c>
      <c r="HL19">
        <v>2.72</v>
      </c>
      <c r="HM19">
        <f t="shared" si="96"/>
        <v>26630.445928572291</v>
      </c>
      <c r="HN19" s="237">
        <f t="shared" si="97"/>
        <v>26.630445928572293</v>
      </c>
      <c r="HO19">
        <v>271.3</v>
      </c>
      <c r="HP19" s="237">
        <f t="shared" si="98"/>
        <v>33.202389615908373</v>
      </c>
      <c r="HQ19" s="237"/>
      <c r="HS19" s="437">
        <f>SUM(HS13:HS18)</f>
        <v>295688.32428345428</v>
      </c>
      <c r="HT19" s="437">
        <f>SUM(HT13:HT18)</f>
        <v>298666.86414984707</v>
      </c>
      <c r="HU19" s="437">
        <f>SUM(HU13:HU18)</f>
        <v>265499.89024513657</v>
      </c>
      <c r="HV19" s="237"/>
      <c r="HX19" s="502" t="s">
        <v>716</v>
      </c>
      <c r="HY19" s="503">
        <v>23912</v>
      </c>
      <c r="HZ19" s="503">
        <v>13591</v>
      </c>
      <c r="IA19" s="504">
        <v>0.56999999999999995</v>
      </c>
      <c r="IB19" s="502">
        <v>37.85</v>
      </c>
      <c r="IC19" s="503">
        <v>13817</v>
      </c>
      <c r="IE19" s="95">
        <f t="shared" si="139"/>
        <v>0.78894057870599488</v>
      </c>
      <c r="IF19" s="95">
        <f t="shared" si="139"/>
        <v>0.81315065214789994</v>
      </c>
      <c r="IH19" s="22">
        <f t="shared" si="130"/>
        <v>330.39210400000002</v>
      </c>
      <c r="II19" s="95">
        <f t="shared" si="40"/>
        <v>7.9281905580458611E-2</v>
      </c>
      <c r="IJ19" s="95">
        <f t="shared" si="146"/>
        <v>0.45806857485385233</v>
      </c>
      <c r="IL19" t="s">
        <v>728</v>
      </c>
      <c r="IM19" t="s">
        <v>675</v>
      </c>
      <c r="IN19" s="101">
        <f>IJ10</f>
        <v>1.369081012591881E-3</v>
      </c>
      <c r="IO19" s="22">
        <f t="shared" ref="IO19:IO28" si="174">IN19*$IL$8</f>
        <v>0.28986889172180769</v>
      </c>
      <c r="IP19">
        <v>8</v>
      </c>
      <c r="IQ19">
        <f t="shared" si="99"/>
        <v>0.08</v>
      </c>
      <c r="IR19">
        <v>0.86499999999999999</v>
      </c>
      <c r="IS19">
        <f t="shared" si="100"/>
        <v>6.9199999999999998E-2</v>
      </c>
      <c r="IT19">
        <v>44.3</v>
      </c>
      <c r="IU19">
        <f t="shared" si="101"/>
        <v>3.0655599999999996</v>
      </c>
      <c r="IV19">
        <v>70.9769741921898</v>
      </c>
      <c r="IW19">
        <v>7.3169105356480999E-3</v>
      </c>
      <c r="IX19">
        <v>6.0998104818480998E-4</v>
      </c>
      <c r="IY19" s="22">
        <f t="shared" si="43"/>
        <v>0.8886104797067047</v>
      </c>
      <c r="IZ19" s="22">
        <f t="shared" si="44"/>
        <v>63.070883085052181</v>
      </c>
      <c r="JA19" s="22">
        <f t="shared" si="45"/>
        <v>6.5018833810533E-3</v>
      </c>
      <c r="JB19" s="22">
        <f t="shared" si="46"/>
        <v>5.4203555183950254E-4</v>
      </c>
      <c r="JC19" s="437">
        <f t="shared" si="47"/>
        <v>63.396575240959137</v>
      </c>
      <c r="JD19">
        <v>2.72</v>
      </c>
      <c r="JE19">
        <f t="shared" si="48"/>
        <v>63075.470838665351</v>
      </c>
      <c r="JF19" s="237">
        <f t="shared" si="102"/>
        <v>63.075470838665353</v>
      </c>
      <c r="JG19">
        <v>271.3</v>
      </c>
      <c r="JH19" s="237">
        <f t="shared" si="49"/>
        <v>78.641430324126432</v>
      </c>
      <c r="JK19" s="437">
        <f>SUM(JK13:JK18)</f>
        <v>299193.28086075408</v>
      </c>
      <c r="JL19" s="437">
        <f>SUM(JL13:JL18)</f>
        <v>300682.56197295722</v>
      </c>
      <c r="JM19" s="437">
        <f>SUM(JM13:JM18)</f>
        <v>266651.15133898892</v>
      </c>
      <c r="JP19" s="417" t="s">
        <v>716</v>
      </c>
      <c r="JQ19" s="408">
        <v>22949</v>
      </c>
      <c r="JR19" s="408">
        <v>12126</v>
      </c>
      <c r="JS19" s="409">
        <v>0.53</v>
      </c>
      <c r="JT19" s="410">
        <v>38.15</v>
      </c>
      <c r="JU19" s="418">
        <v>13925</v>
      </c>
      <c r="JW19" s="95">
        <f t="shared" si="140"/>
        <v>0.77896201758256678</v>
      </c>
      <c r="JX19" s="95">
        <f t="shared" si="140"/>
        <v>0.79598267034265457</v>
      </c>
      <c r="JZ19" s="22">
        <f t="shared" si="131"/>
        <v>319.56482499999998</v>
      </c>
      <c r="KA19" s="95">
        <f t="shared" si="11"/>
        <v>7.6683758406301913E-2</v>
      </c>
      <c r="KC19" t="s">
        <v>728</v>
      </c>
      <c r="KD19" t="s">
        <v>675</v>
      </c>
      <c r="KE19" s="101">
        <f>KA10</f>
        <v>1.4824558894126482E-4</v>
      </c>
      <c r="KF19" s="22">
        <f t="shared" si="50"/>
        <v>0.15756926781717798</v>
      </c>
      <c r="KG19">
        <v>8</v>
      </c>
      <c r="KH19">
        <f t="shared" si="154"/>
        <v>0.08</v>
      </c>
      <c r="KI19">
        <v>0.86499999999999999</v>
      </c>
      <c r="KJ19">
        <f t="shared" si="155"/>
        <v>6.9199999999999998E-2</v>
      </c>
      <c r="KK19">
        <v>44.3</v>
      </c>
      <c r="KL19">
        <f t="shared" si="156"/>
        <v>3.0655599999999996</v>
      </c>
      <c r="KM19">
        <v>72.416541095973002</v>
      </c>
      <c r="KN19">
        <f>7.87852632644844/1000</f>
        <v>7.8785263264484397E-3</v>
      </c>
      <c r="KO19">
        <f>0.93521034397128/1000</f>
        <v>9.3521034397127997E-4</v>
      </c>
      <c r="KP19" s="22">
        <f t="shared" si="54"/>
        <v>0.48303804464962807</v>
      </c>
      <c r="KQ19" s="22">
        <f t="shared" si="55"/>
        <v>34.979944411288237</v>
      </c>
      <c r="KR19" s="22">
        <f t="shared" si="56"/>
        <v>3.8056279514482715E-3</v>
      </c>
      <c r="KS19" s="22">
        <f t="shared" si="57"/>
        <v>4.5174217588799317E-4</v>
      </c>
      <c r="KT19" s="437">
        <f t="shared" si="58"/>
        <v>35.206213670539107</v>
      </c>
      <c r="KU19">
        <v>2.72</v>
      </c>
      <c r="KV19">
        <f t="shared" si="59"/>
        <v>34287.072677017932</v>
      </c>
      <c r="KW19" s="237">
        <f t="shared" si="157"/>
        <v>34.287072677017932</v>
      </c>
      <c r="KX19">
        <v>271.3</v>
      </c>
      <c r="KY19" s="237">
        <f t="shared" si="61"/>
        <v>42.748542358800393</v>
      </c>
      <c r="LB19" s="437">
        <f>SUM(LB13:LB18)</f>
        <v>277197.37191233994</v>
      </c>
      <c r="LC19" s="437">
        <f>SUM(LC13:LC18)</f>
        <v>276756.79048803076</v>
      </c>
      <c r="LD19" s="437">
        <f>SUM(LD13:LD18)</f>
        <v>247513.05197933945</v>
      </c>
      <c r="LF19" s="90" t="s">
        <v>716</v>
      </c>
      <c r="LG19" s="91">
        <v>22222</v>
      </c>
      <c r="LH19" s="91">
        <v>11391</v>
      </c>
      <c r="LI19" s="92">
        <v>0.51</v>
      </c>
      <c r="LJ19" s="93">
        <v>39.15</v>
      </c>
      <c r="LK19" s="94">
        <v>14288</v>
      </c>
      <c r="LM19" s="95">
        <f t="shared" si="141"/>
        <v>0.76789108123984939</v>
      </c>
      <c r="LN19" s="95">
        <f t="shared" si="141"/>
        <v>0.77258545849158977</v>
      </c>
      <c r="LP19" s="22">
        <f t="shared" si="12"/>
        <v>317.50793599999997</v>
      </c>
      <c r="LQ19" s="95">
        <f t="shared" si="13"/>
        <v>7.4747703332163865E-2</v>
      </c>
      <c r="LS19" t="s">
        <v>728</v>
      </c>
      <c r="LT19" t="s">
        <v>675</v>
      </c>
      <c r="LU19" s="101">
        <f>LQ10</f>
        <v>2.0403494186185144E-4</v>
      </c>
      <c r="LV19" s="22">
        <f t="shared" si="62"/>
        <v>0.24402292169306161</v>
      </c>
      <c r="LW19">
        <v>8</v>
      </c>
      <c r="LX19">
        <f t="shared" si="158"/>
        <v>0.08</v>
      </c>
      <c r="LY19">
        <v>0.86499999999999999</v>
      </c>
      <c r="LZ19">
        <f t="shared" si="159"/>
        <v>6.9199999999999998E-2</v>
      </c>
      <c r="MA19">
        <v>44.3</v>
      </c>
      <c r="MB19">
        <f t="shared" si="160"/>
        <v>3.0655599999999996</v>
      </c>
      <c r="MC19">
        <v>73.367636682232202</v>
      </c>
      <c r="MD19">
        <f>0.06636778941357/1000</f>
        <v>6.6367789413569991E-5</v>
      </c>
      <c r="ME19">
        <f>2.52657658902305/1000</f>
        <v>2.5265765890230499E-3</v>
      </c>
      <c r="MF19" s="22">
        <f t="shared" si="63"/>
        <v>0.74806690782538188</v>
      </c>
      <c r="MG19" s="22">
        <f t="shared" si="64"/>
        <v>54.8839011073335</v>
      </c>
      <c r="MH19" s="22">
        <f t="shared" si="65"/>
        <v>4.964754700581542E-5</v>
      </c>
      <c r="MI19" s="22">
        <f t="shared" si="66"/>
        <v>1.8900483363344736E-3</v>
      </c>
      <c r="MJ19" s="437">
        <f t="shared" si="67"/>
        <v>55.386154047778298</v>
      </c>
      <c r="MK19">
        <v>2.72</v>
      </c>
      <c r="ML19">
        <f t="shared" si="68"/>
        <v>53099.387760410209</v>
      </c>
      <c r="MM19" s="237">
        <f t="shared" si="161"/>
        <v>53.09938776041021</v>
      </c>
      <c r="MN19">
        <v>271.3</v>
      </c>
      <c r="MO19" s="237">
        <f t="shared" si="69"/>
        <v>66.203418655327624</v>
      </c>
      <c r="MR19" s="437">
        <f>SUM(MR13:MR18)</f>
        <v>315453.94589657709</v>
      </c>
      <c r="MS19" s="437">
        <f>SUM(MS13:MS18)</f>
        <v>309367.67504833644</v>
      </c>
      <c r="MT19" s="437">
        <f>SUM(MT13:MT18)</f>
        <v>276735.12386816205</v>
      </c>
      <c r="MV19" s="417" t="s">
        <v>716</v>
      </c>
      <c r="MW19" s="408">
        <v>21140</v>
      </c>
      <c r="MX19" s="408">
        <v>11077</v>
      </c>
      <c r="MY19" s="409">
        <v>0.52</v>
      </c>
      <c r="MZ19" s="410">
        <v>39.590000000000003</v>
      </c>
      <c r="NA19" s="418">
        <v>14450</v>
      </c>
      <c r="NC19" s="95">
        <f t="shared" si="142"/>
        <v>0.75341245233258491</v>
      </c>
      <c r="ND19" s="95">
        <f t="shared" si="142"/>
        <v>0.75859471305300641</v>
      </c>
      <c r="NF19" s="22">
        <f t="shared" si="15"/>
        <v>305.47300000000001</v>
      </c>
      <c r="NG19" s="95">
        <f t="shared" si="16"/>
        <v>7.1914439266129379E-2</v>
      </c>
      <c r="NI19" t="s">
        <v>728</v>
      </c>
      <c r="NJ19" t="s">
        <v>675</v>
      </c>
      <c r="NK19" s="101">
        <f>NG10</f>
        <v>1.6235172042486156E-4</v>
      </c>
      <c r="NL19" s="22">
        <f t="shared" si="70"/>
        <v>0.19204119023121952</v>
      </c>
      <c r="NM19">
        <v>8</v>
      </c>
      <c r="NN19">
        <f t="shared" si="162"/>
        <v>0.08</v>
      </c>
      <c r="NO19">
        <v>0.86499999999999999</v>
      </c>
      <c r="NP19">
        <f t="shared" si="163"/>
        <v>6.9199999999999998E-2</v>
      </c>
      <c r="NQ19">
        <v>44.3</v>
      </c>
      <c r="NR19">
        <f t="shared" si="164"/>
        <v>3.0655599999999996</v>
      </c>
      <c r="NS19">
        <v>73.367636682232202</v>
      </c>
      <c r="NT19">
        <f>0.06636778941357/1000</f>
        <v>6.6367789413569991E-5</v>
      </c>
      <c r="NU19">
        <f>2.52657658902305/1000</f>
        <v>2.5265765890230499E-3</v>
      </c>
      <c r="NV19" s="22">
        <f t="shared" si="71"/>
        <v>0.58871379112521727</v>
      </c>
      <c r="NW19" s="22">
        <f t="shared" si="72"/>
        <v>43.192539537094476</v>
      </c>
      <c r="NX19" s="22">
        <f t="shared" si="73"/>
        <v>3.9071632914262848E-5</v>
      </c>
      <c r="NY19" s="22">
        <f t="shared" si="74"/>
        <v>1.4874304822919797E-3</v>
      </c>
      <c r="NZ19" s="437">
        <f t="shared" si="75"/>
        <v>43.587802620623449</v>
      </c>
      <c r="OA19">
        <v>2.72</v>
      </c>
      <c r="OB19">
        <f t="shared" si="76"/>
        <v>41788.162994313374</v>
      </c>
      <c r="OC19" s="237">
        <f t="shared" si="165"/>
        <v>41.788162994313375</v>
      </c>
      <c r="OD19">
        <v>271.3</v>
      </c>
      <c r="OE19" s="237">
        <f t="shared" si="77"/>
        <v>52.100774909729864</v>
      </c>
      <c r="OH19" s="437">
        <f>SUM(OH13:OH18)</f>
        <v>305435.12733143719</v>
      </c>
      <c r="OI19" s="437">
        <f>SUM(OI13:OI18)</f>
        <v>303090.32750721299</v>
      </c>
      <c r="OJ19" s="437">
        <f>SUM(OJ13:OJ18)</f>
        <v>271714.51196775009</v>
      </c>
      <c r="OM19" s="437">
        <f>SUM(OM13:OM18)</f>
        <v>297103.60282843816</v>
      </c>
      <c r="ON19" s="437">
        <f>SUM(ON13:ON18)</f>
        <v>294822.76341820048</v>
      </c>
      <c r="OO19" s="437">
        <f>SUM(OO13:OO18)</f>
        <v>264302.8035173883</v>
      </c>
      <c r="OR19" s="437">
        <f>SUM(OR13:OR18)</f>
        <v>275088.97737766482</v>
      </c>
      <c r="OS19" s="437">
        <f>SUM(OS13:OS18)</f>
        <v>272977.14239837893</v>
      </c>
      <c r="OT19" s="437">
        <f>SUM(OT13:OT18)</f>
        <v>244718.63432646624</v>
      </c>
    </row>
    <row r="20" spans="1:410" ht="16.5" customHeight="1" thickBot="1" x14ac:dyDescent="0.5">
      <c r="A20" s="981"/>
      <c r="B20" s="159" t="s">
        <v>755</v>
      </c>
      <c r="C20" s="160">
        <v>39454</v>
      </c>
      <c r="D20" s="161">
        <v>39405</v>
      </c>
      <c r="E20" s="162">
        <v>37215</v>
      </c>
      <c r="F20" s="163">
        <v>116074</v>
      </c>
      <c r="G20" s="200">
        <v>1158789.8002521526</v>
      </c>
      <c r="H20" s="142"/>
      <c r="I20" s="166"/>
      <c r="J20" s="166"/>
      <c r="K20" s="166"/>
      <c r="L20" s="166"/>
      <c r="M20" s="286"/>
      <c r="N20" s="166"/>
      <c r="O20" s="166"/>
      <c r="P20" s="166"/>
      <c r="Q20" s="166"/>
      <c r="S20" s="115">
        <v>2014</v>
      </c>
      <c r="T20" s="107">
        <f>$M$140</f>
        <v>2.9891451882241293E-2</v>
      </c>
      <c r="U20" s="85">
        <f t="shared" ref="U20:U25" si="175">U19*(1+T20)</f>
        <v>4.48479903888511</v>
      </c>
      <c r="V20" s="438">
        <f t="shared" si="147"/>
        <v>1064.0185719754925</v>
      </c>
      <c r="W20" s="83">
        <f t="shared" si="148"/>
        <v>28.029993993031937</v>
      </c>
      <c r="X20" s="83">
        <f t="shared" si="166"/>
        <v>1444.8450511872131</v>
      </c>
      <c r="Y20" s="438">
        <f t="shared" si="167"/>
        <v>939.14928327168855</v>
      </c>
      <c r="Z20" s="16">
        <f t="shared" si="149"/>
        <v>1036289.6609145569</v>
      </c>
      <c r="AA20">
        <f t="shared" si="168"/>
        <v>5.150359614745347</v>
      </c>
      <c r="AB20" s="237">
        <f t="shared" si="169"/>
        <v>1078.5224708712874</v>
      </c>
      <c r="AC20" s="16">
        <f t="shared" si="150"/>
        <v>849822.89294170146</v>
      </c>
      <c r="AD20">
        <f t="shared" si="151"/>
        <v>4.3244768545194425</v>
      </c>
      <c r="AE20" s="16">
        <f t="shared" si="152"/>
        <v>1362.2102091736244</v>
      </c>
      <c r="AF20" s="237">
        <f t="shared" si="153"/>
        <v>885.43663596285592</v>
      </c>
      <c r="AG20" s="237"/>
      <c r="AH20" s="237"/>
      <c r="AI20" s="237"/>
      <c r="AJ20" s="237"/>
      <c r="AK20" s="701" t="s">
        <v>709</v>
      </c>
      <c r="AL20" s="695"/>
      <c r="AO20" s="237"/>
      <c r="AP20" s="747" t="s">
        <v>722</v>
      </c>
      <c r="AQ20" s="739">
        <v>919</v>
      </c>
      <c r="AR20" s="740">
        <v>899</v>
      </c>
      <c r="AS20" s="774">
        <f t="shared" si="132"/>
        <v>0.97823721436343847</v>
      </c>
      <c r="AT20" s="740">
        <v>42</v>
      </c>
      <c r="AU20" s="738">
        <v>15323</v>
      </c>
      <c r="AV20" s="237"/>
      <c r="AW20" s="95">
        <f t="shared" si="133"/>
        <v>0.96029258098223613</v>
      </c>
      <c r="AX20" s="95">
        <f t="shared" si="134"/>
        <v>0.96562835660580026</v>
      </c>
      <c r="AY20">
        <f t="shared" si="143"/>
        <v>14.081837</v>
      </c>
      <c r="BA20" s="95">
        <f t="shared" si="17"/>
        <v>1.0787749393559365E-2</v>
      </c>
      <c r="BB20" s="95"/>
      <c r="BC20" s="95"/>
      <c r="BD20" t="s">
        <v>728</v>
      </c>
      <c r="BE20" t="s">
        <v>675</v>
      </c>
      <c r="BF20" s="101">
        <f>BA10</f>
        <v>4.3181373997352814E-5</v>
      </c>
      <c r="BG20" s="22">
        <f t="shared" si="78"/>
        <v>5.0031742645159083E-2</v>
      </c>
      <c r="BH20">
        <v>8</v>
      </c>
      <c r="BI20">
        <f t="shared" si="123"/>
        <v>0.08</v>
      </c>
      <c r="BJ20">
        <v>0.86499999999999999</v>
      </c>
      <c r="BK20">
        <f t="shared" si="124"/>
        <v>6.9199999999999998E-2</v>
      </c>
      <c r="BL20">
        <v>44.3</v>
      </c>
      <c r="BM20">
        <f t="shared" si="79"/>
        <v>3.0655599999999996</v>
      </c>
      <c r="BN20">
        <v>72.335002492541093</v>
      </c>
      <c r="BO20">
        <v>7.1637159556547196E-3</v>
      </c>
      <c r="BP20">
        <v>4.7891015874360001E-4</v>
      </c>
      <c r="BQ20" s="22">
        <f t="shared" si="170"/>
        <v>0.15337530898329385</v>
      </c>
      <c r="BR20" s="22">
        <f t="shared" si="120"/>
        <v>11.094403357600822</v>
      </c>
      <c r="BS20" s="22">
        <f t="shared" si="81"/>
        <v>1.0987371481670947E-3</v>
      </c>
      <c r="BT20" s="22">
        <f t="shared" si="82"/>
        <v>7.3452993572537952E-5</v>
      </c>
      <c r="BU20" s="437">
        <f t="shared" si="171"/>
        <v>11.144633041046223</v>
      </c>
      <c r="BV20">
        <v>2.72</v>
      </c>
      <c r="BW20">
        <f t="shared" si="111"/>
        <v>10886.907199586618</v>
      </c>
      <c r="BX20" s="237">
        <f t="shared" si="83"/>
        <v>10.886907199586618</v>
      </c>
      <c r="BY20">
        <v>207</v>
      </c>
      <c r="BZ20" s="237">
        <f t="shared" si="84"/>
        <v>10.356570727547929</v>
      </c>
      <c r="CA20" s="237"/>
      <c r="CB20" s="237"/>
      <c r="CG20" s="237"/>
      <c r="CH20" s="237"/>
      <c r="CI20" s="701" t="s">
        <v>716</v>
      </c>
      <c r="CJ20" s="695"/>
      <c r="CM20" s="237"/>
      <c r="CN20" s="747" t="s">
        <v>722</v>
      </c>
      <c r="CO20" s="739">
        <v>919</v>
      </c>
      <c r="CP20" s="740">
        <v>899</v>
      </c>
      <c r="CQ20" s="774">
        <f t="shared" si="135"/>
        <v>0.97823721436343847</v>
      </c>
      <c r="CR20" s="740">
        <v>42</v>
      </c>
      <c r="CS20" s="738">
        <v>15323</v>
      </c>
      <c r="CT20" s="237"/>
      <c r="CU20" s="95">
        <f t="shared" si="136"/>
        <v>0.96029258098223613</v>
      </c>
      <c r="CV20" s="95">
        <f t="shared" si="136"/>
        <v>0.96562835660580026</v>
      </c>
      <c r="CW20">
        <f t="shared" si="125"/>
        <v>14.081837</v>
      </c>
      <c r="CY20" s="95">
        <f t="shared" si="18"/>
        <v>1.0787749393559365E-2</v>
      </c>
      <c r="CZ20" s="95"/>
      <c r="DA20" s="95"/>
      <c r="DB20" t="s">
        <v>728</v>
      </c>
      <c r="DC20" t="s">
        <v>675</v>
      </c>
      <c r="DD20" s="101">
        <f>CY10</f>
        <v>4.3181373997352814E-5</v>
      </c>
      <c r="DE20" s="22">
        <f t="shared" si="85"/>
        <v>5.0031742645159083E-2</v>
      </c>
      <c r="DF20">
        <v>8</v>
      </c>
      <c r="DG20">
        <f t="shared" si="126"/>
        <v>0.08</v>
      </c>
      <c r="DH20">
        <v>0.86499999999999999</v>
      </c>
      <c r="DI20">
        <f t="shared" si="127"/>
        <v>6.9199999999999998E-2</v>
      </c>
      <c r="DJ20">
        <v>44.3</v>
      </c>
      <c r="DK20">
        <f t="shared" si="86"/>
        <v>3.0655599999999996</v>
      </c>
      <c r="DL20">
        <v>72.335002492541093</v>
      </c>
      <c r="DM20">
        <v>7.1637159556547196E-3</v>
      </c>
      <c r="DN20">
        <v>4.7891015874360001E-4</v>
      </c>
      <c r="DO20" s="22">
        <f t="shared" si="121"/>
        <v>0.15337530898329385</v>
      </c>
      <c r="DP20" s="22">
        <f t="shared" si="87"/>
        <v>11.094403357600822</v>
      </c>
      <c r="DQ20" s="22">
        <f t="shared" si="88"/>
        <v>1.0987371481670947E-3</v>
      </c>
      <c r="DR20" s="22">
        <f t="shared" si="89"/>
        <v>7.3452993572537952E-5</v>
      </c>
      <c r="DS20" s="437">
        <f t="shared" si="21"/>
        <v>11.144633041046223</v>
      </c>
      <c r="DT20">
        <v>2.72</v>
      </c>
      <c r="DU20">
        <f t="shared" si="112"/>
        <v>10886.907199586618</v>
      </c>
      <c r="DV20" s="237">
        <f t="shared" si="90"/>
        <v>10.886907199586618</v>
      </c>
      <c r="DW20">
        <v>207</v>
      </c>
      <c r="DX20" s="237">
        <f t="shared" si="91"/>
        <v>10.356570727547929</v>
      </c>
      <c r="DY20" s="237"/>
      <c r="DZ20" s="237"/>
      <c r="EE20" s="237"/>
      <c r="EF20" s="237"/>
      <c r="EG20" s="237"/>
      <c r="EH20" s="237"/>
      <c r="EI20" s="237"/>
      <c r="EJ20" s="565" t="s">
        <v>722</v>
      </c>
      <c r="EK20" s="567">
        <v>5900</v>
      </c>
      <c r="EL20" s="567">
        <v>3600</v>
      </c>
      <c r="EM20" s="566">
        <v>0.61</v>
      </c>
      <c r="EN20" s="565">
        <v>46.92</v>
      </c>
      <c r="EO20" s="572">
        <v>17126</v>
      </c>
      <c r="EP20" s="237"/>
      <c r="EQ20" s="95">
        <f t="shared" si="137"/>
        <v>0.90546347452424802</v>
      </c>
      <c r="ER20" s="95">
        <f t="shared" si="137"/>
        <v>0.9521290663845543</v>
      </c>
      <c r="ES20">
        <f t="shared" si="128"/>
        <v>101.04340000000001</v>
      </c>
      <c r="EU20" s="95">
        <f t="shared" si="6"/>
        <v>2.033277448498395E-2</v>
      </c>
      <c r="EV20" s="95">
        <f t="shared" si="144"/>
        <v>0.10638120415015419</v>
      </c>
      <c r="EW20" s="237"/>
      <c r="EY20" t="s">
        <v>675</v>
      </c>
      <c r="EZ20" s="101">
        <f>EV10</f>
        <v>1.6055377782467121E-3</v>
      </c>
      <c r="FA20" s="22">
        <f t="shared" si="172"/>
        <v>0.35968182098043133</v>
      </c>
      <c r="FB20">
        <v>8</v>
      </c>
      <c r="FC20">
        <f t="shared" si="23"/>
        <v>0.08</v>
      </c>
      <c r="FD20">
        <v>0.86499999999999999</v>
      </c>
      <c r="FE20">
        <f t="shared" si="24"/>
        <v>6.9199999999999998E-2</v>
      </c>
      <c r="FF20">
        <v>44.3</v>
      </c>
      <c r="FG20">
        <f t="shared" si="25"/>
        <v>3.0655599999999996</v>
      </c>
      <c r="FH20">
        <v>72.335002492541093</v>
      </c>
      <c r="FI20">
        <v>7.1637159556547196E-3</v>
      </c>
      <c r="FJ20">
        <v>4.7891015874360001E-4</v>
      </c>
      <c r="FK20" s="22">
        <f t="shared" si="26"/>
        <v>1.1026262031247709</v>
      </c>
      <c r="FL20" s="22">
        <f t="shared" si="27"/>
        <v>79.758469151371429</v>
      </c>
      <c r="FM20" s="22">
        <f t="shared" si="28"/>
        <v>7.8989009244479023E-3</v>
      </c>
      <c r="FN20" s="22">
        <f t="shared" si="29"/>
        <v>5.2805888997333697E-4</v>
      </c>
      <c r="FO20" s="437">
        <f t="shared" si="30"/>
        <v>80.119573983098903</v>
      </c>
      <c r="FP20">
        <v>2.72</v>
      </c>
      <c r="FQ20">
        <f t="shared" si="31"/>
        <v>78266.764245341867</v>
      </c>
      <c r="FR20" s="237">
        <f t="shared" si="32"/>
        <v>78.266764245341861</v>
      </c>
      <c r="FS20">
        <v>271.3</v>
      </c>
      <c r="FT20" s="237">
        <f t="shared" si="33"/>
        <v>97.581678031991046</v>
      </c>
      <c r="FV20" s="237"/>
      <c r="FW20"/>
      <c r="FX20"/>
      <c r="FY20"/>
      <c r="FZ20"/>
      <c r="GA20"/>
      <c r="GB20"/>
      <c r="GC20"/>
      <c r="GD20" s="237"/>
      <c r="GF20" s="565" t="s">
        <v>722</v>
      </c>
      <c r="GG20" s="567">
        <v>5739</v>
      </c>
      <c r="GH20" s="567">
        <v>3379</v>
      </c>
      <c r="GI20" s="566">
        <v>0.59</v>
      </c>
      <c r="GJ20" s="565">
        <v>46.2</v>
      </c>
      <c r="GK20" s="572">
        <v>16861</v>
      </c>
      <c r="GM20" s="95">
        <f t="shared" si="138"/>
        <v>0.90179132620993085</v>
      </c>
      <c r="GN20" s="95">
        <f t="shared" si="138"/>
        <v>0.95183098591549298</v>
      </c>
      <c r="GP20" s="22">
        <f t="shared" si="129"/>
        <v>96.765279000000007</v>
      </c>
      <c r="GQ20" s="95">
        <f t="shared" si="8"/>
        <v>1.9694186292439814E-2</v>
      </c>
      <c r="GR20" s="95">
        <f t="shared" si="145"/>
        <v>0.10377531624464537</v>
      </c>
      <c r="GU20" t="s">
        <v>717</v>
      </c>
      <c r="GV20" s="101">
        <f>GR17</f>
        <v>3.3949218496262319E-2</v>
      </c>
      <c r="GW20" s="22">
        <f t="shared" si="173"/>
        <v>7.2439881917709306</v>
      </c>
      <c r="GX20">
        <v>10.5</v>
      </c>
      <c r="GY20">
        <f t="shared" si="92"/>
        <v>0.105</v>
      </c>
      <c r="GZ20">
        <v>0.75</v>
      </c>
      <c r="HA20">
        <f t="shared" si="93"/>
        <v>7.8750000000000001E-2</v>
      </c>
      <c r="HB20">
        <v>43</v>
      </c>
      <c r="HC20">
        <f t="shared" si="94"/>
        <v>3.38625</v>
      </c>
      <c r="HD20">
        <v>74.054734089485606</v>
      </c>
      <c r="HE20">
        <v>1.1457692289250001E-4</v>
      </c>
      <c r="HF20">
        <v>2.5659043229536902E-3</v>
      </c>
      <c r="HG20" s="22">
        <f t="shared" si="95"/>
        <v>24.529955014384313</v>
      </c>
      <c r="HH20" s="22">
        <f t="shared" si="36"/>
        <v>1816.5592958172745</v>
      </c>
      <c r="HI20" s="22">
        <f t="shared" si="37"/>
        <v>2.8105667642396052E-3</v>
      </c>
      <c r="HJ20" s="22">
        <f t="shared" si="38"/>
        <v>6.2941517613268258E-2</v>
      </c>
      <c r="HK20" s="437">
        <f t="shared" si="39"/>
        <v>1833.3174938541893</v>
      </c>
      <c r="HL20">
        <v>2.34</v>
      </c>
      <c r="HM20">
        <f t="shared" si="96"/>
        <v>1779847.8987181175</v>
      </c>
      <c r="HN20" s="237">
        <f t="shared" si="97"/>
        <v>1779.8478987181174</v>
      </c>
      <c r="HO20">
        <v>239.5</v>
      </c>
      <c r="HP20" s="237">
        <f t="shared" si="98"/>
        <v>1734.9351719291378</v>
      </c>
      <c r="HQ20" s="237"/>
      <c r="HV20" s="237"/>
      <c r="HX20" s="505" t="s">
        <v>722</v>
      </c>
      <c r="HY20" s="507">
        <v>5599</v>
      </c>
      <c r="HZ20" s="507">
        <v>3053</v>
      </c>
      <c r="IA20" s="506">
        <v>0.55000000000000004</v>
      </c>
      <c r="IB20" s="505">
        <v>39.04</v>
      </c>
      <c r="IC20" s="507">
        <v>14251</v>
      </c>
      <c r="IE20" s="95">
        <f t="shared" si="139"/>
        <v>0.89987142397942788</v>
      </c>
      <c r="IF20" s="95">
        <f t="shared" si="139"/>
        <v>0.96006289308176096</v>
      </c>
      <c r="IH20" s="22">
        <f t="shared" si="130"/>
        <v>79.791348999999997</v>
      </c>
      <c r="II20" s="95">
        <f t="shared" si="40"/>
        <v>1.9146977548698985E-2</v>
      </c>
      <c r="IJ20" s="95">
        <f t="shared" si="146"/>
        <v>0.11062585660974619</v>
      </c>
      <c r="IM20" t="s">
        <v>717</v>
      </c>
      <c r="IN20" s="101">
        <f>IJ17</f>
        <v>2.8440943011266626E-2</v>
      </c>
      <c r="IO20" s="22">
        <f t="shared" si="174"/>
        <v>6.0216631115141359</v>
      </c>
      <c r="IP20">
        <v>10.5</v>
      </c>
      <c r="IQ20">
        <f t="shared" si="99"/>
        <v>0.105</v>
      </c>
      <c r="IR20">
        <v>0.75</v>
      </c>
      <c r="IS20">
        <f t="shared" si="100"/>
        <v>7.8750000000000001E-2</v>
      </c>
      <c r="IT20">
        <v>43</v>
      </c>
      <c r="IU20">
        <f t="shared" si="101"/>
        <v>3.38625</v>
      </c>
      <c r="IV20">
        <v>74.054734089485606</v>
      </c>
      <c r="IW20">
        <v>1.1457692289250001E-4</v>
      </c>
      <c r="IX20">
        <v>2.5659043229536902E-3</v>
      </c>
      <c r="IY20" s="22">
        <f t="shared" si="43"/>
        <v>20.390856711364744</v>
      </c>
      <c r="IZ20" s="22">
        <f t="shared" si="44"/>
        <v>1510.0394716169192</v>
      </c>
      <c r="JA20" s="22">
        <f t="shared" si="45"/>
        <v>2.3363216171300547E-3</v>
      </c>
      <c r="JB20" s="22">
        <f t="shared" si="46"/>
        <v>5.2320987384420065E-2</v>
      </c>
      <c r="JC20" s="437">
        <f t="shared" si="47"/>
        <v>1523.9699502790702</v>
      </c>
      <c r="JD20">
        <v>2.34</v>
      </c>
      <c r="JE20">
        <f t="shared" si="48"/>
        <v>1479522.6264990231</v>
      </c>
      <c r="JF20" s="237">
        <f t="shared" si="102"/>
        <v>1479.5226264990231</v>
      </c>
      <c r="JG20">
        <v>239.5</v>
      </c>
      <c r="JH20" s="237">
        <f t="shared" si="49"/>
        <v>1442.1883152076355</v>
      </c>
      <c r="JP20" s="419" t="s">
        <v>722</v>
      </c>
      <c r="JQ20" s="413">
        <v>5446</v>
      </c>
      <c r="JR20" s="413">
        <v>2797</v>
      </c>
      <c r="JS20" s="412">
        <v>0.51</v>
      </c>
      <c r="JT20" s="411">
        <v>39.17</v>
      </c>
      <c r="JU20" s="420">
        <v>14297</v>
      </c>
      <c r="JW20" s="95">
        <f t="shared" si="140"/>
        <v>0.89675613370657004</v>
      </c>
      <c r="JX20" s="95">
        <f t="shared" si="140"/>
        <v>0.95853324194653877</v>
      </c>
      <c r="JZ20" s="22">
        <f>JU20*JQ20/1000000</f>
        <v>77.861462000000003</v>
      </c>
      <c r="KA20" s="95">
        <f t="shared" si="11"/>
        <v>1.8683875927738472E-2</v>
      </c>
      <c r="KD20" t="s">
        <v>717</v>
      </c>
      <c r="KE20" s="101">
        <f>KA17</f>
        <v>6.6202539587496955E-3</v>
      </c>
      <c r="KF20" s="22">
        <f t="shared" si="50"/>
        <v>7.036624674594945</v>
      </c>
      <c r="KG20">
        <v>10.5</v>
      </c>
      <c r="KH20">
        <f t="shared" si="154"/>
        <v>0.105</v>
      </c>
      <c r="KI20">
        <v>0.75</v>
      </c>
      <c r="KJ20">
        <f t="shared" si="155"/>
        <v>7.8750000000000001E-2</v>
      </c>
      <c r="KK20">
        <v>43</v>
      </c>
      <c r="KL20">
        <f t="shared" si="156"/>
        <v>3.38625</v>
      </c>
      <c r="KM20">
        <v>73.367636682232202</v>
      </c>
      <c r="KN20">
        <f>0.06636778941357/1000</f>
        <v>6.6367789413569991E-5</v>
      </c>
      <c r="KO20">
        <f>2.52657658902305/1000</f>
        <v>2.5265765890230499E-3</v>
      </c>
      <c r="KP20" s="22">
        <f t="shared" si="54"/>
        <v>23.827770304347133</v>
      </c>
      <c r="KQ20" s="22">
        <f t="shared" si="55"/>
        <v>1748.187194637022</v>
      </c>
      <c r="KR20" s="22">
        <f t="shared" si="56"/>
        <v>1.581396441753827E-3</v>
      </c>
      <c r="KS20" s="22">
        <f t="shared" si="57"/>
        <v>6.0202686619582099E-2</v>
      </c>
      <c r="KT20" s="437">
        <f t="shared" si="58"/>
        <v>1764.1851856915803</v>
      </c>
      <c r="KU20">
        <v>2.34</v>
      </c>
      <c r="KV20">
        <f t="shared" si="59"/>
        <v>1728898.6825479777</v>
      </c>
      <c r="KW20" s="237">
        <f t="shared" si="157"/>
        <v>1728.8986825479776</v>
      </c>
      <c r="KX20">
        <v>239.5</v>
      </c>
      <c r="KY20" s="237">
        <f t="shared" si="61"/>
        <v>1685.2716095654894</v>
      </c>
      <c r="LF20" s="97" t="s">
        <v>722</v>
      </c>
      <c r="LG20" s="104">
        <v>5250</v>
      </c>
      <c r="LH20" s="104">
        <v>2769</v>
      </c>
      <c r="LI20" s="99">
        <v>0.53</v>
      </c>
      <c r="LJ20" s="98">
        <v>40.729999999999997</v>
      </c>
      <c r="LK20" s="100">
        <v>14865</v>
      </c>
      <c r="LM20" s="95">
        <f>LG20/LG27</f>
        <v>0.89179548156956001</v>
      </c>
      <c r="LN20" s="95">
        <f>LH20/LH27</f>
        <v>0.94601981551076186</v>
      </c>
      <c r="LP20" s="22">
        <f t="shared" si="12"/>
        <v>78.041250000000005</v>
      </c>
      <c r="LQ20" s="95">
        <f t="shared" si="13"/>
        <v>1.8372467397700678E-2</v>
      </c>
      <c r="LT20" t="s">
        <v>717</v>
      </c>
      <c r="LU20" s="101">
        <f>LQ17</f>
        <v>8.3307762096524827E-3</v>
      </c>
      <c r="LV20" s="22">
        <f t="shared" si="62"/>
        <v>9.9634912142984327</v>
      </c>
      <c r="LW20">
        <v>10.5</v>
      </c>
      <c r="LX20">
        <f t="shared" si="158"/>
        <v>0.105</v>
      </c>
      <c r="LY20">
        <v>0.75</v>
      </c>
      <c r="LZ20">
        <f t="shared" si="159"/>
        <v>7.8750000000000001E-2</v>
      </c>
      <c r="MA20">
        <v>43</v>
      </c>
      <c r="MB20">
        <f t="shared" si="160"/>
        <v>3.38625</v>
      </c>
      <c r="MC20">
        <v>72.416541095972974</v>
      </c>
      <c r="MD20">
        <f>7.87852632644844/1000</f>
        <v>7.8785263264484397E-3</v>
      </c>
      <c r="ME20">
        <f>0.93521034397128/1000</f>
        <v>9.3521034397127997E-4</v>
      </c>
      <c r="MF20" s="22">
        <f t="shared" si="63"/>
        <v>33.738872124418066</v>
      </c>
      <c r="MG20" s="22">
        <f t="shared" si="64"/>
        <v>2443.252419729698</v>
      </c>
      <c r="MH20" s="22">
        <f t="shared" si="65"/>
        <v>0.26581259225690512</v>
      </c>
      <c r="MI20" s="22">
        <f t="shared" si="66"/>
        <v>3.1552942204680051E-2</v>
      </c>
      <c r="MJ20" s="437">
        <f t="shared" si="67"/>
        <v>2459.0567019971318</v>
      </c>
      <c r="MK20">
        <v>2.34</v>
      </c>
      <c r="ML20">
        <f t="shared" si="68"/>
        <v>2448029.7913531247</v>
      </c>
      <c r="MM20" s="237">
        <f t="shared" si="161"/>
        <v>2448.0297913531244</v>
      </c>
      <c r="MN20">
        <v>239.5</v>
      </c>
      <c r="MO20" s="237">
        <f t="shared" si="69"/>
        <v>2386.2561458244745</v>
      </c>
      <c r="MV20" s="419" t="s">
        <v>722</v>
      </c>
      <c r="MW20" s="413">
        <v>5103</v>
      </c>
      <c r="MX20" s="413">
        <v>2638</v>
      </c>
      <c r="MY20" s="412">
        <v>0.52</v>
      </c>
      <c r="MZ20" s="411">
        <v>42.36</v>
      </c>
      <c r="NA20" s="420">
        <v>15461</v>
      </c>
      <c r="NC20" s="95">
        <f t="shared" si="142"/>
        <v>0.88778705636743216</v>
      </c>
      <c r="ND20" s="95">
        <f t="shared" si="142"/>
        <v>0.95063063063063058</v>
      </c>
      <c r="NF20" s="22">
        <f t="shared" si="15"/>
        <v>78.897482999999994</v>
      </c>
      <c r="NG20" s="95">
        <f t="shared" si="16"/>
        <v>1.8574041730215027E-2</v>
      </c>
      <c r="NJ20" t="s">
        <v>717</v>
      </c>
      <c r="NK20" s="101">
        <f>NG17</f>
        <v>8.9130672169853535E-3</v>
      </c>
      <c r="NL20" s="22">
        <f t="shared" si="70"/>
        <v>10.543011385905922</v>
      </c>
      <c r="NM20">
        <v>10.5</v>
      </c>
      <c r="NN20">
        <f t="shared" si="162"/>
        <v>0.105</v>
      </c>
      <c r="NO20">
        <v>0.75</v>
      </c>
      <c r="NP20">
        <f t="shared" si="163"/>
        <v>7.8750000000000001E-2</v>
      </c>
      <c r="NQ20">
        <v>43</v>
      </c>
      <c r="NR20">
        <f t="shared" si="164"/>
        <v>3.38625</v>
      </c>
      <c r="NS20">
        <v>72.416541095972974</v>
      </c>
      <c r="NT20">
        <f>7.87852632644844/1000</f>
        <v>7.8785263264484397E-3</v>
      </c>
      <c r="NU20">
        <f>0.93521034397128/1000</f>
        <v>9.3521034397127997E-4</v>
      </c>
      <c r="NV20" s="22">
        <f t="shared" si="71"/>
        <v>35.701272305523929</v>
      </c>
      <c r="NW20" s="22">
        <f t="shared" si="72"/>
        <v>2585.3626530914953</v>
      </c>
      <c r="NX20" s="22">
        <f t="shared" si="73"/>
        <v>0.28127341374677484</v>
      </c>
      <c r="NY20" s="22">
        <f t="shared" si="74"/>
        <v>3.3388199153061363E-2</v>
      </c>
      <c r="NZ20" s="437">
        <f t="shared" si="75"/>
        <v>2602.0861814519662</v>
      </c>
      <c r="OA20">
        <v>2.34</v>
      </c>
      <c r="OB20">
        <f t="shared" si="76"/>
        <v>2590417.8975170846</v>
      </c>
      <c r="OC20" s="237">
        <f t="shared" si="165"/>
        <v>2590.4178975170844</v>
      </c>
      <c r="OD20">
        <v>239.5</v>
      </c>
      <c r="OE20" s="237">
        <f t="shared" si="77"/>
        <v>2525.0512269244682</v>
      </c>
    </row>
    <row r="21" spans="1:410" ht="16.5" customHeight="1" thickBot="1" x14ac:dyDescent="0.5">
      <c r="A21" s="981"/>
      <c r="B21" s="159" t="s">
        <v>756</v>
      </c>
      <c r="C21" s="160">
        <v>39646</v>
      </c>
      <c r="D21" s="161">
        <v>41051</v>
      </c>
      <c r="E21" s="162">
        <v>37101</v>
      </c>
      <c r="F21" s="163">
        <v>117798</v>
      </c>
      <c r="G21" s="200">
        <v>1276587.8002521526</v>
      </c>
      <c r="H21" s="142"/>
      <c r="I21" s="166"/>
      <c r="J21" s="166"/>
      <c r="K21" s="166"/>
      <c r="L21" s="166"/>
      <c r="M21" s="286"/>
      <c r="N21" s="166"/>
      <c r="O21" s="166"/>
      <c r="P21" s="166"/>
      <c r="Q21" s="166"/>
      <c r="S21" s="115">
        <v>2015</v>
      </c>
      <c r="T21" s="107">
        <f>$M$153</f>
        <v>4.227000115618762E-2</v>
      </c>
      <c r="U21" s="85">
        <f t="shared" si="175"/>
        <v>4.6743714994440531</v>
      </c>
      <c r="V21" s="438">
        <f t="shared" si="147"/>
        <v>1108.9946382431017</v>
      </c>
      <c r="W21" s="83">
        <f t="shared" si="148"/>
        <v>29.214821871525331</v>
      </c>
      <c r="X21" s="83">
        <f t="shared" si="166"/>
        <v>1505.9186531714088</v>
      </c>
      <c r="Y21" s="438">
        <f t="shared" si="167"/>
        <v>978.84712456141574</v>
      </c>
      <c r="Z21" s="16">
        <f t="shared" si="149"/>
        <v>1080093.6260795605</v>
      </c>
      <c r="AA21">
        <f t="shared" si="168"/>
        <v>5.3680653216154148</v>
      </c>
      <c r="AB21" s="237">
        <f t="shared" si="169"/>
        <v>1124.1116169619909</v>
      </c>
      <c r="AC21" s="16">
        <f t="shared" si="150"/>
        <v>885744.90760890185</v>
      </c>
      <c r="AD21">
        <f t="shared" si="151"/>
        <v>4.507272496159886</v>
      </c>
      <c r="AE21" s="16">
        <f t="shared" si="152"/>
        <v>1419.790836290364</v>
      </c>
      <c r="AF21" s="237">
        <f t="shared" si="153"/>
        <v>922.86404358873665</v>
      </c>
      <c r="AG21" s="237"/>
      <c r="AH21" s="237"/>
      <c r="AI21" s="237"/>
      <c r="AJ21" s="237"/>
      <c r="AK21" s="701" t="s">
        <v>716</v>
      </c>
      <c r="AL21" s="695">
        <v>1</v>
      </c>
      <c r="AO21" s="237"/>
      <c r="AP21" s="747" t="s">
        <v>726</v>
      </c>
      <c r="AQ21" s="739">
        <v>1433</v>
      </c>
      <c r="AR21" s="742">
        <v>1224</v>
      </c>
      <c r="AS21" s="774">
        <f t="shared" si="132"/>
        <v>0.85415212840195398</v>
      </c>
      <c r="AT21" s="740">
        <v>77</v>
      </c>
      <c r="AU21" s="738">
        <v>28087</v>
      </c>
      <c r="AV21" s="237"/>
      <c r="AW21" s="95">
        <f t="shared" si="133"/>
        <v>0.97549353301565689</v>
      </c>
      <c r="AX21" s="95">
        <f t="shared" si="134"/>
        <v>0.98076923076923073</v>
      </c>
      <c r="AY21">
        <f t="shared" si="143"/>
        <v>40.248671000000002</v>
      </c>
      <c r="BA21" s="95">
        <f t="shared" si="17"/>
        <v>3.0833518110728056E-2</v>
      </c>
      <c r="BB21" s="95"/>
      <c r="BC21" s="95"/>
      <c r="BE21" t="s">
        <v>717</v>
      </c>
      <c r="BF21" s="101">
        <f>BA17</f>
        <v>2.3390336087098732E-3</v>
      </c>
      <c r="BG21" s="22">
        <f t="shared" si="78"/>
        <v>2.7101019888001767</v>
      </c>
      <c r="BH21">
        <v>10.5</v>
      </c>
      <c r="BI21">
        <f t="shared" si="123"/>
        <v>0.105</v>
      </c>
      <c r="BJ21">
        <v>0.75</v>
      </c>
      <c r="BK21">
        <f t="shared" si="124"/>
        <v>7.8750000000000001E-2</v>
      </c>
      <c r="BL21">
        <v>43</v>
      </c>
      <c r="BM21">
        <f t="shared" si="79"/>
        <v>3.38625</v>
      </c>
      <c r="BN21">
        <v>73.510933419407607</v>
      </c>
      <c r="BO21">
        <v>5.406312413867E-5</v>
      </c>
      <c r="BP21">
        <v>2.5456284629589302E-3</v>
      </c>
      <c r="BQ21" s="22">
        <f t="shared" si="170"/>
        <v>9.1770828595745986</v>
      </c>
      <c r="BR21" s="22">
        <f t="shared" si="120"/>
        <v>674.6159270745751</v>
      </c>
      <c r="BS21" s="22">
        <f t="shared" si="81"/>
        <v>4.9614176986804222E-4</v>
      </c>
      <c r="BT21" s="22">
        <f t="shared" si="82"/>
        <v>2.3361443334265628E-2</v>
      </c>
      <c r="BU21" s="437">
        <f t="shared" si="171"/>
        <v>680.8206015277118</v>
      </c>
      <c r="BV21">
        <v>2.34</v>
      </c>
      <c r="BW21">
        <f t="shared" si="111"/>
        <v>665872.05864820327</v>
      </c>
      <c r="BX21" s="237">
        <f t="shared" si="83"/>
        <v>665.87205864820328</v>
      </c>
      <c r="BY21">
        <v>188</v>
      </c>
      <c r="BZ21" s="237">
        <f t="shared" si="84"/>
        <v>509.49917389443323</v>
      </c>
      <c r="CA21" s="237"/>
      <c r="CB21" s="237"/>
      <c r="CC21" t="s">
        <v>285</v>
      </c>
      <c r="CD21" s="22">
        <f>CD13</f>
        <v>181278.91526017827</v>
      </c>
      <c r="CE21" s="22">
        <f>CE13</f>
        <v>193297.02022482888</v>
      </c>
      <c r="CF21" s="22">
        <f>CF13</f>
        <v>160661.69812822927</v>
      </c>
      <c r="CG21" s="237"/>
      <c r="CH21" s="237"/>
      <c r="CI21" s="697" t="s">
        <v>757</v>
      </c>
      <c r="CJ21" s="695"/>
      <c r="CM21" s="237"/>
      <c r="CN21" s="747" t="s">
        <v>726</v>
      </c>
      <c r="CO21" s="739">
        <v>1433</v>
      </c>
      <c r="CP21" s="742">
        <v>1224</v>
      </c>
      <c r="CQ21" s="774">
        <f t="shared" si="135"/>
        <v>0.85415212840195398</v>
      </c>
      <c r="CR21" s="740">
        <v>77</v>
      </c>
      <c r="CS21" s="738">
        <v>28087</v>
      </c>
      <c r="CT21" s="237"/>
      <c r="CU21" s="95">
        <f t="shared" si="136"/>
        <v>0.97549353301565689</v>
      </c>
      <c r="CV21" s="95">
        <f t="shared" si="136"/>
        <v>0.98076923076923073</v>
      </c>
      <c r="CW21">
        <f t="shared" si="125"/>
        <v>40.248671000000002</v>
      </c>
      <c r="CY21" s="95">
        <f t="shared" si="18"/>
        <v>3.0833518110728056E-2</v>
      </c>
      <c r="CZ21" s="95"/>
      <c r="DA21" s="95"/>
      <c r="DC21" t="s">
        <v>717</v>
      </c>
      <c r="DD21" s="101">
        <f>CY17</f>
        <v>2.3390336087098732E-3</v>
      </c>
      <c r="DE21" s="22">
        <f t="shared" si="85"/>
        <v>2.7101019888001767</v>
      </c>
      <c r="DF21">
        <v>10.5</v>
      </c>
      <c r="DG21">
        <f t="shared" si="126"/>
        <v>0.105</v>
      </c>
      <c r="DH21">
        <v>0.75</v>
      </c>
      <c r="DI21">
        <f t="shared" si="127"/>
        <v>7.8750000000000001E-2</v>
      </c>
      <c r="DJ21">
        <v>43</v>
      </c>
      <c r="DK21">
        <f t="shared" si="86"/>
        <v>3.38625</v>
      </c>
      <c r="DL21">
        <v>73.510933419407607</v>
      </c>
      <c r="DM21">
        <v>5.406312413867E-5</v>
      </c>
      <c r="DN21">
        <v>2.5456284629589302E-3</v>
      </c>
      <c r="DO21" s="22">
        <f t="shared" si="121"/>
        <v>9.1770828595745986</v>
      </c>
      <c r="DP21" s="22">
        <f t="shared" si="87"/>
        <v>674.6159270745751</v>
      </c>
      <c r="DQ21" s="22">
        <f t="shared" si="88"/>
        <v>4.9614176986804222E-4</v>
      </c>
      <c r="DR21" s="22">
        <f t="shared" si="89"/>
        <v>2.3361443334265628E-2</v>
      </c>
      <c r="DS21" s="437">
        <f t="shared" si="21"/>
        <v>680.8206015277118</v>
      </c>
      <c r="DT21">
        <v>2.34</v>
      </c>
      <c r="DU21">
        <f t="shared" si="112"/>
        <v>665872.05864820327</v>
      </c>
      <c r="DV21" s="237">
        <f t="shared" si="90"/>
        <v>665.87205864820328</v>
      </c>
      <c r="DW21">
        <v>188</v>
      </c>
      <c r="DX21" s="237">
        <f t="shared" si="91"/>
        <v>509.49917389443323</v>
      </c>
      <c r="DY21" s="237"/>
      <c r="DZ21" s="237"/>
      <c r="EA21" t="s">
        <v>285</v>
      </c>
      <c r="EB21" s="22">
        <f>EB13</f>
        <v>181278.91526017827</v>
      </c>
      <c r="EC21" s="22">
        <f>EC13</f>
        <v>193297.02022482888</v>
      </c>
      <c r="ED21" s="22">
        <f>ED13</f>
        <v>160661.69812822927</v>
      </c>
      <c r="EE21" s="237"/>
      <c r="EF21" s="237"/>
      <c r="EG21" s="237"/>
      <c r="EH21" s="237"/>
      <c r="EI21" s="237"/>
      <c r="EJ21" s="564" t="s">
        <v>726</v>
      </c>
      <c r="EK21" s="562">
        <v>7794</v>
      </c>
      <c r="EL21" s="562">
        <v>4268</v>
      </c>
      <c r="EM21" s="563">
        <v>0.55000000000000004</v>
      </c>
      <c r="EN21" s="564">
        <v>79.06</v>
      </c>
      <c r="EO21" s="571">
        <v>28857</v>
      </c>
      <c r="EP21" s="237"/>
      <c r="EQ21" s="95">
        <f t="shared" si="137"/>
        <v>0.99820696721311475</v>
      </c>
      <c r="ER21" s="95">
        <f t="shared" si="137"/>
        <v>0.99440820130475305</v>
      </c>
      <c r="ES21">
        <f t="shared" si="128"/>
        <v>224.91145800000001</v>
      </c>
      <c r="EU21" s="95">
        <f t="shared" si="6"/>
        <v>4.5258512229427547E-2</v>
      </c>
      <c r="EV21" s="95">
        <f t="shared" si="144"/>
        <v>0.23679282099777749</v>
      </c>
      <c r="EW21" s="237"/>
      <c r="EX21" t="s">
        <v>733</v>
      </c>
      <c r="EY21" t="s">
        <v>717</v>
      </c>
      <c r="EZ21" s="101">
        <f>EV17</f>
        <v>2.6593530182783258E-2</v>
      </c>
      <c r="FA21" s="22">
        <f t="shared" si="172"/>
        <v>5.9576358102809612</v>
      </c>
      <c r="FB21">
        <v>10.5</v>
      </c>
      <c r="FC21">
        <f t="shared" si="23"/>
        <v>0.105</v>
      </c>
      <c r="FD21">
        <v>0.75</v>
      </c>
      <c r="FE21">
        <f t="shared" si="24"/>
        <v>7.8750000000000001E-2</v>
      </c>
      <c r="FF21">
        <v>43</v>
      </c>
      <c r="FG21">
        <f t="shared" si="25"/>
        <v>3.38625</v>
      </c>
      <c r="FH21">
        <v>73.510933419407607</v>
      </c>
      <c r="FI21">
        <v>5.406312413867E-5</v>
      </c>
      <c r="FJ21">
        <v>2.5456284629589302E-3</v>
      </c>
      <c r="FK21" s="22">
        <f t="shared" si="26"/>
        <v>20.174044262563903</v>
      </c>
      <c r="FL21" s="22">
        <f t="shared" si="27"/>
        <v>1483.0128245855171</v>
      </c>
      <c r="FM21" s="22">
        <f t="shared" si="28"/>
        <v>1.0906718593460157E-3</v>
      </c>
      <c r="FN21" s="22">
        <f t="shared" si="29"/>
        <v>5.1355621287775974E-2</v>
      </c>
      <c r="FO21" s="437">
        <f t="shared" si="30"/>
        <v>1496.6526030388395</v>
      </c>
      <c r="FP21">
        <v>2.34</v>
      </c>
      <c r="FQ21">
        <f t="shared" si="31"/>
        <v>1463791.118586032</v>
      </c>
      <c r="FR21" s="237">
        <f t="shared" si="32"/>
        <v>1463.7911185860319</v>
      </c>
      <c r="FS21">
        <v>239.5</v>
      </c>
      <c r="FT21" s="237">
        <f t="shared" si="33"/>
        <v>1426.8537765622902</v>
      </c>
      <c r="FV21" s="237"/>
      <c r="FW21" t="s">
        <v>285</v>
      </c>
      <c r="FX21" s="22">
        <f>FX13</f>
        <v>197187.69210604034</v>
      </c>
      <c r="FY21" s="22">
        <f>FY13</f>
        <v>203079.32750850896</v>
      </c>
      <c r="FZ21" s="22">
        <f>FZ13</f>
        <v>171499.41347298204</v>
      </c>
      <c r="GA21" s="22"/>
      <c r="GB21"/>
      <c r="GC21"/>
      <c r="GD21" s="237"/>
      <c r="GF21" s="564" t="s">
        <v>726</v>
      </c>
      <c r="GG21" s="562">
        <v>7470</v>
      </c>
      <c r="GH21" s="562">
        <v>3978</v>
      </c>
      <c r="GI21" s="563">
        <v>0.53</v>
      </c>
      <c r="GJ21" s="564">
        <v>93.22</v>
      </c>
      <c r="GK21" s="571">
        <v>34024</v>
      </c>
      <c r="GM21" s="95">
        <f t="shared" si="138"/>
        <v>0.99507126681763691</v>
      </c>
      <c r="GN21" s="95">
        <f t="shared" si="138"/>
        <v>0.99649298597194391</v>
      </c>
      <c r="GP21" s="22">
        <f t="shared" si="129"/>
        <v>254.15928</v>
      </c>
      <c r="GQ21" s="95">
        <f t="shared" si="8"/>
        <v>5.17278538335261E-2</v>
      </c>
      <c r="GR21" s="95">
        <f t="shared" si="145"/>
        <v>0.27257152494244724</v>
      </c>
      <c r="GT21" t="s">
        <v>733</v>
      </c>
      <c r="GU21" t="s">
        <v>675</v>
      </c>
      <c r="GV21" s="101">
        <f>GR12</f>
        <v>6.9057616748484041E-2</v>
      </c>
      <c r="GW21" s="22">
        <f t="shared" si="173"/>
        <v>14.735318880254541</v>
      </c>
      <c r="GX21">
        <v>12</v>
      </c>
      <c r="GY21">
        <f t="shared" si="92"/>
        <v>0.12</v>
      </c>
      <c r="GZ21">
        <v>0.75</v>
      </c>
      <c r="HA21">
        <f t="shared" si="93"/>
        <v>0.09</v>
      </c>
      <c r="HB21">
        <v>44.3</v>
      </c>
      <c r="HC21">
        <f t="shared" si="94"/>
        <v>3.9869999999999997</v>
      </c>
      <c r="HD21">
        <v>70.9769741921898</v>
      </c>
      <c r="HE21">
        <v>7.3169105356480999E-3</v>
      </c>
      <c r="HF21">
        <v>6.0998104818480998E-4</v>
      </c>
      <c r="HG21" s="22">
        <f t="shared" si="95"/>
        <v>58.749716375574849</v>
      </c>
      <c r="HH21" s="22">
        <f t="shared" si="36"/>
        <v>4169.8771029876461</v>
      </c>
      <c r="HI21" s="22">
        <f t="shared" si="37"/>
        <v>0.42986641871478132</v>
      </c>
      <c r="HJ21" s="22">
        <f t="shared" si="38"/>
        <v>3.5836213575333439E-2</v>
      </c>
      <c r="HK21" s="437">
        <f t="shared" si="39"/>
        <v>4191.4099593091232</v>
      </c>
      <c r="HL21">
        <v>2.34</v>
      </c>
      <c r="HM21">
        <f t="shared" si="96"/>
        <v>4137677.5415754751</v>
      </c>
      <c r="HN21" s="237">
        <f t="shared" si="97"/>
        <v>4137.6775415754755</v>
      </c>
      <c r="HO21">
        <v>271.3</v>
      </c>
      <c r="HP21" s="237">
        <f t="shared" si="98"/>
        <v>3997.6920122130578</v>
      </c>
      <c r="HQ21" s="237"/>
      <c r="HR21" t="s">
        <v>285</v>
      </c>
      <c r="HS21" s="22">
        <f>HS13</f>
        <v>197313.82345376271</v>
      </c>
      <c r="HT21" s="22">
        <f>HT13</f>
        <v>202462.6501622115</v>
      </c>
      <c r="HU21" s="22">
        <f>HU13</f>
        <v>171796.84626955754</v>
      </c>
      <c r="HV21" s="237"/>
      <c r="HX21" s="502" t="s">
        <v>726</v>
      </c>
      <c r="HY21" s="503">
        <v>7166</v>
      </c>
      <c r="HZ21" s="503">
        <v>3559</v>
      </c>
      <c r="IA21" s="504">
        <v>0.5</v>
      </c>
      <c r="IB21" s="502">
        <v>67.099999999999994</v>
      </c>
      <c r="IC21" s="503">
        <v>24490</v>
      </c>
      <c r="IE21" s="95">
        <f t="shared" si="139"/>
        <v>0.99527777777777782</v>
      </c>
      <c r="IF21" s="95">
        <f t="shared" si="139"/>
        <v>0.99691876750700281</v>
      </c>
      <c r="IH21" s="22">
        <f>IC21*HY21/1000000</f>
        <v>175.49534</v>
      </c>
      <c r="II21" s="95">
        <f t="shared" si="40"/>
        <v>4.2112401619896093E-2</v>
      </c>
      <c r="IJ21" s="95">
        <f t="shared" si="146"/>
        <v>0.24331362436946211</v>
      </c>
      <c r="IL21" t="s">
        <v>733</v>
      </c>
      <c r="IM21" t="s">
        <v>675</v>
      </c>
      <c r="IN21" s="101">
        <f>IJ12</f>
        <v>8.012637715251511E-2</v>
      </c>
      <c r="IO21" s="22">
        <f t="shared" si="174"/>
        <v>16.964769746468448</v>
      </c>
      <c r="IP21">
        <v>12</v>
      </c>
      <c r="IQ21">
        <f t="shared" si="99"/>
        <v>0.12</v>
      </c>
      <c r="IR21">
        <v>0.75</v>
      </c>
      <c r="IS21">
        <f t="shared" si="100"/>
        <v>0.09</v>
      </c>
      <c r="IT21">
        <v>44.3</v>
      </c>
      <c r="IU21">
        <f t="shared" si="101"/>
        <v>3.9869999999999997</v>
      </c>
      <c r="IV21">
        <v>70.9769741921898</v>
      </c>
      <c r="IW21">
        <v>7.3169105356480999E-3</v>
      </c>
      <c r="IX21">
        <v>6.0998104818480998E-4</v>
      </c>
      <c r="IY21" s="22">
        <f t="shared" si="43"/>
        <v>67.6385369791697</v>
      </c>
      <c r="IZ21" s="22">
        <f t="shared" si="44"/>
        <v>4800.7786935680033</v>
      </c>
      <c r="JA21" s="22">
        <f t="shared" si="45"/>
        <v>0.49490512383871038</v>
      </c>
      <c r="JB21" s="22">
        <f t="shared" si="46"/>
        <v>4.1258225684240965E-2</v>
      </c>
      <c r="JC21" s="437">
        <f t="shared" si="47"/>
        <v>4825.5694668418109</v>
      </c>
      <c r="JD21">
        <v>2.34</v>
      </c>
      <c r="JE21">
        <f t="shared" si="48"/>
        <v>4763707.3448083401</v>
      </c>
      <c r="JF21" s="237">
        <f t="shared" si="102"/>
        <v>4763.7073448083402</v>
      </c>
      <c r="JG21">
        <v>271.3</v>
      </c>
      <c r="JH21" s="237">
        <f t="shared" si="49"/>
        <v>4602.5420322168911</v>
      </c>
      <c r="JJ21" t="s">
        <v>285</v>
      </c>
      <c r="JK21" s="22">
        <f>JK13</f>
        <v>202765.45022866575</v>
      </c>
      <c r="JL21" s="22">
        <f>JL13</f>
        <v>206357.93157075622</v>
      </c>
      <c r="JM21" s="22">
        <f>JM13</f>
        <v>176258.48879848645</v>
      </c>
      <c r="JP21" s="417" t="s">
        <v>726</v>
      </c>
      <c r="JQ21" s="408">
        <v>7007</v>
      </c>
      <c r="JR21" s="408">
        <v>3443</v>
      </c>
      <c r="JS21" s="409">
        <v>0.49</v>
      </c>
      <c r="JT21" s="410">
        <v>64.42</v>
      </c>
      <c r="JU21" s="418">
        <v>23513</v>
      </c>
      <c r="JW21" s="95">
        <f t="shared" si="140"/>
        <v>0.99531250000000004</v>
      </c>
      <c r="JX21" s="95">
        <f t="shared" si="140"/>
        <v>0.99681528662420382</v>
      </c>
      <c r="JZ21" s="22">
        <f t="shared" si="131"/>
        <v>164.75559100000001</v>
      </c>
      <c r="KA21" s="95">
        <f t="shared" si="11"/>
        <v>3.9535258413786592E-2</v>
      </c>
      <c r="KC21" t="s">
        <v>733</v>
      </c>
      <c r="KD21" t="s">
        <v>675</v>
      </c>
      <c r="KE21" s="101">
        <f>KA12</f>
        <v>1.4732857964463981E-2</v>
      </c>
      <c r="KF21" s="22">
        <f t="shared" si="50"/>
        <v>15.659458462773079</v>
      </c>
      <c r="KG21">
        <v>12</v>
      </c>
      <c r="KH21">
        <f t="shared" si="154"/>
        <v>0.12</v>
      </c>
      <c r="KI21">
        <v>0.75</v>
      </c>
      <c r="KJ21">
        <f t="shared" si="155"/>
        <v>0.09</v>
      </c>
      <c r="KK21">
        <v>44.3</v>
      </c>
      <c r="KL21">
        <f t="shared" si="156"/>
        <v>3.9869999999999997</v>
      </c>
      <c r="KM21">
        <v>72.416541095973002</v>
      </c>
      <c r="KN21">
        <f>7.87852632644844/1000</f>
        <v>7.8785263264484397E-3</v>
      </c>
      <c r="KO21">
        <f>0.93521034397128/1000</f>
        <v>9.3521034397127997E-4</v>
      </c>
      <c r="KP21" s="22">
        <f t="shared" si="54"/>
        <v>62.434260891076264</v>
      </c>
      <c r="KQ21" s="22">
        <f t="shared" si="55"/>
        <v>4521.2732196153238</v>
      </c>
      <c r="KR21" s="22">
        <f t="shared" si="56"/>
        <v>0.49188996810269459</v>
      </c>
      <c r="KS21" s="22">
        <f t="shared" si="57"/>
        <v>5.8389166603536068E-2</v>
      </c>
      <c r="KT21" s="437">
        <f t="shared" si="58"/>
        <v>4550.5192678721369</v>
      </c>
      <c r="KU21">
        <v>2.34</v>
      </c>
      <c r="KV21">
        <f t="shared" si="59"/>
        <v>4397175.9363466809</v>
      </c>
      <c r="KW21" s="237">
        <f t="shared" si="157"/>
        <v>4397.1759363466808</v>
      </c>
      <c r="KX21">
        <v>271.3</v>
      </c>
      <c r="KY21" s="237">
        <f t="shared" si="61"/>
        <v>4248.4110809503372</v>
      </c>
      <c r="LA21" t="s">
        <v>285</v>
      </c>
      <c r="LB21" s="22">
        <f>LB13</f>
        <v>193663.40007202598</v>
      </c>
      <c r="LC21" s="22">
        <f>LC13</f>
        <v>194380.12809660408</v>
      </c>
      <c r="LD21" s="22">
        <f>LD13</f>
        <v>167348.59882952017</v>
      </c>
      <c r="LF21" s="90" t="s">
        <v>726</v>
      </c>
      <c r="LG21" s="91">
        <v>6919</v>
      </c>
      <c r="LH21" s="91">
        <v>3391</v>
      </c>
      <c r="LI21" s="92">
        <v>0.49</v>
      </c>
      <c r="LJ21" s="93">
        <v>67.87</v>
      </c>
      <c r="LK21" s="94">
        <v>24772</v>
      </c>
      <c r="LM21" s="95">
        <f>LG21/LG28</f>
        <v>0.99396638414020977</v>
      </c>
      <c r="LN21" s="95">
        <f>LH21/LH28</f>
        <v>0.99793996468510893</v>
      </c>
      <c r="LP21" s="22">
        <f t="shared" si="12"/>
        <v>171.397468</v>
      </c>
      <c r="LQ21" s="95">
        <f t="shared" si="13"/>
        <v>4.0350383840320928E-2</v>
      </c>
      <c r="LS21" t="s">
        <v>733</v>
      </c>
      <c r="LT21" t="s">
        <v>675</v>
      </c>
      <c r="LU21" s="101">
        <f>LQ12</f>
        <v>1.5713350297990199E-2</v>
      </c>
      <c r="LV21" s="22">
        <f t="shared" si="62"/>
        <v>18.792946023423415</v>
      </c>
      <c r="LW21">
        <v>12</v>
      </c>
      <c r="LX21">
        <f t="shared" si="158"/>
        <v>0.12</v>
      </c>
      <c r="LY21">
        <v>0.75</v>
      </c>
      <c r="LZ21">
        <f t="shared" si="159"/>
        <v>0.09</v>
      </c>
      <c r="MA21">
        <v>44.3</v>
      </c>
      <c r="MB21">
        <f t="shared" si="160"/>
        <v>3.9869999999999997</v>
      </c>
      <c r="MC21">
        <v>72.513754762763227</v>
      </c>
      <c r="MD21">
        <f>6.43681969225972/1000</f>
        <v>6.4368196922597199E-3</v>
      </c>
      <c r="ME21">
        <f>1.22219082236233/1000</f>
        <v>1.2221908223623299E-3</v>
      </c>
      <c r="MF21" s="22">
        <f t="shared" si="63"/>
        <v>74.927475795389142</v>
      </c>
      <c r="MG21" s="22">
        <f t="shared" si="64"/>
        <v>5433.2726048197255</v>
      </c>
      <c r="MH21" s="22">
        <f t="shared" si="65"/>
        <v>0.48229465169107433</v>
      </c>
      <c r="MI21" s="22">
        <f t="shared" si="66"/>
        <v>9.1575673259900223E-2</v>
      </c>
      <c r="MJ21" s="437">
        <f t="shared" si="67"/>
        <v>5471.0444084809487</v>
      </c>
      <c r="MK21">
        <v>2.34</v>
      </c>
      <c r="ML21">
        <f t="shared" si="68"/>
        <v>5277059.2433772944</v>
      </c>
      <c r="MM21" s="237">
        <f t="shared" si="161"/>
        <v>5277.0592433772945</v>
      </c>
      <c r="MN21">
        <v>271.3</v>
      </c>
      <c r="MO21" s="237">
        <f t="shared" si="69"/>
        <v>5098.5262561547734</v>
      </c>
      <c r="MQ21" t="s">
        <v>285</v>
      </c>
      <c r="MR21" s="22">
        <f>MR13</f>
        <v>219170.78903907636</v>
      </c>
      <c r="MS21" s="22">
        <f>MS13</f>
        <v>214364.27593245055</v>
      </c>
      <c r="MT21" s="22">
        <f>MT13</f>
        <v>183393.16608164748</v>
      </c>
      <c r="MV21" s="417" t="s">
        <v>726</v>
      </c>
      <c r="MW21" s="408">
        <v>6696</v>
      </c>
      <c r="MX21" s="408">
        <v>3224</v>
      </c>
      <c r="MY21" s="409">
        <v>0.48</v>
      </c>
      <c r="MZ21" s="410">
        <v>69.7</v>
      </c>
      <c r="NA21" s="418">
        <v>25441</v>
      </c>
      <c r="NC21" s="95">
        <f t="shared" si="142"/>
        <v>0.99420935412026723</v>
      </c>
      <c r="ND21" s="95">
        <f t="shared" si="142"/>
        <v>0.99721620785648002</v>
      </c>
      <c r="NF21" s="22">
        <f t="shared" si="15"/>
        <v>170.352936</v>
      </c>
      <c r="NG21" s="95">
        <f t="shared" si="16"/>
        <v>4.0104480166099216E-2</v>
      </c>
      <c r="NI21" t="s">
        <v>733</v>
      </c>
      <c r="NJ21" t="s">
        <v>675</v>
      </c>
      <c r="NK21" s="101">
        <f>NG12</f>
        <v>1.5617636549427567E-2</v>
      </c>
      <c r="NL21" s="22">
        <f t="shared" si="70"/>
        <v>18.473654013039841</v>
      </c>
      <c r="NM21">
        <v>12</v>
      </c>
      <c r="NN21">
        <f t="shared" si="162"/>
        <v>0.12</v>
      </c>
      <c r="NO21">
        <v>0.75</v>
      </c>
      <c r="NP21">
        <f t="shared" si="163"/>
        <v>0.09</v>
      </c>
      <c r="NQ21">
        <v>44.3</v>
      </c>
      <c r="NR21">
        <f t="shared" si="164"/>
        <v>3.9869999999999997</v>
      </c>
      <c r="NS21">
        <v>72.513754762763227</v>
      </c>
      <c r="NT21">
        <f>6.43681969225972/1000</f>
        <v>6.4368196922597199E-3</v>
      </c>
      <c r="NU21">
        <f>1.22219082236233/1000</f>
        <v>1.2221908223623299E-3</v>
      </c>
      <c r="NV21" s="22">
        <f t="shared" si="71"/>
        <v>73.65445854998984</v>
      </c>
      <c r="NW21" s="22">
        <f t="shared" si="72"/>
        <v>5340.9613444780725</v>
      </c>
      <c r="NX21" s="22">
        <f t="shared" si="73"/>
        <v>0.47410046921730192</v>
      </c>
      <c r="NY21" s="22">
        <f t="shared" si="74"/>
        <v>9.0019803265864229E-2</v>
      </c>
      <c r="NZ21" s="437">
        <f t="shared" si="75"/>
        <v>5378.0914054816103</v>
      </c>
      <c r="OA21">
        <v>2.34</v>
      </c>
      <c r="OB21">
        <f t="shared" si="76"/>
        <v>5187402.0468615871</v>
      </c>
      <c r="OC21" s="237">
        <f t="shared" si="165"/>
        <v>5187.4020468615872</v>
      </c>
      <c r="OD21">
        <v>271.3</v>
      </c>
      <c r="OE21" s="237">
        <f t="shared" si="77"/>
        <v>5011.9023337377093</v>
      </c>
      <c r="OG21" t="s">
        <v>285</v>
      </c>
      <c r="OH21" s="22">
        <f>OH13</f>
        <v>211966.24623204052</v>
      </c>
      <c r="OI21" s="22">
        <f>OI13</f>
        <v>210854.95292156067</v>
      </c>
      <c r="OJ21" s="22">
        <f>OJ13</f>
        <v>180799.50465297955</v>
      </c>
      <c r="OL21" t="s">
        <v>285</v>
      </c>
      <c r="OM21" s="22">
        <f>OM13</f>
        <v>206184.32458563262</v>
      </c>
      <c r="ON21" s="22">
        <f>ON13</f>
        <v>205103.34464325546</v>
      </c>
      <c r="OO21" s="22">
        <f>OO13</f>
        <v>175867.73561807143</v>
      </c>
      <c r="OQ21" t="s">
        <v>285</v>
      </c>
      <c r="OR21" s="22">
        <f>OR13</f>
        <v>190906.58767379029</v>
      </c>
      <c r="OS21" s="22">
        <f>OS13</f>
        <v>189905.70561082181</v>
      </c>
      <c r="OT21" s="22">
        <f>OT13</f>
        <v>162836.38126339822</v>
      </c>
    </row>
    <row r="22" spans="1:410" ht="16.5" customHeight="1" thickBot="1" x14ac:dyDescent="0.5">
      <c r="A22" s="982"/>
      <c r="B22" s="167" t="s">
        <v>758</v>
      </c>
      <c r="C22" s="168">
        <v>40180</v>
      </c>
      <c r="D22" s="169">
        <v>42745</v>
      </c>
      <c r="E22" s="170">
        <v>36800</v>
      </c>
      <c r="F22" s="204">
        <v>119725</v>
      </c>
      <c r="G22" s="200">
        <v>1396312.8002521526</v>
      </c>
      <c r="H22" s="142"/>
      <c r="I22" s="166"/>
      <c r="J22" s="166"/>
      <c r="K22" s="166"/>
      <c r="L22" s="166"/>
      <c r="M22" s="286"/>
      <c r="N22" s="166"/>
      <c r="O22" s="166"/>
      <c r="P22" s="166"/>
      <c r="Q22" s="166"/>
      <c r="S22" s="115">
        <v>2016</v>
      </c>
      <c r="T22" s="107">
        <f>$M$166</f>
        <v>7.2047840846281241E-2</v>
      </c>
      <c r="U22" s="85">
        <f t="shared" si="175"/>
        <v>5.0111498732923909</v>
      </c>
      <c r="V22" s="438">
        <f t="shared" si="147"/>
        <v>1188.8953074386197</v>
      </c>
      <c r="W22" s="83">
        <f t="shared" si="148"/>
        <v>31.319686708077441</v>
      </c>
      <c r="X22" s="83">
        <f t="shared" si="166"/>
        <v>1614.4168406225485</v>
      </c>
      <c r="Y22" s="438">
        <f t="shared" si="167"/>
        <v>1049.3709464046565</v>
      </c>
      <c r="Z22" s="16">
        <f t="shared" si="149"/>
        <v>1157912.0397504235</v>
      </c>
      <c r="AA22">
        <f t="shared" si="168"/>
        <v>5.7548228375596047</v>
      </c>
      <c r="AB22" s="237">
        <f t="shared" si="169"/>
        <v>1205.1014318343246</v>
      </c>
      <c r="AC22" s="16">
        <f t="shared" si="150"/>
        <v>949560.9157427121</v>
      </c>
      <c r="AD22">
        <f t="shared" si="151"/>
        <v>4.8320117476140343</v>
      </c>
      <c r="AE22" s="16">
        <f t="shared" si="152"/>
        <v>1522.0837004984207</v>
      </c>
      <c r="AF22" s="237">
        <f t="shared" si="153"/>
        <v>989.35440532397354</v>
      </c>
      <c r="AG22" s="237"/>
      <c r="AH22" s="237"/>
      <c r="AI22" s="237"/>
      <c r="AJ22" s="237"/>
      <c r="AK22" s="697" t="s">
        <v>757</v>
      </c>
      <c r="AL22" s="695"/>
      <c r="AO22" s="237"/>
      <c r="AP22" s="968" t="s">
        <v>759</v>
      </c>
      <c r="AQ22" s="969"/>
      <c r="AR22" s="969"/>
      <c r="AS22" s="969"/>
      <c r="AT22" s="969"/>
      <c r="AU22" s="970"/>
      <c r="AV22" s="26">
        <f>SUM(AQ16:AQ21)</f>
        <v>33035</v>
      </c>
      <c r="AW22" s="237"/>
      <c r="AX22" s="237"/>
      <c r="AY22">
        <f t="shared" si="143"/>
        <v>0</v>
      </c>
      <c r="BA22" s="95">
        <f t="shared" si="17"/>
        <v>0</v>
      </c>
      <c r="BB22" s="95"/>
      <c r="BC22" s="95"/>
      <c r="BD22" s="16" t="s">
        <v>733</v>
      </c>
      <c r="BE22" t="s">
        <v>675</v>
      </c>
      <c r="BF22" s="101">
        <f>BA12</f>
        <v>7.2526353148150225E-3</v>
      </c>
      <c r="BG22" s="22">
        <f t="shared" si="78"/>
        <v>8.4032060580624961</v>
      </c>
      <c r="BH22">
        <v>12</v>
      </c>
      <c r="BI22">
        <f t="shared" si="123"/>
        <v>0.12</v>
      </c>
      <c r="BJ22">
        <v>0.75</v>
      </c>
      <c r="BK22">
        <f t="shared" si="124"/>
        <v>0.09</v>
      </c>
      <c r="BL22">
        <v>44.3</v>
      </c>
      <c r="BM22">
        <f t="shared" si="79"/>
        <v>3.9869999999999997</v>
      </c>
      <c r="BN22">
        <v>72.335002492541093</v>
      </c>
      <c r="BO22">
        <v>7.1637159556547196E-3</v>
      </c>
      <c r="BP22">
        <v>4.7891015874360001E-4</v>
      </c>
      <c r="BQ22" s="22">
        <f t="shared" si="170"/>
        <v>33.503582553495171</v>
      </c>
      <c r="BR22" s="22">
        <f t="shared" si="120"/>
        <v>2423.4817275161295</v>
      </c>
      <c r="BS22" s="22">
        <f t="shared" si="81"/>
        <v>0.24001014891006844</v>
      </c>
      <c r="BT22" s="22">
        <f t="shared" si="82"/>
        <v>1.6045206039173681E-2</v>
      </c>
      <c r="BU22" s="437">
        <f t="shared" si="171"/>
        <v>2434.4539912859927</v>
      </c>
      <c r="BV22">
        <v>2.34</v>
      </c>
      <c r="BW22">
        <f t="shared" si="111"/>
        <v>2359620.2611039486</v>
      </c>
      <c r="BX22" s="237">
        <f t="shared" si="83"/>
        <v>2359.6202611039485</v>
      </c>
      <c r="BY22">
        <v>250</v>
      </c>
      <c r="BZ22" s="237">
        <f t="shared" si="84"/>
        <v>2100.8015145156237</v>
      </c>
      <c r="CA22" s="237"/>
      <c r="CB22" s="237"/>
      <c r="CC22" s="16" t="s">
        <v>346</v>
      </c>
      <c r="CD22" s="22">
        <f>CD14+CD16</f>
        <v>15708.461417526651</v>
      </c>
      <c r="CE22" s="22">
        <f>CE14+CE16</f>
        <v>15507.998183193873</v>
      </c>
      <c r="CF22" s="22">
        <f>CF14+CF16</f>
        <v>20202.88445035031</v>
      </c>
      <c r="CG22" s="237"/>
      <c r="CH22" s="237"/>
      <c r="CI22" s="701" t="s">
        <v>285</v>
      </c>
      <c r="CJ22" s="695">
        <v>9157</v>
      </c>
      <c r="CM22" s="237"/>
      <c r="CN22" s="968" t="s">
        <v>759</v>
      </c>
      <c r="CO22" s="969"/>
      <c r="CP22" s="969"/>
      <c r="CQ22" s="969"/>
      <c r="CR22" s="969"/>
      <c r="CS22" s="970"/>
      <c r="CT22" s="26">
        <f>SUM(CO16:CO21)</f>
        <v>33035</v>
      </c>
      <c r="CU22" s="237"/>
      <c r="CV22" s="237"/>
      <c r="CW22">
        <f t="shared" si="125"/>
        <v>0</v>
      </c>
      <c r="CY22" s="95">
        <f t="shared" si="18"/>
        <v>0</v>
      </c>
      <c r="CZ22" s="95"/>
      <c r="DA22" s="95"/>
      <c r="DB22" s="16" t="s">
        <v>733</v>
      </c>
      <c r="DC22" t="s">
        <v>675</v>
      </c>
      <c r="DD22" s="101">
        <f>CY12</f>
        <v>7.2526353148150225E-3</v>
      </c>
      <c r="DE22" s="22">
        <f t="shared" si="85"/>
        <v>8.4032060580624961</v>
      </c>
      <c r="DF22">
        <v>12</v>
      </c>
      <c r="DG22">
        <f t="shared" si="126"/>
        <v>0.12</v>
      </c>
      <c r="DH22">
        <v>0.75</v>
      </c>
      <c r="DI22">
        <f t="shared" si="127"/>
        <v>0.09</v>
      </c>
      <c r="DJ22">
        <v>44.3</v>
      </c>
      <c r="DK22">
        <f t="shared" si="86"/>
        <v>3.9869999999999997</v>
      </c>
      <c r="DL22">
        <v>72.335002492541093</v>
      </c>
      <c r="DM22">
        <v>7.1637159556547196E-3</v>
      </c>
      <c r="DN22">
        <v>4.7891015874360001E-4</v>
      </c>
      <c r="DO22" s="22">
        <f t="shared" si="121"/>
        <v>33.503582553495171</v>
      </c>
      <c r="DP22" s="22">
        <f t="shared" si="87"/>
        <v>2423.4817275161295</v>
      </c>
      <c r="DQ22" s="22">
        <f t="shared" si="88"/>
        <v>0.24001014891006844</v>
      </c>
      <c r="DR22" s="22">
        <f t="shared" si="89"/>
        <v>1.6045206039173681E-2</v>
      </c>
      <c r="DS22" s="437">
        <f t="shared" si="21"/>
        <v>2434.4539912859927</v>
      </c>
      <c r="DT22">
        <v>2.34</v>
      </c>
      <c r="DU22">
        <f t="shared" si="112"/>
        <v>2359620.2611039486</v>
      </c>
      <c r="DV22" s="237">
        <f t="shared" si="90"/>
        <v>2359.6202611039485</v>
      </c>
      <c r="DW22">
        <v>250</v>
      </c>
      <c r="DX22" s="237">
        <f t="shared" si="91"/>
        <v>2100.8015145156237</v>
      </c>
      <c r="DY22" s="237"/>
      <c r="DZ22" s="237"/>
      <c r="EA22" s="16" t="s">
        <v>346</v>
      </c>
      <c r="EB22" s="22">
        <f>EB14+EB16</f>
        <v>15708.461417526651</v>
      </c>
      <c r="EC22" s="22">
        <f>EC14+EC16</f>
        <v>15507.998183193873</v>
      </c>
      <c r="ED22" s="22">
        <f>ED14+ED16</f>
        <v>20202.88445035031</v>
      </c>
      <c r="EE22" s="237"/>
      <c r="EF22" s="237"/>
      <c r="EG22" s="237"/>
      <c r="EH22" s="237"/>
      <c r="EI22" s="237"/>
      <c r="EJ22" s="974" t="s">
        <v>759</v>
      </c>
      <c r="EK22" s="975"/>
      <c r="EL22" s="975"/>
      <c r="EM22" s="975"/>
      <c r="EN22" s="975"/>
      <c r="EO22" s="976"/>
      <c r="EP22" s="26">
        <f>SUM(EK16:EK21)</f>
        <v>134897</v>
      </c>
      <c r="EQ22" s="237"/>
      <c r="ER22" s="237"/>
      <c r="ES22">
        <f t="shared" si="128"/>
        <v>0</v>
      </c>
      <c r="EU22" s="95">
        <f t="shared" si="6"/>
        <v>0</v>
      </c>
      <c r="EV22" s="95">
        <f t="shared" si="144"/>
        <v>0</v>
      </c>
      <c r="EW22" s="237"/>
      <c r="EY22" t="s">
        <v>675</v>
      </c>
      <c r="EZ22" s="101">
        <f>EV12</f>
        <v>6.7825760660763582E-2</v>
      </c>
      <c r="FA22" s="22">
        <f t="shared" si="172"/>
        <v>15.194717579605671</v>
      </c>
      <c r="FB22">
        <v>12</v>
      </c>
      <c r="FC22">
        <f t="shared" si="23"/>
        <v>0.12</v>
      </c>
      <c r="FD22">
        <v>0.75</v>
      </c>
      <c r="FE22">
        <f t="shared" si="24"/>
        <v>0.09</v>
      </c>
      <c r="FF22">
        <v>44.3</v>
      </c>
      <c r="FG22">
        <f t="shared" si="25"/>
        <v>3.9869999999999997</v>
      </c>
      <c r="FH22">
        <v>72.335002492541093</v>
      </c>
      <c r="FI22">
        <v>7.1637159556547196E-3</v>
      </c>
      <c r="FJ22">
        <v>4.7891015874360001E-4</v>
      </c>
      <c r="FK22" s="22">
        <f t="shared" si="26"/>
        <v>60.581338989887804</v>
      </c>
      <c r="FL22" s="22">
        <f t="shared" si="27"/>
        <v>4382.1513068350114</v>
      </c>
      <c r="FM22" s="22">
        <f t="shared" si="28"/>
        <v>0.43398750473678666</v>
      </c>
      <c r="FN22" s="22">
        <f t="shared" si="29"/>
        <v>2.9013018672547013E-2</v>
      </c>
      <c r="FO22" s="437">
        <f t="shared" si="30"/>
        <v>4401.9914069158658</v>
      </c>
      <c r="FP22">
        <v>2.34</v>
      </c>
      <c r="FQ22">
        <f t="shared" si="31"/>
        <v>4266676.6963532725</v>
      </c>
      <c r="FR22" s="237">
        <f t="shared" si="32"/>
        <v>4266.6766963532727</v>
      </c>
      <c r="FS22">
        <v>271.3</v>
      </c>
      <c r="FT22" s="237">
        <f t="shared" si="33"/>
        <v>4122.3268793470188</v>
      </c>
      <c r="FV22" s="237"/>
      <c r="FW22" s="16" t="s">
        <v>346</v>
      </c>
      <c r="FX22" s="22">
        <f>FX14+FX16</f>
        <v>13770.340459292847</v>
      </c>
      <c r="FY22" s="22">
        <f>FY14+FY16</f>
        <v>13585.195370033223</v>
      </c>
      <c r="FZ22" s="22">
        <f>FZ14+FZ16</f>
        <v>18241.741815730624</v>
      </c>
      <c r="GA22" s="22"/>
      <c r="GB22"/>
      <c r="GC22"/>
      <c r="GD22" s="237"/>
      <c r="GF22" s="974" t="s">
        <v>759</v>
      </c>
      <c r="GG22" s="975"/>
      <c r="GH22" s="975"/>
      <c r="GI22" s="975"/>
      <c r="GJ22" s="975"/>
      <c r="GK22" s="976"/>
      <c r="GL22" s="23">
        <f>SUM(GK16:GK21)</f>
        <v>153254</v>
      </c>
      <c r="GP22" s="22">
        <f t="shared" si="129"/>
        <v>0</v>
      </c>
      <c r="GQ22" s="95">
        <f t="shared" si="8"/>
        <v>0</v>
      </c>
      <c r="GR22" s="95">
        <f t="shared" si="145"/>
        <v>0</v>
      </c>
      <c r="GU22" t="s">
        <v>717</v>
      </c>
      <c r="GV22" s="101">
        <f>GR19</f>
        <v>0.43306975715892071</v>
      </c>
      <c r="GW22" s="22">
        <f t="shared" si="173"/>
        <v>92.407199518236766</v>
      </c>
      <c r="GX22">
        <v>13</v>
      </c>
      <c r="GY22">
        <f t="shared" si="92"/>
        <v>0.13</v>
      </c>
      <c r="GZ22">
        <v>0.86499999999999999</v>
      </c>
      <c r="HA22">
        <f t="shared" si="93"/>
        <v>0.11245000000000001</v>
      </c>
      <c r="HB22">
        <v>43</v>
      </c>
      <c r="HC22">
        <f t="shared" si="94"/>
        <v>4.83535</v>
      </c>
      <c r="HD22">
        <v>74.054734089485606</v>
      </c>
      <c r="HE22">
        <v>1.1457692289250001E-4</v>
      </c>
      <c r="HF22">
        <v>2.5659043229536902E-3</v>
      </c>
      <c r="HG22" s="22">
        <f t="shared" si="95"/>
        <v>446.82115219050615</v>
      </c>
      <c r="HH22" s="22">
        <f t="shared" si="36"/>
        <v>33089.22161102551</v>
      </c>
      <c r="HI22" s="22">
        <f t="shared" si="37"/>
        <v>5.1195392701269632E-2</v>
      </c>
      <c r="HJ22" s="22">
        <f t="shared" si="38"/>
        <v>1.1465003259927684</v>
      </c>
      <c r="HK22" s="437">
        <f t="shared" si="39"/>
        <v>33394.477668409236</v>
      </c>
      <c r="HL22">
        <v>2.72</v>
      </c>
      <c r="HM22">
        <f t="shared" si="96"/>
        <v>32675185.749648519</v>
      </c>
      <c r="HN22" s="237">
        <f t="shared" si="97"/>
        <v>32675.185749648517</v>
      </c>
      <c r="HO22">
        <v>239.5</v>
      </c>
      <c r="HP22" s="237">
        <f t="shared" si="98"/>
        <v>22131.524284617703</v>
      </c>
      <c r="HQ22" s="237"/>
      <c r="HR22" s="16" t="s">
        <v>346</v>
      </c>
      <c r="HS22" s="22">
        <f>HS14+HS16</f>
        <v>12461.163529319183</v>
      </c>
      <c r="HT22" s="22">
        <f>HT14+HT16</f>
        <v>12155.114321037816</v>
      </c>
      <c r="HU22" s="22">
        <f>HU14+HU16</f>
        <v>16133.207659392428</v>
      </c>
      <c r="HV22" s="237"/>
      <c r="HX22" s="1032" t="s">
        <v>759</v>
      </c>
      <c r="HY22" s="1032"/>
      <c r="HZ22" s="1032"/>
      <c r="IA22" s="1032"/>
      <c r="IB22" s="1032"/>
      <c r="IC22" s="1032"/>
      <c r="ID22" s="23">
        <f>SUM(IC16:IC21)</f>
        <v>114908</v>
      </c>
      <c r="IH22" s="22">
        <f t="shared" si="130"/>
        <v>0</v>
      </c>
      <c r="II22" s="95">
        <f t="shared" si="40"/>
        <v>0</v>
      </c>
      <c r="IJ22" s="95">
        <f t="shared" si="146"/>
        <v>0</v>
      </c>
      <c r="IM22" t="s">
        <v>717</v>
      </c>
      <c r="IN22" s="101">
        <f>IJ19</f>
        <v>0.45806857485385233</v>
      </c>
      <c r="IO22" s="22">
        <f t="shared" si="174"/>
        <v>96.984640721955117</v>
      </c>
      <c r="IP22">
        <v>13</v>
      </c>
      <c r="IQ22">
        <f t="shared" si="99"/>
        <v>0.13</v>
      </c>
      <c r="IR22">
        <v>0.86499999999999999</v>
      </c>
      <c r="IS22">
        <f t="shared" si="100"/>
        <v>0.11245000000000001</v>
      </c>
      <c r="IT22">
        <v>43</v>
      </c>
      <c r="IU22">
        <f t="shared" si="101"/>
        <v>4.83535</v>
      </c>
      <c r="IV22">
        <v>74.054734089485606</v>
      </c>
      <c r="IW22">
        <v>1.1457692289250001E-4</v>
      </c>
      <c r="IX22">
        <v>2.5659043229536902E-3</v>
      </c>
      <c r="IY22" s="22">
        <f t="shared" si="43"/>
        <v>468.9546825149057</v>
      </c>
      <c r="IZ22" s="22">
        <f t="shared" si="44"/>
        <v>34728.314313660485</v>
      </c>
      <c r="JA22" s="22">
        <f t="shared" si="45"/>
        <v>5.3731384498587172E-2</v>
      </c>
      <c r="JB22" s="22">
        <f t="shared" si="46"/>
        <v>1.2032928471343718</v>
      </c>
      <c r="JC22" s="437">
        <f t="shared" si="47"/>
        <v>35048.691396917049</v>
      </c>
      <c r="JD22">
        <v>2.72</v>
      </c>
      <c r="JE22">
        <f t="shared" si="48"/>
        <v>34293768.959283337</v>
      </c>
      <c r="JF22" s="237">
        <f t="shared" si="102"/>
        <v>34293.768959283334</v>
      </c>
      <c r="JG22">
        <v>239.5</v>
      </c>
      <c r="JH22" s="237">
        <f t="shared" si="49"/>
        <v>23227.821452908247</v>
      </c>
      <c r="JJ22" s="16" t="s">
        <v>346</v>
      </c>
      <c r="JK22" s="22">
        <f>JK14+JK16</f>
        <v>10766.747558784729</v>
      </c>
      <c r="JL22" s="22">
        <f>JL14+JL16</f>
        <v>10503.406540657314</v>
      </c>
      <c r="JM22" s="22">
        <f>JM14+JM16</f>
        <v>13959.389981468334</v>
      </c>
      <c r="JP22" s="433" t="s">
        <v>759</v>
      </c>
      <c r="JQ22" s="434"/>
      <c r="JR22" s="434"/>
      <c r="JS22" s="434"/>
      <c r="JT22" s="434"/>
      <c r="JU22" s="435"/>
      <c r="JV22" s="23">
        <f>SUM(JU16:JU21)</f>
        <v>130789</v>
      </c>
      <c r="JZ22" s="22">
        <f t="shared" si="131"/>
        <v>0</v>
      </c>
      <c r="KA22" s="95">
        <f t="shared" si="11"/>
        <v>0</v>
      </c>
      <c r="KD22" t="s">
        <v>717</v>
      </c>
      <c r="KE22" s="101">
        <f>KA19</f>
        <v>7.6683758406301913E-2</v>
      </c>
      <c r="KF22" s="22">
        <f t="shared" si="50"/>
        <v>81.506665741924152</v>
      </c>
      <c r="KG22">
        <v>13</v>
      </c>
      <c r="KH22">
        <f t="shared" si="154"/>
        <v>0.13</v>
      </c>
      <c r="KI22">
        <v>0.86499999999999999</v>
      </c>
      <c r="KJ22">
        <f t="shared" si="155"/>
        <v>0.11245000000000001</v>
      </c>
      <c r="KK22">
        <v>43</v>
      </c>
      <c r="KL22">
        <f t="shared" si="156"/>
        <v>4.83535</v>
      </c>
      <c r="KM22">
        <v>73.367636682232202</v>
      </c>
      <c r="KN22">
        <f>0.06636778941357/1000</f>
        <v>6.6367789413569991E-5</v>
      </c>
      <c r="KO22">
        <f>2.52657658902305/1000</f>
        <v>2.5265765890230499E-3</v>
      </c>
      <c r="KP22" s="22">
        <f t="shared" si="54"/>
        <v>394.11325619521295</v>
      </c>
      <c r="KQ22" s="22">
        <f t="shared" si="55"/>
        <v>28915.158192181883</v>
      </c>
      <c r="KR22" s="22">
        <f t="shared" si="56"/>
        <v>2.6156425592260252E-2</v>
      </c>
      <c r="KS22" s="22">
        <f t="shared" si="57"/>
        <v>0.99575732652646853</v>
      </c>
      <c r="KT22" s="437">
        <f t="shared" si="58"/>
        <v>29179.766263627978</v>
      </c>
      <c r="KU22">
        <v>2.72</v>
      </c>
      <c r="KV22">
        <f t="shared" si="59"/>
        <v>28820757.006344382</v>
      </c>
      <c r="KW22" s="237">
        <f t="shared" si="157"/>
        <v>28820.757006344382</v>
      </c>
      <c r="KX22">
        <v>239.5</v>
      </c>
      <c r="KY22" s="237">
        <f t="shared" si="61"/>
        <v>19520.846445190833</v>
      </c>
      <c r="LA22" s="16" t="s">
        <v>346</v>
      </c>
      <c r="LB22" s="22">
        <f>LB14+LB16</f>
        <v>12467.432570562598</v>
      </c>
      <c r="LC22" s="22">
        <f>LC14+LC16</f>
        <v>12298.079391171203</v>
      </c>
      <c r="LD22" s="22">
        <f>LD14+LD16</f>
        <v>16351.565099769696</v>
      </c>
      <c r="LF22" s="1006" t="s">
        <v>322</v>
      </c>
      <c r="LG22" s="1007"/>
      <c r="LH22" s="1007"/>
      <c r="LI22" s="1007"/>
      <c r="LJ22" s="1007"/>
      <c r="LK22" s="1008"/>
      <c r="LP22" s="22">
        <f t="shared" si="12"/>
        <v>0</v>
      </c>
      <c r="LQ22" s="95">
        <f t="shared" si="13"/>
        <v>0</v>
      </c>
      <c r="LT22" t="s">
        <v>717</v>
      </c>
      <c r="LU22" s="101">
        <f>LQ19</f>
        <v>7.4747703332163865E-2</v>
      </c>
      <c r="LV22" s="22">
        <f t="shared" si="62"/>
        <v>89.39720221701495</v>
      </c>
      <c r="LW22">
        <v>13</v>
      </c>
      <c r="LX22">
        <f t="shared" si="158"/>
        <v>0.13</v>
      </c>
      <c r="LY22">
        <v>0.86499999999999999</v>
      </c>
      <c r="LZ22">
        <f t="shared" si="159"/>
        <v>0.11245000000000001</v>
      </c>
      <c r="MA22">
        <v>43</v>
      </c>
      <c r="MB22">
        <f t="shared" si="160"/>
        <v>4.83535</v>
      </c>
      <c r="MC22">
        <v>73.367561400348293</v>
      </c>
      <c r="MD22">
        <f>0.36897495946676/1000</f>
        <v>3.6897495946676E-4</v>
      </c>
      <c r="ME22">
        <f>2.09444904821954/1000</f>
        <v>2.0944490482195399E-3</v>
      </c>
      <c r="MF22" s="22">
        <f t="shared" si="63"/>
        <v>432.26676174004325</v>
      </c>
      <c r="MG22" s="22">
        <f t="shared" si="64"/>
        <v>31714.358183292348</v>
      </c>
      <c r="MH22" s="22">
        <f t="shared" si="65"/>
        <v>0.15949561089186007</v>
      </c>
      <c r="MI22" s="22">
        <f t="shared" si="66"/>
        <v>0.90536070770337618</v>
      </c>
      <c r="MJ22" s="437">
        <f t="shared" si="67"/>
        <v>31958.744647938714</v>
      </c>
      <c r="MK22">
        <v>2.72</v>
      </c>
      <c r="ML22">
        <f t="shared" si="68"/>
        <v>31610850.703936487</v>
      </c>
      <c r="MM22" s="237">
        <f t="shared" si="161"/>
        <v>31610.850703936489</v>
      </c>
      <c r="MN22">
        <v>239.5</v>
      </c>
      <c r="MO22" s="237">
        <f t="shared" si="69"/>
        <v>21410.629930975079</v>
      </c>
      <c r="MQ22" s="16" t="s">
        <v>346</v>
      </c>
      <c r="MR22" s="22">
        <f>MR14+MR16</f>
        <v>16084.187993359437</v>
      </c>
      <c r="MS22" s="22">
        <f>MS14+MS16</f>
        <v>15901.006416352935</v>
      </c>
      <c r="MT22" s="22">
        <f>MT14+MT16</f>
        <v>21052.546093573434</v>
      </c>
      <c r="MV22" s="997" t="s">
        <v>322</v>
      </c>
      <c r="MW22" s="998"/>
      <c r="MX22" s="998"/>
      <c r="MY22" s="998"/>
      <c r="MZ22" s="998"/>
      <c r="NA22" s="999"/>
      <c r="NF22" s="22">
        <f t="shared" si="15"/>
        <v>0</v>
      </c>
      <c r="NG22" s="95">
        <f t="shared" si="16"/>
        <v>0</v>
      </c>
      <c r="NJ22" t="s">
        <v>717</v>
      </c>
      <c r="NK22" s="101">
        <f>NG19</f>
        <v>7.1914439266129379E-2</v>
      </c>
      <c r="NL22" s="22">
        <f t="shared" si="70"/>
        <v>85.065526101831026</v>
      </c>
      <c r="NM22">
        <v>13</v>
      </c>
      <c r="NN22">
        <f t="shared" si="162"/>
        <v>0.13</v>
      </c>
      <c r="NO22">
        <v>0.86499999999999999</v>
      </c>
      <c r="NP22">
        <f t="shared" si="163"/>
        <v>0.11245000000000001</v>
      </c>
      <c r="NQ22">
        <v>43</v>
      </c>
      <c r="NR22">
        <f t="shared" si="164"/>
        <v>4.83535</v>
      </c>
      <c r="NS22">
        <v>73.367561400348293</v>
      </c>
      <c r="NT22">
        <f>0.36897495946676/1000</f>
        <v>3.6897495946676E-4</v>
      </c>
      <c r="NU22">
        <f>2.09444904821954/1000</f>
        <v>2.0944490482195399E-3</v>
      </c>
      <c r="NV22" s="22">
        <f t="shared" si="71"/>
        <v>411.32159163648868</v>
      </c>
      <c r="NW22" s="22">
        <f t="shared" si="72"/>
        <v>30177.662129679069</v>
      </c>
      <c r="NX22" s="22">
        <f t="shared" si="73"/>
        <v>0.15176736760187662</v>
      </c>
      <c r="NY22" s="22">
        <f t="shared" si="74"/>
        <v>0.86149211611518994</v>
      </c>
      <c r="NZ22" s="437">
        <f t="shared" si="75"/>
        <v>30410.20702674245</v>
      </c>
      <c r="OA22">
        <v>2.72</v>
      </c>
      <c r="OB22">
        <f t="shared" si="76"/>
        <v>30079170.029607452</v>
      </c>
      <c r="OC22" s="237">
        <f t="shared" si="165"/>
        <v>30079.170029607452</v>
      </c>
      <c r="OD22">
        <v>239.5</v>
      </c>
      <c r="OE22" s="237">
        <f t="shared" si="77"/>
        <v>20373.19350138853</v>
      </c>
      <c r="OG22" s="16" t="s">
        <v>346</v>
      </c>
      <c r="OH22" s="22">
        <f>OH14+OH16</f>
        <v>15810.408378894168</v>
      </c>
      <c r="OI22" s="22">
        <f>OI14+OI16</f>
        <v>15632.060053484562</v>
      </c>
      <c r="OJ22" s="22">
        <f>OJ14+OJ16</f>
        <v>20621.916121064933</v>
      </c>
      <c r="OL22" s="16" t="s">
        <v>346</v>
      </c>
      <c r="OM22" s="22">
        <f>OM14+OM16</f>
        <v>15379.139042056431</v>
      </c>
      <c r="ON22" s="22">
        <f>ON14+ON16</f>
        <v>15205.655623496934</v>
      </c>
      <c r="OO22" s="22">
        <f>OO14+OO16</f>
        <v>20059.40060111622</v>
      </c>
      <c r="OQ22" s="16" t="s">
        <v>346</v>
      </c>
      <c r="OR22" s="22">
        <f>OR14+OR16</f>
        <v>14239.58374032641</v>
      </c>
      <c r="OS22" s="22">
        <f>OS14+OS16</f>
        <v>14078.955004258638</v>
      </c>
      <c r="OT22" s="22">
        <f>OT14+OT16</f>
        <v>18573.049756506665</v>
      </c>
    </row>
    <row r="23" spans="1:410" ht="16.5" customHeight="1" thickBot="1" x14ac:dyDescent="0.5">
      <c r="A23" s="172" t="s">
        <v>760</v>
      </c>
      <c r="B23" s="173"/>
      <c r="C23" s="174">
        <v>39154.089654148054</v>
      </c>
      <c r="D23" s="174">
        <v>39736.608881551052</v>
      </c>
      <c r="E23" s="174">
        <v>37468.701485313599</v>
      </c>
      <c r="F23" s="175">
        <v>116359.40002101271</v>
      </c>
      <c r="G23" s="175"/>
      <c r="H23" s="176"/>
      <c r="I23" s="177"/>
      <c r="J23" s="177"/>
      <c r="K23" s="177"/>
      <c r="L23" s="177"/>
      <c r="M23" s="287"/>
      <c r="N23" s="166"/>
      <c r="O23" s="166"/>
      <c r="P23" s="166"/>
      <c r="Q23" s="166"/>
      <c r="S23" s="115">
        <v>2017</v>
      </c>
      <c r="T23" s="107">
        <f>$M$179</f>
        <v>8.0027290299421239E-2</v>
      </c>
      <c r="U23" s="85">
        <f>U22*(1+T23)</f>
        <v>5.4121786189362693</v>
      </c>
      <c r="V23" s="438">
        <f t="shared" si="147"/>
        <v>1284.0393773426299</v>
      </c>
      <c r="W23" s="83">
        <f t="shared" si="148"/>
        <v>33.826116368351684</v>
      </c>
      <c r="X23" s="83">
        <f t="shared" si="166"/>
        <v>1743.6142457913238</v>
      </c>
      <c r="Y23" s="438">
        <f t="shared" si="167"/>
        <v>1133.3492597643606</v>
      </c>
      <c r="Z23" s="16">
        <f t="shared" si="149"/>
        <v>1250576.6026967256</v>
      </c>
      <c r="AA23">
        <f t="shared" si="168"/>
        <v>6.2153657154027258</v>
      </c>
      <c r="AB23" s="237">
        <f t="shared" si="169"/>
        <v>1301.5424339599779</v>
      </c>
      <c r="AC23" s="16">
        <f t="shared" si="150"/>
        <v>1025551.7028038384</v>
      </c>
      <c r="AD23">
        <f t="shared" si="151"/>
        <v>5.2187045544705564</v>
      </c>
      <c r="AE23" s="16">
        <f t="shared" si="152"/>
        <v>1643.8919346582252</v>
      </c>
      <c r="AF23" s="237">
        <f t="shared" si="153"/>
        <v>1068.5297575278464</v>
      </c>
      <c r="AG23" s="237"/>
      <c r="AH23" s="237"/>
      <c r="AI23" s="237"/>
      <c r="AJ23" s="237"/>
      <c r="AK23" s="701" t="s">
        <v>285</v>
      </c>
      <c r="AL23" s="695">
        <v>12190</v>
      </c>
      <c r="AO23" s="237"/>
      <c r="AP23" s="746" t="s">
        <v>723</v>
      </c>
      <c r="AQ23" s="735">
        <v>9489</v>
      </c>
      <c r="AR23" s="736">
        <v>2514</v>
      </c>
      <c r="AS23" s="774">
        <f>AR23/AQ23</f>
        <v>0.2649383496680367</v>
      </c>
      <c r="AT23" s="737">
        <v>35</v>
      </c>
      <c r="AU23" s="738">
        <v>12791</v>
      </c>
      <c r="AV23" s="237"/>
      <c r="AW23" s="621">
        <f>AQ23/$CO$31</f>
        <v>0.11032822909763158</v>
      </c>
      <c r="AX23" s="621">
        <f>AR23/$CP$31</f>
        <v>4.687412600451215E-2</v>
      </c>
      <c r="AY23">
        <f t="shared" si="143"/>
        <v>121.37379900000001</v>
      </c>
      <c r="BA23" s="95">
        <f t="shared" si="17"/>
        <v>9.2981485764694366E-2</v>
      </c>
      <c r="BB23" s="95"/>
      <c r="BC23" s="95"/>
      <c r="BE23" t="s">
        <v>717</v>
      </c>
      <c r="BF23" s="101">
        <f>BA19</f>
        <v>8.5433455592844029E-2</v>
      </c>
      <c r="BG23" s="22">
        <f t="shared" si="78"/>
        <v>98.986768317511988</v>
      </c>
      <c r="BH23">
        <v>13</v>
      </c>
      <c r="BI23">
        <f t="shared" si="123"/>
        <v>0.13</v>
      </c>
      <c r="BJ23">
        <v>0.86499999999999999</v>
      </c>
      <c r="BK23">
        <f t="shared" si="124"/>
        <v>0.11245000000000001</v>
      </c>
      <c r="BL23">
        <v>43</v>
      </c>
      <c r="BM23">
        <f t="shared" si="79"/>
        <v>4.83535</v>
      </c>
      <c r="BN23">
        <v>73.510933419407394</v>
      </c>
      <c r="BO23">
        <v>8.2398639563294998E-4</v>
      </c>
      <c r="BP23">
        <v>3.54663097127342E-3</v>
      </c>
      <c r="BQ23" s="22">
        <f t="shared" si="170"/>
        <v>478.63567018408162</v>
      </c>
      <c r="BR23" s="22">
        <f t="shared" si="120"/>
        <v>35184.954883055463</v>
      </c>
      <c r="BS23" s="22">
        <f t="shared" si="81"/>
        <v>0.39438928069634283</v>
      </c>
      <c r="BT23" s="22">
        <f t="shared" si="82"/>
        <v>1.6975440918310738</v>
      </c>
      <c r="BU23" s="437">
        <f t="shared" si="171"/>
        <v>35645.846967250189</v>
      </c>
      <c r="BV23">
        <v>2.72</v>
      </c>
      <c r="BW23">
        <f t="shared" si="111"/>
        <v>35001721.277072243</v>
      </c>
      <c r="BX23" s="237">
        <f t="shared" si="83"/>
        <v>35001.72127707224</v>
      </c>
      <c r="BY23">
        <v>240</v>
      </c>
      <c r="BZ23" s="237">
        <f t="shared" si="84"/>
        <v>23756.824396202879</v>
      </c>
      <c r="CA23" s="237"/>
      <c r="CB23" s="237"/>
      <c r="CC23" t="s">
        <v>288</v>
      </c>
      <c r="CD23" s="22">
        <f>CD15+CD17+CD18</f>
        <v>66519.595775608424</v>
      </c>
      <c r="CE23" s="22">
        <f>CE15+CE17+CE18</f>
        <v>65285.331205658207</v>
      </c>
      <c r="CF23" s="22">
        <f>CF15+CF17+CF18</f>
        <v>57281.439560432627</v>
      </c>
      <c r="CG23" s="237"/>
      <c r="CH23" s="237"/>
      <c r="CI23" s="701" t="s">
        <v>716</v>
      </c>
      <c r="CJ23">
        <v>3</v>
      </c>
      <c r="CM23" s="237"/>
      <c r="CN23" s="746" t="s">
        <v>723</v>
      </c>
      <c r="CO23" s="735">
        <v>9489</v>
      </c>
      <c r="CP23" s="736">
        <v>2514</v>
      </c>
      <c r="CQ23" s="774">
        <f>CP23/CO23</f>
        <v>0.2649383496680367</v>
      </c>
      <c r="CR23" s="737">
        <v>35</v>
      </c>
      <c r="CS23" s="738">
        <v>12791</v>
      </c>
      <c r="CT23" s="237"/>
      <c r="CU23" s="621">
        <f>CO23/$CO$31</f>
        <v>0.11032822909763158</v>
      </c>
      <c r="CV23" s="621">
        <f>CP23/$CP$31</f>
        <v>4.687412600451215E-2</v>
      </c>
      <c r="CW23">
        <f t="shared" ref="CW23:CW29" si="176">CO23*CS23/1000000</f>
        <v>121.37379900000001</v>
      </c>
      <c r="CY23" s="95">
        <f t="shared" si="18"/>
        <v>9.2981485764694366E-2</v>
      </c>
      <c r="CZ23" s="95"/>
      <c r="DA23" s="95"/>
      <c r="DC23" t="s">
        <v>717</v>
      </c>
      <c r="DD23" s="101">
        <f>CY19</f>
        <v>8.5433455592844029E-2</v>
      </c>
      <c r="DE23" s="22">
        <f t="shared" si="85"/>
        <v>98.986768317511988</v>
      </c>
      <c r="DF23">
        <v>13</v>
      </c>
      <c r="DG23">
        <f t="shared" si="126"/>
        <v>0.13</v>
      </c>
      <c r="DH23">
        <v>0.86499999999999999</v>
      </c>
      <c r="DI23">
        <f t="shared" si="127"/>
        <v>0.11245000000000001</v>
      </c>
      <c r="DJ23">
        <v>43</v>
      </c>
      <c r="DK23">
        <f t="shared" si="86"/>
        <v>4.83535</v>
      </c>
      <c r="DL23">
        <v>73.510933419407394</v>
      </c>
      <c r="DM23">
        <v>8.2398639563294998E-4</v>
      </c>
      <c r="DN23">
        <v>3.54663097127342E-3</v>
      </c>
      <c r="DO23" s="22">
        <f t="shared" si="121"/>
        <v>478.63567018408162</v>
      </c>
      <c r="DP23" s="22">
        <f t="shared" si="87"/>
        <v>35184.954883055463</v>
      </c>
      <c r="DQ23" s="22">
        <f t="shared" si="88"/>
        <v>0.39438928069634283</v>
      </c>
      <c r="DR23" s="22">
        <f t="shared" si="89"/>
        <v>1.6975440918310738</v>
      </c>
      <c r="DS23" s="437">
        <f t="shared" si="21"/>
        <v>35645.846967250189</v>
      </c>
      <c r="DT23">
        <v>2.72</v>
      </c>
      <c r="DU23">
        <f t="shared" si="112"/>
        <v>35001721.277072243</v>
      </c>
      <c r="DV23" s="237">
        <f t="shared" si="90"/>
        <v>35001.72127707224</v>
      </c>
      <c r="DW23">
        <v>240</v>
      </c>
      <c r="DX23" s="237">
        <f t="shared" si="91"/>
        <v>23756.824396202879</v>
      </c>
      <c r="DY23" s="237"/>
      <c r="DZ23" s="237"/>
      <c r="EA23" t="s">
        <v>288</v>
      </c>
      <c r="EB23" s="22">
        <f>EB15+EB17+EB18</f>
        <v>66519.595775608424</v>
      </c>
      <c r="EC23" s="22">
        <f>EC15+EC17+EC18</f>
        <v>65285.331205658207</v>
      </c>
      <c r="ED23" s="22">
        <f>ED15+ED17+ED18</f>
        <v>57281.439560432627</v>
      </c>
      <c r="EE23" s="237"/>
      <c r="EF23" s="237"/>
      <c r="EG23" s="237"/>
      <c r="EH23" s="237"/>
      <c r="EI23" s="237"/>
      <c r="EJ23" s="564" t="s">
        <v>723</v>
      </c>
      <c r="EK23" s="562">
        <v>27410</v>
      </c>
      <c r="EL23" s="562">
        <v>4091</v>
      </c>
      <c r="EM23" s="563">
        <v>0.15</v>
      </c>
      <c r="EN23" s="564">
        <v>37.82</v>
      </c>
      <c r="EO23" s="571">
        <v>13804</v>
      </c>
      <c r="EP23" s="237"/>
      <c r="EQ23" s="621">
        <f t="shared" ref="EQ23:ER29" si="177">EK23/$JQ$30</f>
        <v>0.10166348311481187</v>
      </c>
      <c r="ER23" s="621">
        <f t="shared" si="177"/>
        <v>1.5173488121951672E-2</v>
      </c>
      <c r="ES23">
        <f t="shared" si="128"/>
        <v>378.36763999999999</v>
      </c>
      <c r="EU23" s="95">
        <f t="shared" si="6"/>
        <v>7.6138212852453424E-2</v>
      </c>
      <c r="EV23" s="95">
        <f t="shared" ref="EV23:EV29" si="178">ES23/$ES$31</f>
        <v>9.4129257170665601E-2</v>
      </c>
      <c r="EW23" s="237"/>
      <c r="EX23" t="s">
        <v>737</v>
      </c>
      <c r="EY23" t="s">
        <v>717</v>
      </c>
      <c r="EZ23" s="101">
        <f>EV19</f>
        <v>0.45761482515972002</v>
      </c>
      <c r="FA23" s="22">
        <f t="shared" si="172"/>
        <v>102.51750899367345</v>
      </c>
      <c r="FB23">
        <v>13</v>
      </c>
      <c r="FC23">
        <f t="shared" si="23"/>
        <v>0.13</v>
      </c>
      <c r="FD23">
        <v>0.86499999999999999</v>
      </c>
      <c r="FE23">
        <f t="shared" si="24"/>
        <v>0.11245000000000001</v>
      </c>
      <c r="FF23">
        <v>43</v>
      </c>
      <c r="FG23">
        <f t="shared" si="25"/>
        <v>4.83535</v>
      </c>
      <c r="FH23">
        <v>73.510933419407394</v>
      </c>
      <c r="FI23">
        <v>8.2398639563294998E-4</v>
      </c>
      <c r="FJ23">
        <v>3.54663097127342E-3</v>
      </c>
      <c r="FK23" s="22">
        <f t="shared" si="26"/>
        <v>495.70803711255888</v>
      </c>
      <c r="FL23" s="22">
        <f t="shared" si="27"/>
        <v>36439.960511646445</v>
      </c>
      <c r="FM23" s="22">
        <f t="shared" si="28"/>
        <v>0.40845667878666198</v>
      </c>
      <c r="FN23" s="22">
        <f t="shared" si="29"/>
        <v>1.7580934771325551</v>
      </c>
      <c r="FO23" s="437">
        <f t="shared" si="30"/>
        <v>36917.292070092597</v>
      </c>
      <c r="FP23">
        <v>2.72</v>
      </c>
      <c r="FQ23">
        <f t="shared" si="31"/>
        <v>36250191.180162936</v>
      </c>
      <c r="FR23" s="237">
        <f t="shared" si="32"/>
        <v>36250.191180162939</v>
      </c>
      <c r="FS23">
        <v>239.5</v>
      </c>
      <c r="FT23" s="237">
        <f t="shared" si="33"/>
        <v>24552.943403984791</v>
      </c>
      <c r="FV23" s="237"/>
      <c r="FW23" t="s">
        <v>288</v>
      </c>
      <c r="FX23" s="22">
        <f>FX15+FX17+FX18</f>
        <v>87265.720097381665</v>
      </c>
      <c r="FY23" s="22">
        <f>FY15+FY17+FY18</f>
        <v>85621.624758824444</v>
      </c>
      <c r="FZ23" s="22">
        <f>FZ15+FZ17+FZ18</f>
        <v>77819.615176936364</v>
      </c>
      <c r="GA23" s="22"/>
      <c r="GB23"/>
      <c r="GC23"/>
      <c r="GD23" s="237"/>
      <c r="GF23" s="564" t="s">
        <v>723</v>
      </c>
      <c r="GG23" s="562">
        <v>17323</v>
      </c>
      <c r="GH23" s="562">
        <v>1993</v>
      </c>
      <c r="GI23" s="563">
        <v>0.12</v>
      </c>
      <c r="GJ23" s="564">
        <v>37.75</v>
      </c>
      <c r="GK23" s="571">
        <v>13779</v>
      </c>
      <c r="GM23" s="95">
        <f t="shared" ref="GM23:GN28" si="179">GG23/$JQ$30</f>
        <v>6.4250876249466835E-2</v>
      </c>
      <c r="GN23" s="95">
        <f t="shared" si="179"/>
        <v>7.3920219572353174E-3</v>
      </c>
      <c r="GP23" s="22">
        <f>GK23*GG23/1000000</f>
        <v>238.69361699999999</v>
      </c>
      <c r="GQ23" s="95">
        <f t="shared" si="8"/>
        <v>4.8580199515719673E-2</v>
      </c>
      <c r="GR23" s="95">
        <f t="shared" ref="GR23:GR28" si="180">GP23/$GP$30</f>
        <v>5.9959060622014552E-2</v>
      </c>
      <c r="GT23" t="s">
        <v>737</v>
      </c>
      <c r="GU23" t="s">
        <v>675</v>
      </c>
      <c r="GV23" s="101">
        <f>GR11</f>
        <v>2.8831577098238367E-5</v>
      </c>
      <c r="GW23" s="22">
        <f t="shared" si="173"/>
        <v>6.1520003493678692E-3</v>
      </c>
      <c r="GX23">
        <v>25</v>
      </c>
      <c r="GY23">
        <f t="shared" si="92"/>
        <v>0.25</v>
      </c>
      <c r="GZ23">
        <v>0.75</v>
      </c>
      <c r="HA23">
        <f t="shared" si="93"/>
        <v>0.1875</v>
      </c>
      <c r="HB23">
        <v>44.3</v>
      </c>
      <c r="HC23">
        <f t="shared" si="94"/>
        <v>8.3062499999999986</v>
      </c>
      <c r="HD23">
        <v>71.051104664576499</v>
      </c>
      <c r="HE23">
        <v>1.53682172957139E-2</v>
      </c>
      <c r="HF23">
        <v>8.2329735512008E-4</v>
      </c>
      <c r="HG23" s="22">
        <f t="shared" si="95"/>
        <v>5.1100052901936852E-2</v>
      </c>
      <c r="HH23" s="22">
        <f t="shared" si="36"/>
        <v>3.6307152071009114</v>
      </c>
      <c r="HI23" s="22">
        <f t="shared" si="37"/>
        <v>7.8531671681944114E-4</v>
      </c>
      <c r="HJ23" s="22">
        <f t="shared" si="38"/>
        <v>4.2070538400660781E-5</v>
      </c>
      <c r="HK23" s="437">
        <f t="shared" si="39"/>
        <v>3.6638527678480308</v>
      </c>
      <c r="HL23">
        <v>2.34</v>
      </c>
      <c r="HM23">
        <f t="shared" si="96"/>
        <v>3598.9202043802029</v>
      </c>
      <c r="HN23" s="237">
        <f t="shared" si="97"/>
        <v>3.5989202043802031</v>
      </c>
      <c r="HO23">
        <v>801.2</v>
      </c>
      <c r="HP23" s="237">
        <f t="shared" si="98"/>
        <v>4.9289826799135374</v>
      </c>
      <c r="HQ23" s="237"/>
      <c r="HR23" t="s">
        <v>288</v>
      </c>
      <c r="HS23" s="22">
        <f>HS15+HS17+HS18</f>
        <v>85913.337300372368</v>
      </c>
      <c r="HT23" s="22">
        <f>HT15+HT17+HT18</f>
        <v>84049.099666597729</v>
      </c>
      <c r="HU23" s="22">
        <f>HU15+HU17+HU18</f>
        <v>77569.836316186615</v>
      </c>
      <c r="HV23" s="237"/>
      <c r="HX23" s="502" t="s">
        <v>723</v>
      </c>
      <c r="HY23" s="503">
        <v>10484</v>
      </c>
      <c r="HZ23" s="503">
        <v>1383</v>
      </c>
      <c r="IA23" s="504">
        <v>0.13</v>
      </c>
      <c r="IB23" s="502">
        <v>32.9</v>
      </c>
      <c r="IC23" s="503">
        <v>12010</v>
      </c>
      <c r="IE23" s="95">
        <f t="shared" ref="IE23:IF28" si="181">HY23/$JQ$30</f>
        <v>3.8885076868868572E-2</v>
      </c>
      <c r="IF23" s="95">
        <f t="shared" si="181"/>
        <v>5.1295365613930975E-3</v>
      </c>
      <c r="IH23" s="22">
        <f>IC23*HY23/1000000</f>
        <v>125.91284</v>
      </c>
      <c r="II23" s="95">
        <f t="shared" si="40"/>
        <v>3.0214432401348766E-2</v>
      </c>
      <c r="IJ23" s="95">
        <f t="shared" ref="IJ23:IJ28" si="182">IH23/$IH$30</f>
        <v>3.5992774778232824E-2</v>
      </c>
      <c r="IL23" t="s">
        <v>737</v>
      </c>
      <c r="IM23" t="s">
        <v>675</v>
      </c>
      <c r="IN23" s="101">
        <f>IJ11</f>
        <v>4.6591290383754777E-5</v>
      </c>
      <c r="IO23" s="22">
        <f t="shared" si="174"/>
        <v>9.8645482504064377E-3</v>
      </c>
      <c r="IP23">
        <v>25</v>
      </c>
      <c r="IQ23">
        <f t="shared" si="99"/>
        <v>0.25</v>
      </c>
      <c r="IR23">
        <v>0.75</v>
      </c>
      <c r="IS23">
        <f t="shared" si="100"/>
        <v>0.1875</v>
      </c>
      <c r="IT23">
        <v>44.3</v>
      </c>
      <c r="IU23">
        <f t="shared" si="101"/>
        <v>8.3062499999999986</v>
      </c>
      <c r="IV23">
        <v>71.051104664576499</v>
      </c>
      <c r="IW23">
        <v>1.53682172957139E-2</v>
      </c>
      <c r="IX23">
        <v>8.2329735512008E-4</v>
      </c>
      <c r="IY23" s="22">
        <f t="shared" si="43"/>
        <v>8.1937403904938463E-2</v>
      </c>
      <c r="IZ23" s="22">
        <f t="shared" si="44"/>
        <v>5.8217430607934615</v>
      </c>
      <c r="JA23" s="22">
        <f t="shared" si="45"/>
        <v>1.2592318278577708E-3</v>
      </c>
      <c r="JB23" s="22">
        <f t="shared" si="46"/>
        <v>6.7458847920341556E-5</v>
      </c>
      <c r="JC23" s="437">
        <f t="shared" si="47"/>
        <v>5.8748781466723692</v>
      </c>
      <c r="JD23">
        <v>2.34</v>
      </c>
      <c r="JE23">
        <f t="shared" si="48"/>
        <v>5770.7607264877652</v>
      </c>
      <c r="JF23" s="237">
        <f t="shared" si="102"/>
        <v>5.7707607264877652</v>
      </c>
      <c r="JG23">
        <v>801.2</v>
      </c>
      <c r="JH23" s="237">
        <f t="shared" si="49"/>
        <v>7.9034760582256389</v>
      </c>
      <c r="JJ23" t="s">
        <v>288</v>
      </c>
      <c r="JK23" s="22">
        <f>JK15+JK17+JK18</f>
        <v>85661.083073303598</v>
      </c>
      <c r="JL23" s="22">
        <f>JL15+JL17+JL18</f>
        <v>83821.223861543636</v>
      </c>
      <c r="JM23" s="22">
        <f>JM15+JM17+JM18</f>
        <v>76433.272559034129</v>
      </c>
      <c r="JP23" s="417" t="s">
        <v>723</v>
      </c>
      <c r="JQ23" s="408">
        <v>6271</v>
      </c>
      <c r="JR23" s="410">
        <v>827</v>
      </c>
      <c r="JS23" s="409">
        <v>0.13</v>
      </c>
      <c r="JT23" s="410">
        <v>32.21</v>
      </c>
      <c r="JU23" s="418">
        <v>11755</v>
      </c>
      <c r="JW23" s="95">
        <f t="shared" ref="JW23:JX28" si="183">JQ23/$JQ$30</f>
        <v>2.3259091667748456E-2</v>
      </c>
      <c r="JX23" s="95">
        <f t="shared" si="183"/>
        <v>3.0673367579696974E-3</v>
      </c>
      <c r="JZ23" s="22">
        <f>JU23*JQ23/1000000</f>
        <v>73.715604999999996</v>
      </c>
      <c r="KA23" s="95">
        <f t="shared" si="11"/>
        <v>1.768902332913011E-2</v>
      </c>
      <c r="KC23" t="s">
        <v>737</v>
      </c>
      <c r="KD23" t="s">
        <v>675</v>
      </c>
      <c r="KE23" s="101">
        <f>KA11</f>
        <v>1.2111416374699157E-5</v>
      </c>
      <c r="KF23" s="22">
        <f t="shared" si="50"/>
        <v>1.2873145326073971E-2</v>
      </c>
      <c r="KG23">
        <v>25</v>
      </c>
      <c r="KH23">
        <f t="shared" si="154"/>
        <v>0.25</v>
      </c>
      <c r="KI23">
        <v>0.75</v>
      </c>
      <c r="KJ23">
        <f t="shared" si="155"/>
        <v>0.1875</v>
      </c>
      <c r="KK23">
        <v>44.3</v>
      </c>
      <c r="KL23">
        <f t="shared" si="156"/>
        <v>8.3062499999999986</v>
      </c>
      <c r="KM23">
        <v>72.512080209241503</v>
      </c>
      <c r="KN23">
        <f>15.8206501432308/1000</f>
        <v>1.5820650143230801E-2</v>
      </c>
      <c r="KO23">
        <f>0.84755262174617/1000</f>
        <v>8.4755262174616996E-4</v>
      </c>
      <c r="KP23" s="22">
        <f t="shared" si="54"/>
        <v>0.1069275633647019</v>
      </c>
      <c r="KQ23" s="22">
        <f t="shared" si="55"/>
        <v>7.7535400512800177</v>
      </c>
      <c r="KR23" s="22">
        <f t="shared" si="56"/>
        <v>1.6916635706610917E-3</v>
      </c>
      <c r="KS23" s="22">
        <f t="shared" si="57"/>
        <v>9.062673666668281E-5</v>
      </c>
      <c r="KT23" s="437">
        <f t="shared" si="58"/>
        <v>7.8249227164751991</v>
      </c>
      <c r="KU23">
        <v>2.34</v>
      </c>
      <c r="KV23">
        <f t="shared" si="59"/>
        <v>7530.7900157532731</v>
      </c>
      <c r="KW23" s="237">
        <f t="shared" si="157"/>
        <v>7.530790015753273</v>
      </c>
      <c r="KX23">
        <v>801.2</v>
      </c>
      <c r="KY23" s="237">
        <f t="shared" si="61"/>
        <v>10.313964035250466</v>
      </c>
      <c r="LA23" t="s">
        <v>288</v>
      </c>
      <c r="LB23" s="22">
        <f>LB15+LB17+LB18</f>
        <v>71066.539269751345</v>
      </c>
      <c r="LC23" s="22">
        <f>LC15+LC17+LC18</f>
        <v>70078.583000255516</v>
      </c>
      <c r="LD23" s="22">
        <f>LD15+LD17+LD18</f>
        <v>63812.888050049572</v>
      </c>
      <c r="LF23" s="90" t="s">
        <v>285</v>
      </c>
      <c r="LG23" s="91">
        <v>269825</v>
      </c>
      <c r="LH23" s="91">
        <v>126330</v>
      </c>
      <c r="LI23" s="92">
        <v>0.47</v>
      </c>
      <c r="LJ23" s="93">
        <v>35.020000000000003</v>
      </c>
      <c r="LK23" s="94">
        <v>12781</v>
      </c>
      <c r="LL23" s="95">
        <f t="shared" ref="LL23:LL28" si="184">LG23/$LG$29</f>
        <v>0.85715874074780007</v>
      </c>
      <c r="LM23" s="95">
        <f t="shared" ref="LM23:LN28" si="185">(LG23-LG16-LG9)/LG23</f>
        <v>7.0334476049291203E-2</v>
      </c>
      <c r="LN23" s="95">
        <f t="shared" si="185"/>
        <v>2.2496635795139712E-2</v>
      </c>
      <c r="LP23" s="22">
        <f t="shared" ref="LP23:LP28" si="186">LK23*(LG23-LG16-LG9)/1000000</f>
        <v>242.557818</v>
      </c>
      <c r="LQ23" s="95">
        <f t="shared" si="13"/>
        <v>5.7102950084249225E-2</v>
      </c>
      <c r="LS23" t="s">
        <v>737</v>
      </c>
      <c r="LT23" t="s">
        <v>675</v>
      </c>
      <c r="LU23" s="101">
        <f>LQ11</f>
        <v>4.12978389741252E-5</v>
      </c>
      <c r="LV23" s="22">
        <f t="shared" si="62"/>
        <v>4.9391634756849663E-2</v>
      </c>
      <c r="LW23">
        <v>25</v>
      </c>
      <c r="LX23">
        <f t="shared" si="158"/>
        <v>0.25</v>
      </c>
      <c r="LY23">
        <v>0.75</v>
      </c>
      <c r="LZ23">
        <f t="shared" si="159"/>
        <v>0.1875</v>
      </c>
      <c r="MA23">
        <v>44.3</v>
      </c>
      <c r="MB23">
        <f t="shared" si="160"/>
        <v>8.3062499999999986</v>
      </c>
      <c r="MC23">
        <v>72.512080209241503</v>
      </c>
      <c r="MD23">
        <f>15.8206501432308/1000</f>
        <v>1.5820650143230801E-2</v>
      </c>
      <c r="ME23">
        <f>0.84755262174617/1000</f>
        <v>8.4755262174616996E-4</v>
      </c>
      <c r="MF23" s="22">
        <f t="shared" si="63"/>
        <v>0.41025926619908243</v>
      </c>
      <c r="MG23" s="22">
        <f t="shared" si="64"/>
        <v>29.748752817212427</v>
      </c>
      <c r="MH23" s="22">
        <f t="shared" si="65"/>
        <v>6.4905683185542771E-3</v>
      </c>
      <c r="MI23" s="22">
        <f t="shared" si="66"/>
        <v>3.4771631666269214E-4</v>
      </c>
      <c r="MJ23" s="437">
        <f t="shared" si="67"/>
        <v>30.022633554047562</v>
      </c>
      <c r="MK23">
        <v>2.34</v>
      </c>
      <c r="ML23">
        <f t="shared" si="68"/>
        <v>28894.106332757052</v>
      </c>
      <c r="MM23" s="237">
        <f t="shared" si="161"/>
        <v>28.894106332757051</v>
      </c>
      <c r="MN23">
        <v>801.2</v>
      </c>
      <c r="MO23" s="237">
        <f t="shared" si="69"/>
        <v>39.572577767187951</v>
      </c>
      <c r="MQ23" t="s">
        <v>288</v>
      </c>
      <c r="MR23" s="22">
        <f>MR15+MR17+MR18</f>
        <v>80198.968864141279</v>
      </c>
      <c r="MS23" s="22">
        <f>MS15+MS17+MS18</f>
        <v>79102.392699533011</v>
      </c>
      <c r="MT23" s="22">
        <f>MT15+MT17+MT18</f>
        <v>72289.411692941154</v>
      </c>
      <c r="MV23" s="417" t="s">
        <v>285</v>
      </c>
      <c r="MW23" s="408">
        <v>267383</v>
      </c>
      <c r="MX23" s="408">
        <v>130814</v>
      </c>
      <c r="MY23" s="409">
        <v>0.49</v>
      </c>
      <c r="MZ23" s="410">
        <v>34.880000000000003</v>
      </c>
      <c r="NA23" s="418">
        <v>12730</v>
      </c>
      <c r="NB23" s="95">
        <f t="shared" ref="NB23:NB28" si="187">MW23/$LG$29</f>
        <v>0.84940118809364973</v>
      </c>
      <c r="NC23" s="95">
        <f t="shared" ref="NC23:ND28" si="188">(MW23-MW16-MW9)/MW23</f>
        <v>5.5530830307087588E-2</v>
      </c>
      <c r="ND23" s="95">
        <f t="shared" si="188"/>
        <v>-3.0287278120078892E-2</v>
      </c>
      <c r="NF23" s="22">
        <f t="shared" ref="NF23:NF28" si="189">NA23*(MW23-MW16-MW9)/1000000</f>
        <v>189.01504</v>
      </c>
      <c r="NG23" s="95">
        <f t="shared" si="16"/>
        <v>4.4497911810421918E-2</v>
      </c>
      <c r="NI23" t="s">
        <v>737</v>
      </c>
      <c r="NJ23" t="s">
        <v>675</v>
      </c>
      <c r="NK23" s="101">
        <f>NG11</f>
        <v>4.5074916698132824E-5</v>
      </c>
      <c r="NL23" s="22">
        <f t="shared" si="70"/>
        <v>5.3317825210781898E-2</v>
      </c>
      <c r="NM23">
        <v>25</v>
      </c>
      <c r="NN23">
        <f t="shared" si="162"/>
        <v>0.25</v>
      </c>
      <c r="NO23">
        <v>0.75</v>
      </c>
      <c r="NP23">
        <f t="shared" si="163"/>
        <v>0.1875</v>
      </c>
      <c r="NQ23">
        <v>44.3</v>
      </c>
      <c r="NR23">
        <f t="shared" si="164"/>
        <v>8.3062499999999986</v>
      </c>
      <c r="NS23">
        <v>72.512080209241503</v>
      </c>
      <c r="NT23">
        <f>15.8206501432308/1000</f>
        <v>1.5820650143230801E-2</v>
      </c>
      <c r="NU23">
        <f>0.84755262174617/1000</f>
        <v>8.4755262174616996E-4</v>
      </c>
      <c r="NV23" s="22">
        <f t="shared" si="71"/>
        <v>0.44287118565705708</v>
      </c>
      <c r="NW23" s="22">
        <f t="shared" si="72"/>
        <v>32.113510936726406</v>
      </c>
      <c r="NX23" s="22">
        <f t="shared" si="73"/>
        <v>7.0065100867981144E-3</v>
      </c>
      <c r="NY23" s="22">
        <f t="shared" si="74"/>
        <v>3.753566344994735E-4</v>
      </c>
      <c r="NZ23" s="437">
        <f t="shared" si="75"/>
        <v>32.409162727299119</v>
      </c>
      <c r="OA23">
        <v>2.34</v>
      </c>
      <c r="OB23">
        <f t="shared" si="76"/>
        <v>31190.927748307411</v>
      </c>
      <c r="OC23" s="237">
        <f t="shared" si="165"/>
        <v>31.190927748307413</v>
      </c>
      <c r="OD23">
        <v>801.2</v>
      </c>
      <c r="OE23" s="237">
        <f t="shared" si="77"/>
        <v>42.718241558878461</v>
      </c>
      <c r="OG23" t="s">
        <v>288</v>
      </c>
      <c r="OH23" s="22">
        <f>OH15+OH17+OH18</f>
        <v>77658.472720502526</v>
      </c>
      <c r="OI23" s="22">
        <f>OI15+OI17+OI18</f>
        <v>76603.314532167744</v>
      </c>
      <c r="OJ23" s="22">
        <f>OJ15+OJ17+OJ18</f>
        <v>70293.091193705623</v>
      </c>
      <c r="OL23" t="s">
        <v>288</v>
      </c>
      <c r="OM23" s="22">
        <f>OM15+OM17+OM18</f>
        <v>75540.13920074905</v>
      </c>
      <c r="ON23" s="22">
        <f>ON15+ON17+ON18</f>
        <v>74513.763151448031</v>
      </c>
      <c r="OO23" s="22">
        <f>OO15+OO17+OO18</f>
        <v>68375.667298200628</v>
      </c>
      <c r="OQ23" t="s">
        <v>288</v>
      </c>
      <c r="OR23" s="22">
        <f>OR15+OR17+OR18</f>
        <v>69942.805963548089</v>
      </c>
      <c r="OS23" s="22">
        <f>OS15+OS17+OS18</f>
        <v>68992.481783298485</v>
      </c>
      <c r="OT23" s="22">
        <f>OT15+OT17+OT18</f>
        <v>63309.20330656135</v>
      </c>
    </row>
    <row r="24" spans="1:410" ht="16.5" customHeight="1" thickBot="1" x14ac:dyDescent="0.5">
      <c r="A24" s="981">
        <v>2006</v>
      </c>
      <c r="B24" s="288" t="s">
        <v>710</v>
      </c>
      <c r="C24" s="152">
        <v>37989</v>
      </c>
      <c r="D24" s="153">
        <v>38437</v>
      </c>
      <c r="E24" s="154">
        <v>34682</v>
      </c>
      <c r="F24" s="155">
        <v>111108</v>
      </c>
      <c r="G24" s="199">
        <v>111108</v>
      </c>
      <c r="H24" s="1037" t="s">
        <v>761</v>
      </c>
      <c r="I24" s="178">
        <v>2.7729682934747323E-2</v>
      </c>
      <c r="J24" s="289">
        <v>7.1027113828670246E-2</v>
      </c>
      <c r="K24" s="290">
        <v>6.2644656554256883E-2</v>
      </c>
      <c r="L24" s="179">
        <v>6.2644656554256883E-2</v>
      </c>
      <c r="M24" s="291">
        <v>6.2644656554256883E-2</v>
      </c>
      <c r="N24" s="870"/>
      <c r="O24" s="206"/>
      <c r="P24" s="206"/>
      <c r="Q24" s="206"/>
      <c r="S24" s="115">
        <v>2018</v>
      </c>
      <c r="T24" s="107">
        <f>$M$192</f>
        <v>2.8042488962377606E-2</v>
      </c>
      <c r="U24" s="85">
        <f t="shared" si="175"/>
        <v>5.563949578120206</v>
      </c>
      <c r="V24" s="438">
        <f t="shared" si="147"/>
        <v>1320.0470374090189</v>
      </c>
      <c r="W24" s="83">
        <f t="shared" si="148"/>
        <v>34.774684863251288</v>
      </c>
      <c r="X24" s="83">
        <f t="shared" si="166"/>
        <v>1792.5095290335714</v>
      </c>
      <c r="Y24" s="438">
        <f t="shared" si="167"/>
        <v>1165.1311938718216</v>
      </c>
      <c r="Z24" s="16">
        <f t="shared" si="149"/>
        <v>1285645.8832744563</v>
      </c>
      <c r="AA24">
        <f t="shared" si="168"/>
        <v>6.3896600398740464</v>
      </c>
      <c r="AB24" s="237">
        <f t="shared" si="169"/>
        <v>1338.0409232983668</v>
      </c>
      <c r="AC24" s="16">
        <f t="shared" si="150"/>
        <v>1054310.7251100626</v>
      </c>
      <c r="AD24">
        <f t="shared" si="151"/>
        <v>5.3650500193372075</v>
      </c>
      <c r="AE24" s="16">
        <f t="shared" si="152"/>
        <v>1689.9907560912204</v>
      </c>
      <c r="AF24" s="237">
        <f t="shared" si="153"/>
        <v>1098.4939914592933</v>
      </c>
      <c r="AG24" s="237"/>
      <c r="AH24" s="237"/>
      <c r="AI24" s="237"/>
      <c r="AJ24" s="237"/>
      <c r="AK24" s="701" t="s">
        <v>716</v>
      </c>
      <c r="AL24">
        <v>11</v>
      </c>
      <c r="AO24" s="237"/>
      <c r="AP24" s="747" t="s">
        <v>729</v>
      </c>
      <c r="AQ24" s="739">
        <v>5302</v>
      </c>
      <c r="AR24" s="742">
        <v>2167</v>
      </c>
      <c r="AS24" s="774">
        <f t="shared" ref="AS24" si="190">AR24/AQ24</f>
        <v>0.40871369294605808</v>
      </c>
      <c r="AT24" s="740">
        <v>40</v>
      </c>
      <c r="AU24" s="738">
        <v>14589</v>
      </c>
      <c r="AV24" s="237"/>
      <c r="AW24" s="621">
        <f t="shared" ref="AW24:AW27" si="191">AQ24/$CO$31</f>
        <v>6.1646145081214319E-2</v>
      </c>
      <c r="AX24" s="621">
        <f t="shared" ref="AX24:AX29" si="192">AR24/$CP$31</f>
        <v>4.0404228739768427E-2</v>
      </c>
      <c r="AY24">
        <f t="shared" si="143"/>
        <v>77.350877999999994</v>
      </c>
      <c r="BA24" s="95">
        <f t="shared" si="17"/>
        <v>5.9256607446584161E-2</v>
      </c>
      <c r="BB24" s="95"/>
      <c r="BC24" s="95"/>
      <c r="BD24" t="s">
        <v>737</v>
      </c>
      <c r="BE24" t="s">
        <v>675</v>
      </c>
      <c r="BF24" s="101">
        <f>BA11</f>
        <v>0</v>
      </c>
      <c r="BG24" s="22">
        <f t="shared" si="78"/>
        <v>0</v>
      </c>
      <c r="BH24">
        <v>25</v>
      </c>
      <c r="BI24">
        <f t="shared" si="123"/>
        <v>0.25</v>
      </c>
      <c r="BJ24">
        <v>0.75</v>
      </c>
      <c r="BK24">
        <f t="shared" si="124"/>
        <v>0.1875</v>
      </c>
      <c r="BL24">
        <v>44.3</v>
      </c>
      <c r="BM24">
        <f t="shared" si="79"/>
        <v>8.3062499999999986</v>
      </c>
      <c r="BN24">
        <v>72.326894595976398</v>
      </c>
      <c r="BO24">
        <v>1.4879032033184299E-2</v>
      </c>
      <c r="BP24">
        <v>7.9709100174625005E-4</v>
      </c>
      <c r="BQ24" s="22">
        <f t="shared" si="170"/>
        <v>0</v>
      </c>
      <c r="BR24" s="22">
        <f t="shared" si="120"/>
        <v>0</v>
      </c>
      <c r="BS24" s="22">
        <f t="shared" si="81"/>
        <v>0</v>
      </c>
      <c r="BT24" s="22">
        <f t="shared" si="82"/>
        <v>0</v>
      </c>
      <c r="BU24" s="437">
        <f t="shared" si="171"/>
        <v>0</v>
      </c>
      <c r="BV24">
        <v>2.34</v>
      </c>
      <c r="BW24">
        <f t="shared" si="111"/>
        <v>0</v>
      </c>
      <c r="BX24" s="237">
        <f t="shared" si="83"/>
        <v>0</v>
      </c>
      <c r="BY24">
        <v>600</v>
      </c>
      <c r="BZ24" s="237">
        <f t="shared" si="84"/>
        <v>0</v>
      </c>
      <c r="CA24" s="237"/>
      <c r="CB24" s="237"/>
      <c r="CD24" s="437">
        <f>SUM(CD21:CD23)</f>
        <v>263506.97245331336</v>
      </c>
      <c r="CE24" s="437">
        <f>SUM(CE21:CE23)</f>
        <v>274090.34961368097</v>
      </c>
      <c r="CF24" s="437">
        <f>SUM(CF21:CF23)</f>
        <v>238146.0221390122</v>
      </c>
      <c r="CG24" s="237"/>
      <c r="CH24" s="237"/>
      <c r="CI24" s="697" t="s">
        <v>762</v>
      </c>
      <c r="CJ24" s="695"/>
      <c r="CM24" s="237"/>
      <c r="CN24" s="747" t="s">
        <v>729</v>
      </c>
      <c r="CO24" s="739">
        <v>5302</v>
      </c>
      <c r="CP24" s="742">
        <v>2167</v>
      </c>
      <c r="CQ24" s="774">
        <f t="shared" ref="CQ24:CQ29" si="193">CP24/CO24</f>
        <v>0.40871369294605808</v>
      </c>
      <c r="CR24" s="740">
        <v>40</v>
      </c>
      <c r="CS24" s="738">
        <v>14589</v>
      </c>
      <c r="CT24" s="237"/>
      <c r="CU24" s="621">
        <f t="shared" ref="CU24:CU29" si="194">CO24/$CO$31</f>
        <v>6.1646145081214319E-2</v>
      </c>
      <c r="CV24" s="621">
        <f t="shared" ref="CV24:CV29" si="195">CP24/$CP$31</f>
        <v>4.0404228739768427E-2</v>
      </c>
      <c r="CW24">
        <f t="shared" si="176"/>
        <v>77.350877999999994</v>
      </c>
      <c r="CY24" s="95">
        <f t="shared" si="18"/>
        <v>5.9256607446584161E-2</v>
      </c>
      <c r="CZ24" s="95"/>
      <c r="DA24" s="95"/>
      <c r="DB24" t="s">
        <v>737</v>
      </c>
      <c r="DC24" t="s">
        <v>675</v>
      </c>
      <c r="DD24" s="101">
        <f>CY11</f>
        <v>0</v>
      </c>
      <c r="DE24" s="22">
        <f t="shared" si="85"/>
        <v>0</v>
      </c>
      <c r="DF24">
        <v>25</v>
      </c>
      <c r="DG24">
        <f t="shared" si="126"/>
        <v>0.25</v>
      </c>
      <c r="DH24">
        <v>0.75</v>
      </c>
      <c r="DI24">
        <f t="shared" si="127"/>
        <v>0.1875</v>
      </c>
      <c r="DJ24">
        <v>44.3</v>
      </c>
      <c r="DK24">
        <f t="shared" si="86"/>
        <v>8.3062499999999986</v>
      </c>
      <c r="DL24">
        <v>72.326894595976398</v>
      </c>
      <c r="DM24">
        <v>1.4879032033184299E-2</v>
      </c>
      <c r="DN24">
        <v>7.9709100174625005E-4</v>
      </c>
      <c r="DO24" s="22">
        <f t="shared" si="121"/>
        <v>0</v>
      </c>
      <c r="DP24" s="22">
        <f t="shared" si="87"/>
        <v>0</v>
      </c>
      <c r="DQ24" s="22">
        <f t="shared" si="88"/>
        <v>0</v>
      </c>
      <c r="DR24" s="22">
        <f t="shared" si="89"/>
        <v>0</v>
      </c>
      <c r="DS24" s="437">
        <f t="shared" si="21"/>
        <v>0</v>
      </c>
      <c r="DT24">
        <v>2.34</v>
      </c>
      <c r="DU24">
        <f t="shared" si="112"/>
        <v>0</v>
      </c>
      <c r="DV24" s="237">
        <f t="shared" si="90"/>
        <v>0</v>
      </c>
      <c r="DW24">
        <v>600</v>
      </c>
      <c r="DX24" s="237">
        <f t="shared" si="91"/>
        <v>0</v>
      </c>
      <c r="DY24" s="237"/>
      <c r="DZ24" s="237"/>
      <c r="EB24" s="437">
        <f>SUM(EB21:EB23)</f>
        <v>263506.97245331336</v>
      </c>
      <c r="EC24" s="437">
        <f>SUM(EC21:EC23)</f>
        <v>274090.34961368097</v>
      </c>
      <c r="ED24" s="437">
        <f>SUM(ED21:ED23)</f>
        <v>238146.0221390122</v>
      </c>
      <c r="EE24" s="237"/>
      <c r="EF24" s="237"/>
      <c r="EG24" s="237"/>
      <c r="EH24" s="237"/>
      <c r="EI24" s="237"/>
      <c r="EJ24" s="565" t="s">
        <v>729</v>
      </c>
      <c r="EK24" s="567">
        <v>13889</v>
      </c>
      <c r="EL24" s="567">
        <v>4512</v>
      </c>
      <c r="EM24" s="566">
        <v>0.32</v>
      </c>
      <c r="EN24" s="565">
        <v>36.26</v>
      </c>
      <c r="EO24" s="572">
        <v>13235</v>
      </c>
      <c r="EP24" s="237"/>
      <c r="EQ24" s="621">
        <f t="shared" si="177"/>
        <v>5.1514196168610797E-2</v>
      </c>
      <c r="ER24" s="621">
        <f t="shared" si="177"/>
        <v>1.6734973944328022E-2</v>
      </c>
      <c r="ES24">
        <f t="shared" si="128"/>
        <v>183.82091500000001</v>
      </c>
      <c r="EU24" s="95">
        <f t="shared" si="6"/>
        <v>3.6989939078835465E-2</v>
      </c>
      <c r="EV24" s="95">
        <f t="shared" si="178"/>
        <v>4.5730459881246882E-2</v>
      </c>
      <c r="EW24" s="237"/>
      <c r="EY24" t="s">
        <v>675</v>
      </c>
      <c r="EZ24" s="101">
        <f>EV11</f>
        <v>0</v>
      </c>
      <c r="FA24" s="22">
        <f t="shared" si="172"/>
        <v>0</v>
      </c>
      <c r="FB24">
        <v>25</v>
      </c>
      <c r="FC24">
        <f t="shared" si="23"/>
        <v>0.25</v>
      </c>
      <c r="FD24">
        <v>0.75</v>
      </c>
      <c r="FE24">
        <f t="shared" si="24"/>
        <v>0.1875</v>
      </c>
      <c r="FF24">
        <v>44.3</v>
      </c>
      <c r="FG24">
        <f t="shared" si="25"/>
        <v>8.3062499999999986</v>
      </c>
      <c r="FH24">
        <v>72.326894595976398</v>
      </c>
      <c r="FI24">
        <v>1.4879032033184299E-2</v>
      </c>
      <c r="FJ24">
        <v>7.9709100174625005E-4</v>
      </c>
      <c r="FK24" s="22">
        <f t="shared" si="26"/>
        <v>0</v>
      </c>
      <c r="FL24" s="22">
        <f t="shared" si="27"/>
        <v>0</v>
      </c>
      <c r="FM24" s="22">
        <f t="shared" si="28"/>
        <v>0</v>
      </c>
      <c r="FN24" s="22">
        <f t="shared" si="29"/>
        <v>0</v>
      </c>
      <c r="FO24" s="437">
        <f t="shared" si="30"/>
        <v>0</v>
      </c>
      <c r="FP24">
        <v>2.34</v>
      </c>
      <c r="FQ24">
        <f t="shared" si="31"/>
        <v>0</v>
      </c>
      <c r="FR24" s="237">
        <f t="shared" si="32"/>
        <v>0</v>
      </c>
      <c r="FS24">
        <v>801.2</v>
      </c>
      <c r="FT24" s="237">
        <f t="shared" si="33"/>
        <v>0</v>
      </c>
      <c r="FV24" s="237"/>
      <c r="FW24"/>
      <c r="FX24" s="437">
        <f>SUM(FX21:FX23)</f>
        <v>298223.75266271486</v>
      </c>
      <c r="FY24" s="437">
        <f>SUM(FY21:FY23)</f>
        <v>302286.14763736667</v>
      </c>
      <c r="FZ24" s="437">
        <f>SUM(FZ21:FZ23)</f>
        <v>267560.77046564902</v>
      </c>
      <c r="GA24" s="437"/>
      <c r="GB24"/>
      <c r="GC24"/>
      <c r="GD24" s="237"/>
      <c r="GF24" s="565" t="s">
        <v>729</v>
      </c>
      <c r="GG24" s="567">
        <v>11264</v>
      </c>
      <c r="GH24" s="567">
        <v>3394</v>
      </c>
      <c r="GI24" s="566">
        <v>0.3</v>
      </c>
      <c r="GJ24" s="565">
        <v>33.840000000000003</v>
      </c>
      <c r="GK24" s="572">
        <v>12352</v>
      </c>
      <c r="GM24" s="95">
        <f t="shared" si="179"/>
        <v>4.1778090981584852E-2</v>
      </c>
      <c r="GN24" s="95">
        <f t="shared" si="179"/>
        <v>1.258832038276802E-2</v>
      </c>
      <c r="GP24" s="22">
        <f>GK24*GG24/1000000</f>
        <v>139.13292799999999</v>
      </c>
      <c r="GQ24" s="95">
        <f t="shared" si="8"/>
        <v>2.8317076453059319E-2</v>
      </c>
      <c r="GR24" s="95">
        <f t="shared" si="180"/>
        <v>3.4949739206768929E-2</v>
      </c>
      <c r="GU24" t="s">
        <v>717</v>
      </c>
      <c r="GV24" s="101">
        <f>GR18</f>
        <v>8.3998168098816745E-2</v>
      </c>
      <c r="GW24" s="22">
        <f t="shared" si="173"/>
        <v>17.923291456774173</v>
      </c>
      <c r="GX24">
        <v>21.22</v>
      </c>
      <c r="GY24">
        <f t="shared" si="92"/>
        <v>0.2122</v>
      </c>
      <c r="GZ24">
        <v>0.86499999999999999</v>
      </c>
      <c r="HA24">
        <f t="shared" si="93"/>
        <v>0.18355299999999999</v>
      </c>
      <c r="HB24">
        <v>43</v>
      </c>
      <c r="HC24">
        <f t="shared" si="94"/>
        <v>7.892779</v>
      </c>
      <c r="HD24">
        <v>74.054734089485507</v>
      </c>
      <c r="HE24">
        <v>1.4363980931045299E-3</v>
      </c>
      <c r="HF24">
        <v>3.0837733297494202E-3</v>
      </c>
      <c r="HG24" s="22">
        <f t="shared" si="95"/>
        <v>141.46457842090661</v>
      </c>
      <c r="HH24" s="22">
        <f t="shared" si="36"/>
        <v>10476.121738041407</v>
      </c>
      <c r="HI24" s="22">
        <f t="shared" si="37"/>
        <v>0.20319945068562648</v>
      </c>
      <c r="HJ24" s="22">
        <f t="shared" si="38"/>
        <v>0.43624469403863714</v>
      </c>
      <c r="HK24" s="437">
        <f t="shared" si="39"/>
        <v>10597.416166580844</v>
      </c>
      <c r="HL24">
        <v>2.72</v>
      </c>
      <c r="HM24">
        <f t="shared" si="96"/>
        <v>10345037.056186745</v>
      </c>
      <c r="HN24" s="237">
        <f t="shared" si="97"/>
        <v>10345.037056186746</v>
      </c>
      <c r="HO24">
        <v>801.2</v>
      </c>
      <c r="HP24" s="237">
        <f t="shared" si="98"/>
        <v>14360.141115167469</v>
      </c>
      <c r="HQ24" s="237"/>
      <c r="HS24" s="437">
        <f>SUM(HS21:HS23)</f>
        <v>295688.32428345428</v>
      </c>
      <c r="HT24" s="437">
        <f>SUM(HT21:HT23)</f>
        <v>298666.86414984707</v>
      </c>
      <c r="HU24" s="437">
        <f>SUM(HU21:HU23)</f>
        <v>265499.89024513657</v>
      </c>
      <c r="HV24" s="237"/>
      <c r="HX24" s="505" t="s">
        <v>729</v>
      </c>
      <c r="HY24" s="507">
        <v>8545</v>
      </c>
      <c r="HZ24" s="507">
        <v>2660</v>
      </c>
      <c r="IA24" s="506">
        <v>0.31</v>
      </c>
      <c r="IB24" s="505">
        <v>33.200000000000003</v>
      </c>
      <c r="IC24" s="507">
        <v>12120</v>
      </c>
      <c r="IE24" s="95">
        <f t="shared" si="181"/>
        <v>3.1693340504052071E-2</v>
      </c>
      <c r="IF24" s="95">
        <f t="shared" si="181"/>
        <v>9.8659199228529563E-3</v>
      </c>
      <c r="IH24" s="22">
        <f t="shared" si="130"/>
        <v>103.5654</v>
      </c>
      <c r="II24" s="95">
        <f t="shared" si="40"/>
        <v>2.4851871956971548E-2</v>
      </c>
      <c r="IJ24" s="95">
        <f t="shared" si="182"/>
        <v>2.9604654434111671E-2</v>
      </c>
      <c r="IM24" t="s">
        <v>717</v>
      </c>
      <c r="IN24" s="101">
        <f>IJ18</f>
        <v>7.3279191901582108E-2</v>
      </c>
      <c r="IO24" s="22">
        <f t="shared" si="174"/>
        <v>15.515048377282008</v>
      </c>
      <c r="IP24">
        <v>21.22</v>
      </c>
      <c r="IQ24">
        <f t="shared" si="99"/>
        <v>0.2122</v>
      </c>
      <c r="IR24">
        <v>0.86499999999999999</v>
      </c>
      <c r="IS24">
        <f t="shared" si="100"/>
        <v>0.18355299999999999</v>
      </c>
      <c r="IT24">
        <v>43</v>
      </c>
      <c r="IU24">
        <f t="shared" si="101"/>
        <v>7.892779</v>
      </c>
      <c r="IV24">
        <v>74.054734089485507</v>
      </c>
      <c r="IW24">
        <v>1.4363980931045299E-3</v>
      </c>
      <c r="IX24">
        <v>3.0837733297494202E-3</v>
      </c>
      <c r="IY24" s="22">
        <f t="shared" si="43"/>
        <v>122.45684801619551</v>
      </c>
      <c r="IZ24" s="22">
        <f t="shared" si="44"/>
        <v>9068.5093172758989</v>
      </c>
      <c r="JA24" s="22">
        <f t="shared" si="45"/>
        <v>0.17589678297805447</v>
      </c>
      <c r="JB24" s="22">
        <f t="shared" si="46"/>
        <v>0.37762916195752189</v>
      </c>
      <c r="JC24" s="437">
        <f t="shared" si="47"/>
        <v>9173.5061551180279</v>
      </c>
      <c r="JD24">
        <v>2.72</v>
      </c>
      <c r="JE24">
        <f t="shared" si="48"/>
        <v>8955037.6825931389</v>
      </c>
      <c r="JF24" s="237">
        <f t="shared" si="102"/>
        <v>8955.037682593138</v>
      </c>
      <c r="JG24">
        <v>801.2</v>
      </c>
      <c r="JH24" s="237">
        <f t="shared" si="49"/>
        <v>12430.656759878346</v>
      </c>
      <c r="JK24" s="437">
        <f>SUM(JK21:JK23)</f>
        <v>299193.28086075408</v>
      </c>
      <c r="JL24" s="437">
        <f>SUM(JL21:JL23)</f>
        <v>300682.56197295716</v>
      </c>
      <c r="JM24" s="437">
        <f>SUM(JM21:JM23)</f>
        <v>266651.15133898892</v>
      </c>
      <c r="JP24" s="419" t="s">
        <v>729</v>
      </c>
      <c r="JQ24" s="413">
        <v>6597</v>
      </c>
      <c r="JR24" s="413">
        <v>1949</v>
      </c>
      <c r="JS24" s="412">
        <v>0.3</v>
      </c>
      <c r="JT24" s="411">
        <v>33.68</v>
      </c>
      <c r="JU24" s="420">
        <v>12293</v>
      </c>
      <c r="JW24" s="95">
        <f t="shared" si="183"/>
        <v>2.4468223207165775E-2</v>
      </c>
      <c r="JX24" s="95">
        <f t="shared" si="183"/>
        <v>7.2288262893385009E-3</v>
      </c>
      <c r="JZ24" s="22">
        <f t="shared" si="131"/>
        <v>81.096920999999995</v>
      </c>
      <c r="KA24" s="95">
        <f t="shared" si="11"/>
        <v>1.9460266621831587E-2</v>
      </c>
      <c r="KD24" t="s">
        <v>717</v>
      </c>
      <c r="KE24" s="101">
        <f>KA18</f>
        <v>1.7159932342180346E-2</v>
      </c>
      <c r="KF24" s="22">
        <f t="shared" si="50"/>
        <v>18.239179959822959</v>
      </c>
      <c r="KG24">
        <v>21.22</v>
      </c>
      <c r="KH24">
        <f t="shared" si="154"/>
        <v>0.2122</v>
      </c>
      <c r="KI24">
        <v>0.86499999999999999</v>
      </c>
      <c r="KJ24">
        <f t="shared" si="155"/>
        <v>0.18355299999999999</v>
      </c>
      <c r="KK24">
        <v>43</v>
      </c>
      <c r="KL24">
        <f t="shared" si="156"/>
        <v>7.892779</v>
      </c>
      <c r="KM24">
        <v>73.367479939063315</v>
      </c>
      <c r="KN24">
        <f>2.07749454663654/1000</f>
        <v>2.0774945466365403E-3</v>
      </c>
      <c r="KO24">
        <f>2.35970659533889/1000</f>
        <v>2.3597065953388898E-3</v>
      </c>
      <c r="KP24" s="22">
        <f t="shared" si="54"/>
        <v>143.95781656411148</v>
      </c>
      <c r="KQ24" s="22">
        <f t="shared" si="55"/>
        <v>10561.822218838806</v>
      </c>
      <c r="KR24" s="22">
        <f t="shared" si="56"/>
        <v>0.29907157885764502</v>
      </c>
      <c r="KS24" s="22">
        <f t="shared" si="57"/>
        <v>0.33969820919691995</v>
      </c>
      <c r="KT24" s="437">
        <f t="shared" si="58"/>
        <v>10660.216248484003</v>
      </c>
      <c r="KU24">
        <v>2.72</v>
      </c>
      <c r="KV24">
        <f t="shared" si="59"/>
        <v>10527362.845930455</v>
      </c>
      <c r="KW24" s="237">
        <f t="shared" si="157"/>
        <v>10527.362845930455</v>
      </c>
      <c r="KX24">
        <v>801.2</v>
      </c>
      <c r="KY24" s="237">
        <f t="shared" si="61"/>
        <v>14613.230983810156</v>
      </c>
      <c r="LB24" s="437">
        <f>SUM(LB21:LB23)</f>
        <v>277197.37191233994</v>
      </c>
      <c r="LC24" s="437">
        <f>SUM(LC21:LC23)</f>
        <v>276756.79048803076</v>
      </c>
      <c r="LD24" s="437">
        <f>SUM(LD21:LD23)</f>
        <v>247513.05197933945</v>
      </c>
      <c r="LF24" s="97" t="s">
        <v>709</v>
      </c>
      <c r="LG24" s="104">
        <v>1386</v>
      </c>
      <c r="LH24" s="98">
        <v>759</v>
      </c>
      <c r="LI24" s="99">
        <v>0.55000000000000004</v>
      </c>
      <c r="LJ24" s="98">
        <v>70.17</v>
      </c>
      <c r="LK24" s="100">
        <v>25613</v>
      </c>
      <c r="LL24" s="95">
        <f t="shared" si="184"/>
        <v>4.4029352901934623E-3</v>
      </c>
      <c r="LM24" s="95">
        <f t="shared" si="185"/>
        <v>-8.658008658008658E-3</v>
      </c>
      <c r="LN24" s="95">
        <f t="shared" si="185"/>
        <v>0</v>
      </c>
      <c r="LP24" s="22">
        <f t="shared" si="186"/>
        <v>-0.30735600000000002</v>
      </c>
      <c r="LQ24" s="95">
        <f t="shared" si="13"/>
        <v>-7.2357735037402525E-5</v>
      </c>
      <c r="LT24" t="s">
        <v>717</v>
      </c>
      <c r="LU24" s="101">
        <f>LQ18</f>
        <v>1.9369703963901069E-2</v>
      </c>
      <c r="LV24" s="22">
        <f t="shared" si="62"/>
        <v>23.165893598759915</v>
      </c>
      <c r="LW24">
        <v>21.22</v>
      </c>
      <c r="LX24">
        <f t="shared" si="158"/>
        <v>0.2122</v>
      </c>
      <c r="LY24">
        <v>0.86499999999999999</v>
      </c>
      <c r="LZ24">
        <f t="shared" si="159"/>
        <v>0.18355299999999999</v>
      </c>
      <c r="MA24">
        <v>43</v>
      </c>
      <c r="MB24">
        <f t="shared" si="160"/>
        <v>7.892779</v>
      </c>
      <c r="MC24">
        <v>73.367479939063315</v>
      </c>
      <c r="MD24">
        <f>2.07749454663654/1000</f>
        <v>2.0774945466365403E-3</v>
      </c>
      <c r="ME24">
        <f>2.35970659533889/1000</f>
        <v>2.3597065953388898E-3</v>
      </c>
      <c r="MF24" s="22">
        <f t="shared" si="63"/>
        <v>182.84327851252669</v>
      </c>
      <c r="MG24" s="22">
        <f t="shared" si="64"/>
        <v>13414.75056826037</v>
      </c>
      <c r="MH24" s="22">
        <f t="shared" si="65"/>
        <v>0.37985591399892032</v>
      </c>
      <c r="MI24" s="22">
        <f t="shared" si="66"/>
        <v>0.43145649021939475</v>
      </c>
      <c r="MJ24" s="437">
        <f t="shared" si="67"/>
        <v>13539.722503760479</v>
      </c>
      <c r="MK24">
        <v>2.72</v>
      </c>
      <c r="ML24">
        <f t="shared" si="68"/>
        <v>13370983.130906643</v>
      </c>
      <c r="MM24" s="237">
        <f t="shared" si="161"/>
        <v>13370.983130906643</v>
      </c>
      <c r="MN24">
        <v>801.2</v>
      </c>
      <c r="MO24" s="237">
        <f t="shared" si="69"/>
        <v>18560.513951326444</v>
      </c>
      <c r="MR24" s="437">
        <f>SUM(MR21:MR23)</f>
        <v>315453.94589657709</v>
      </c>
      <c r="MS24" s="437">
        <f>SUM(MS21:MS23)</f>
        <v>309367.6750483365</v>
      </c>
      <c r="MT24" s="437">
        <f>SUM(MT21:MT23)</f>
        <v>276735.12386816205</v>
      </c>
      <c r="MV24" s="419" t="s">
        <v>709</v>
      </c>
      <c r="MW24" s="413">
        <v>1448</v>
      </c>
      <c r="MX24" s="411">
        <v>775</v>
      </c>
      <c r="MY24" s="412">
        <v>0.54</v>
      </c>
      <c r="MZ24" s="411">
        <v>72.069999999999993</v>
      </c>
      <c r="NA24" s="420">
        <v>26304</v>
      </c>
      <c r="NB24" s="95">
        <f t="shared" si="187"/>
        <v>4.5998919914863878E-3</v>
      </c>
      <c r="NC24" s="95">
        <f t="shared" si="188"/>
        <v>2.7624309392265192E-3</v>
      </c>
      <c r="ND24" s="95">
        <f t="shared" si="188"/>
        <v>0</v>
      </c>
      <c r="NF24" s="22">
        <f t="shared" si="189"/>
        <v>0.105216</v>
      </c>
      <c r="NG24" s="95">
        <f t="shared" si="16"/>
        <v>2.4769945762227983E-5</v>
      </c>
      <c r="NJ24" t="s">
        <v>717</v>
      </c>
      <c r="NK24" s="101">
        <f>NG18</f>
        <v>1.8995180717202916E-2</v>
      </c>
      <c r="NL24" s="22">
        <f t="shared" si="70"/>
        <v>22.468854065990833</v>
      </c>
      <c r="NM24">
        <v>21.22</v>
      </c>
      <c r="NN24">
        <f t="shared" si="162"/>
        <v>0.2122</v>
      </c>
      <c r="NO24">
        <v>0.86499999999999999</v>
      </c>
      <c r="NP24">
        <f t="shared" si="163"/>
        <v>0.18355299999999999</v>
      </c>
      <c r="NQ24">
        <v>43</v>
      </c>
      <c r="NR24">
        <f t="shared" si="164"/>
        <v>7.892779</v>
      </c>
      <c r="NS24">
        <v>73.367479939063315</v>
      </c>
      <c r="NT24">
        <f>2.07749454663654/1000</f>
        <v>2.0774945466365403E-3</v>
      </c>
      <c r="NU24">
        <f>2.35970659533889/1000</f>
        <v>2.3597065953388898E-3</v>
      </c>
      <c r="NV24" s="22">
        <f t="shared" si="71"/>
        <v>177.34169952611705</v>
      </c>
      <c r="NW24" s="22">
        <f t="shared" si="72"/>
        <v>13011.113582341788</v>
      </c>
      <c r="NX24" s="22">
        <f t="shared" si="73"/>
        <v>0.3684264136567641</v>
      </c>
      <c r="NY24" s="22">
        <f t="shared" si="74"/>
        <v>0.41847437800038606</v>
      </c>
      <c r="NZ24" s="437">
        <f t="shared" si="75"/>
        <v>13132.325232094279</v>
      </c>
      <c r="OA24">
        <v>2.72</v>
      </c>
      <c r="OB24">
        <f t="shared" si="76"/>
        <v>12968663.065224854</v>
      </c>
      <c r="OC24" s="237">
        <f t="shared" si="165"/>
        <v>12968.663065224855</v>
      </c>
      <c r="OD24">
        <v>801.2</v>
      </c>
      <c r="OE24" s="237">
        <f t="shared" si="77"/>
        <v>18002.045877671855</v>
      </c>
      <c r="OH24" s="437">
        <f>SUM(OH21:OH23)</f>
        <v>305435.12733143719</v>
      </c>
      <c r="OI24" s="437">
        <f>SUM(OI21:OI23)</f>
        <v>303090.32750721299</v>
      </c>
      <c r="OJ24" s="437">
        <f>SUM(OJ21:OJ23)</f>
        <v>271714.51196775009</v>
      </c>
      <c r="OM24" s="437">
        <f>SUM(OM21:OM23)</f>
        <v>297103.6028284381</v>
      </c>
      <c r="ON24" s="437">
        <f>SUM(ON21:ON23)</f>
        <v>294822.76341820043</v>
      </c>
      <c r="OO24" s="437">
        <f>SUM(OO21:OO23)</f>
        <v>264302.8035173883</v>
      </c>
      <c r="OR24" s="437">
        <f>SUM(OR21:OR23)</f>
        <v>275088.97737766476</v>
      </c>
      <c r="OS24" s="437">
        <f>SUM(OS21:OS23)</f>
        <v>272977.14239837893</v>
      </c>
      <c r="OT24" s="437">
        <f>SUM(OT21:OT23)</f>
        <v>244718.63432646624</v>
      </c>
    </row>
    <row r="25" spans="1:410" ht="16.5" customHeight="1" thickBot="1" x14ac:dyDescent="0.5">
      <c r="A25" s="981"/>
      <c r="B25" s="159" t="s">
        <v>715</v>
      </c>
      <c r="C25" s="160">
        <v>40907</v>
      </c>
      <c r="D25" s="161">
        <v>40671</v>
      </c>
      <c r="E25" s="162">
        <v>37501</v>
      </c>
      <c r="F25" s="163">
        <v>119079</v>
      </c>
      <c r="G25" s="200">
        <v>230187</v>
      </c>
      <c r="H25" s="1037"/>
      <c r="I25" s="180">
        <v>2.7659146862282068E-2</v>
      </c>
      <c r="J25" s="181">
        <v>6.4039269095448867E-2</v>
      </c>
      <c r="K25" s="182">
        <v>6.2061931004768756E-2</v>
      </c>
      <c r="L25" s="183">
        <v>6.2061931004768756E-2</v>
      </c>
      <c r="M25" s="292">
        <v>6.2343124549252948E-2</v>
      </c>
      <c r="N25" s="870"/>
      <c r="O25" s="206"/>
      <c r="P25" s="206"/>
      <c r="Q25" s="206"/>
      <c r="S25" s="115">
        <v>2019</v>
      </c>
      <c r="T25" s="107">
        <f>$M$205</f>
        <v>1.1087125087072547E-2</v>
      </c>
      <c r="U25" s="85">
        <f t="shared" si="175"/>
        <v>5.6256377830709896</v>
      </c>
      <c r="V25" s="438">
        <f t="shared" si="147"/>
        <v>1334.6825640335924</v>
      </c>
      <c r="W25" s="83">
        <f t="shared" si="148"/>
        <v>35.160236144193682</v>
      </c>
      <c r="X25" s="83">
        <f t="shared" si="166"/>
        <v>1812.383306401736</v>
      </c>
      <c r="Y25" s="438">
        <f t="shared" si="167"/>
        <v>1178.0491491611285</v>
      </c>
      <c r="Z25">
        <f>1155600+96100+48200</f>
        <v>1299900</v>
      </c>
      <c r="AA25">
        <f t="shared" ref="AA25:AA29" si="196">Z25/10^6*$AA$16</f>
        <v>6.4605030000000001</v>
      </c>
      <c r="AB25" s="237">
        <f>AA25/$W$16/$X$16*$Y$16</f>
        <v>1352.8759503865979</v>
      </c>
      <c r="AC25" s="16">
        <f>938000+85000+43000</f>
        <v>1066000</v>
      </c>
      <c r="AD25">
        <f t="shared" si="151"/>
        <v>5.4245329999999994</v>
      </c>
      <c r="AE25" s="16">
        <f t="shared" si="152"/>
        <v>1708.7278949999998</v>
      </c>
      <c r="AF25" s="237">
        <f t="shared" si="153"/>
        <v>1110.6731317499998</v>
      </c>
      <c r="AG25" s="237"/>
      <c r="AH25" s="237"/>
      <c r="AI25" s="237"/>
      <c r="AJ25" s="237"/>
      <c r="AK25" s="697" t="s">
        <v>762</v>
      </c>
      <c r="AL25" s="695"/>
      <c r="AO25" s="237"/>
      <c r="AP25" s="747" t="s">
        <v>734</v>
      </c>
      <c r="AQ25" s="739">
        <v>7625</v>
      </c>
      <c r="AR25" s="742">
        <v>3199</v>
      </c>
      <c r="AS25" s="774">
        <f>AR25/AQ25</f>
        <v>0.41954098360655739</v>
      </c>
      <c r="AT25" s="740">
        <v>48.2</v>
      </c>
      <c r="AU25" s="738">
        <v>17580</v>
      </c>
      <c r="AV25" s="237"/>
      <c r="AW25" s="621">
        <f t="shared" si="191"/>
        <v>8.8655574546257859E-2</v>
      </c>
      <c r="AX25" s="621">
        <f t="shared" si="192"/>
        <v>5.9646113400331886E-2</v>
      </c>
      <c r="AY25">
        <f t="shared" si="143"/>
        <v>134.04750000000001</v>
      </c>
      <c r="BA25" s="95">
        <f t="shared" si="17"/>
        <v>0.102690496760696</v>
      </c>
      <c r="BB25" s="95"/>
      <c r="BC25" s="95"/>
      <c r="BE25" t="s">
        <v>717</v>
      </c>
      <c r="BF25" s="101">
        <f>BA18</f>
        <v>2.217757126018367E-2</v>
      </c>
      <c r="BG25" s="22">
        <f t="shared" si="78"/>
        <v>25.695859929149254</v>
      </c>
      <c r="BH25">
        <v>21.22</v>
      </c>
      <c r="BI25">
        <f t="shared" si="123"/>
        <v>0.2122</v>
      </c>
      <c r="BJ25">
        <v>0.86499999999999999</v>
      </c>
      <c r="BK25">
        <f t="shared" si="124"/>
        <v>0.18355299999999999</v>
      </c>
      <c r="BL25">
        <v>43</v>
      </c>
      <c r="BM25">
        <f t="shared" si="79"/>
        <v>7.892779</v>
      </c>
      <c r="BN25">
        <v>73.510933419406996</v>
      </c>
      <c r="BO25">
        <v>4.2902402724440002E-5</v>
      </c>
      <c r="BP25">
        <v>1.9977997001881498E-3</v>
      </c>
      <c r="BQ25" s="22">
        <f t="shared" si="170"/>
        <v>202.81174363573072</v>
      </c>
      <c r="BR25" s="22">
        <f t="shared" si="120"/>
        <v>14908.880583080041</v>
      </c>
      <c r="BS25" s="22">
        <f t="shared" si="81"/>
        <v>8.7011111027060009E-3</v>
      </c>
      <c r="BT25" s="22">
        <f t="shared" si="82"/>
        <v>0.40517724063009875</v>
      </c>
      <c r="BU25" s="437">
        <f t="shared" si="171"/>
        <v>15016.496182957893</v>
      </c>
      <c r="BV25">
        <v>2.72</v>
      </c>
      <c r="BW25">
        <f t="shared" si="111"/>
        <v>14831239.217346083</v>
      </c>
      <c r="BX25" s="237">
        <f t="shared" si="83"/>
        <v>14831.239217346083</v>
      </c>
      <c r="BY25">
        <v>766</v>
      </c>
      <c r="BZ25" s="237">
        <f t="shared" si="84"/>
        <v>19683.028705728328</v>
      </c>
      <c r="CA25" s="237"/>
      <c r="CB25" s="237"/>
      <c r="CG25" s="237"/>
      <c r="CH25" s="237"/>
      <c r="CI25" s="701" t="s">
        <v>285</v>
      </c>
      <c r="CJ25" s="695">
        <v>7016</v>
      </c>
      <c r="CM25" s="237"/>
      <c r="CN25" s="747" t="s">
        <v>734</v>
      </c>
      <c r="CO25" s="739">
        <v>7625</v>
      </c>
      <c r="CP25" s="742">
        <v>3199</v>
      </c>
      <c r="CQ25" s="774">
        <f>CP25/CO25</f>
        <v>0.41954098360655739</v>
      </c>
      <c r="CR25" s="740">
        <v>48.2</v>
      </c>
      <c r="CS25" s="738">
        <v>17580</v>
      </c>
      <c r="CT25" s="237"/>
      <c r="CU25" s="621">
        <f t="shared" si="194"/>
        <v>8.8655574546257859E-2</v>
      </c>
      <c r="CV25" s="621">
        <f t="shared" si="195"/>
        <v>5.9646113400331886E-2</v>
      </c>
      <c r="CW25">
        <f t="shared" si="176"/>
        <v>134.04750000000001</v>
      </c>
      <c r="CY25" s="95">
        <f t="shared" si="18"/>
        <v>0.102690496760696</v>
      </c>
      <c r="CZ25" s="95"/>
      <c r="DA25" s="95"/>
      <c r="DC25" t="s">
        <v>717</v>
      </c>
      <c r="DD25" s="101">
        <f>CY18</f>
        <v>2.217757126018367E-2</v>
      </c>
      <c r="DE25" s="22">
        <f t="shared" si="85"/>
        <v>25.695859929149254</v>
      </c>
      <c r="DF25">
        <v>21.22</v>
      </c>
      <c r="DG25">
        <f t="shared" si="126"/>
        <v>0.2122</v>
      </c>
      <c r="DH25">
        <v>0.86499999999999999</v>
      </c>
      <c r="DI25">
        <f t="shared" si="127"/>
        <v>0.18355299999999999</v>
      </c>
      <c r="DJ25">
        <v>43</v>
      </c>
      <c r="DK25">
        <f t="shared" si="86"/>
        <v>7.892779</v>
      </c>
      <c r="DL25">
        <v>73.510933419406996</v>
      </c>
      <c r="DM25">
        <v>4.2902402724440002E-5</v>
      </c>
      <c r="DN25">
        <v>1.9977997001881498E-3</v>
      </c>
      <c r="DO25" s="22">
        <f t="shared" si="121"/>
        <v>202.81174363573072</v>
      </c>
      <c r="DP25" s="22">
        <f t="shared" si="87"/>
        <v>14908.880583080041</v>
      </c>
      <c r="DQ25" s="22">
        <f t="shared" si="88"/>
        <v>8.7011111027060009E-3</v>
      </c>
      <c r="DR25" s="22">
        <f t="shared" si="89"/>
        <v>0.40517724063009875</v>
      </c>
      <c r="DS25" s="437">
        <f t="shared" si="21"/>
        <v>15016.496182957893</v>
      </c>
      <c r="DT25">
        <v>2.72</v>
      </c>
      <c r="DU25">
        <f t="shared" si="112"/>
        <v>14831239.217346083</v>
      </c>
      <c r="DV25" s="237">
        <f t="shared" si="90"/>
        <v>14831.239217346083</v>
      </c>
      <c r="DW25">
        <v>766</v>
      </c>
      <c r="DX25" s="237">
        <f t="shared" si="91"/>
        <v>19683.028705728328</v>
      </c>
      <c r="DY25" s="237"/>
      <c r="DZ25" s="237"/>
      <c r="EE25" s="237"/>
      <c r="EF25" s="237"/>
      <c r="EG25" s="237"/>
      <c r="EH25" s="237"/>
      <c r="EI25" s="237"/>
      <c r="EJ25" s="564" t="s">
        <v>734</v>
      </c>
      <c r="EK25" s="562">
        <v>21450</v>
      </c>
      <c r="EL25" s="562">
        <v>5960</v>
      </c>
      <c r="EM25" s="563">
        <v>0.28000000000000003</v>
      </c>
      <c r="EN25" s="564">
        <v>42.47</v>
      </c>
      <c r="EO25" s="571">
        <v>15502</v>
      </c>
      <c r="EP25" s="237"/>
      <c r="EQ25" s="621">
        <f t="shared" si="177"/>
        <v>7.9557888099697716E-2</v>
      </c>
      <c r="ER25" s="621">
        <f t="shared" si="177"/>
        <v>2.2105595015114145E-2</v>
      </c>
      <c r="ES25">
        <f t="shared" si="128"/>
        <v>332.5179</v>
      </c>
      <c r="EU25" s="95">
        <f t="shared" si="6"/>
        <v>6.6911955386699612E-2</v>
      </c>
      <c r="EV25" s="95">
        <f t="shared" si="178"/>
        <v>8.2722885400426077E-2</v>
      </c>
      <c r="EW25" s="237"/>
      <c r="EX25" t="str">
        <f>EJ20</f>
        <v>Vörubifreiðar ≤12t</v>
      </c>
      <c r="EY25" t="s">
        <v>717</v>
      </c>
      <c r="EZ25" s="101">
        <f>EV18</f>
        <v>9.3138105854420158E-2</v>
      </c>
      <c r="FA25" s="22">
        <f t="shared" si="172"/>
        <v>20.865334948996935</v>
      </c>
      <c r="FB25">
        <v>21.22</v>
      </c>
      <c r="FC25">
        <f t="shared" si="23"/>
        <v>0.2122</v>
      </c>
      <c r="FD25">
        <v>0.86499999999999999</v>
      </c>
      <c r="FE25">
        <f t="shared" si="24"/>
        <v>0.18355299999999999</v>
      </c>
      <c r="FF25">
        <v>43</v>
      </c>
      <c r="FG25">
        <f t="shared" si="25"/>
        <v>7.892779</v>
      </c>
      <c r="FH25">
        <v>73.510933419406996</v>
      </c>
      <c r="FI25">
        <v>4.2902402724440002E-5</v>
      </c>
      <c r="FJ25">
        <v>1.9977997001881498E-3</v>
      </c>
      <c r="FK25" s="22">
        <f t="shared" si="26"/>
        <v>164.68547751340907</v>
      </c>
      <c r="FL25" s="22">
        <f t="shared" si="27"/>
        <v>12106.183172631461</v>
      </c>
      <c r="FM25" s="22">
        <f t="shared" si="28"/>
        <v>7.0654026791469836E-3</v>
      </c>
      <c r="FN25" s="22">
        <f t="shared" si="29"/>
        <v>0.32900859760163093</v>
      </c>
      <c r="FO25" s="437">
        <f t="shared" si="30"/>
        <v>12193.56828227091</v>
      </c>
      <c r="FP25">
        <v>2.72</v>
      </c>
      <c r="FQ25">
        <f t="shared" si="31"/>
        <v>12043137.487201849</v>
      </c>
      <c r="FR25" s="237">
        <f t="shared" si="32"/>
        <v>12043.13748720185</v>
      </c>
      <c r="FS25">
        <v>801.2</v>
      </c>
      <c r="FT25" s="237">
        <f t="shared" si="33"/>
        <v>16717.306361136343</v>
      </c>
      <c r="FV25" s="237"/>
      <c r="FW25"/>
      <c r="FX25"/>
      <c r="FY25"/>
      <c r="FZ25"/>
      <c r="GA25"/>
      <c r="GB25"/>
      <c r="GC25"/>
      <c r="GD25" s="237"/>
      <c r="GF25" s="564" t="s">
        <v>734</v>
      </c>
      <c r="GG25" s="562">
        <v>19260</v>
      </c>
      <c r="GH25" s="562">
        <v>4365</v>
      </c>
      <c r="GI25" s="563">
        <v>0.23</v>
      </c>
      <c r="GJ25" s="564">
        <v>42.37</v>
      </c>
      <c r="GK25" s="571">
        <v>15466</v>
      </c>
      <c r="GM25" s="95">
        <f t="shared" si="179"/>
        <v>7.1435194629378931E-2</v>
      </c>
      <c r="GN25" s="95">
        <f t="shared" si="179"/>
        <v>1.6189752053854572E-2</v>
      </c>
      <c r="GP25" s="22">
        <f>GK25*GG25/1000000</f>
        <v>297.87515999999999</v>
      </c>
      <c r="GQ25" s="95">
        <f t="shared" si="8"/>
        <v>6.062514316659301E-2</v>
      </c>
      <c r="GR25" s="95">
        <f t="shared" si="180"/>
        <v>7.4825271830508508E-2</v>
      </c>
      <c r="GT25" t="str">
        <f>GF20</f>
        <v>Vörubifreiðar ≤12t</v>
      </c>
      <c r="GU25" t="s">
        <v>675</v>
      </c>
      <c r="GV25" s="101">
        <f>GR13</f>
        <v>3.5495667333250128E-3</v>
      </c>
      <c r="GW25" s="22">
        <f t="shared" si="173"/>
        <v>0.75739650693108629</v>
      </c>
      <c r="GX25">
        <v>25</v>
      </c>
      <c r="GY25">
        <f t="shared" si="92"/>
        <v>0.25</v>
      </c>
      <c r="GZ25">
        <v>0.75</v>
      </c>
      <c r="HA25">
        <f t="shared" si="93"/>
        <v>0.1875</v>
      </c>
      <c r="HB25">
        <v>44.3</v>
      </c>
      <c r="HC25">
        <f t="shared" si="94"/>
        <v>8.3062499999999986</v>
      </c>
      <c r="HD25">
        <v>71.051977446800905</v>
      </c>
      <c r="HE25">
        <v>6.0214126798913805E-3</v>
      </c>
      <c r="HF25">
        <v>1.2119593011540399E-3</v>
      </c>
      <c r="HG25" s="22">
        <f t="shared" si="95"/>
        <v>6.291124735696334</v>
      </c>
      <c r="HH25" s="22">
        <f t="shared" si="36"/>
        <v>446.99685283570722</v>
      </c>
      <c r="HI25" s="22">
        <f t="shared" si="37"/>
        <v>3.7881458254300213E-2</v>
      </c>
      <c r="HJ25" s="22">
        <f t="shared" si="38"/>
        <v>7.6245871381474236E-3</v>
      </c>
      <c r="HK25" s="437">
        <f t="shared" si="39"/>
        <v>450.07804925843669</v>
      </c>
      <c r="HL25">
        <v>2.34</v>
      </c>
      <c r="HM25">
        <f t="shared" si="96"/>
        <v>443076.95655468543</v>
      </c>
      <c r="HN25" s="237">
        <f t="shared" si="97"/>
        <v>443.07695655468541</v>
      </c>
      <c r="HO25">
        <v>512.9</v>
      </c>
      <c r="HP25" s="237">
        <f t="shared" si="98"/>
        <v>388.46866840495409</v>
      </c>
      <c r="HQ25" s="237"/>
      <c r="HV25" s="237"/>
      <c r="HX25" s="502" t="s">
        <v>734</v>
      </c>
      <c r="HY25" s="503">
        <v>14364</v>
      </c>
      <c r="HZ25" s="503">
        <v>2877</v>
      </c>
      <c r="IA25" s="504">
        <v>0.2</v>
      </c>
      <c r="IB25" s="502">
        <v>40.9</v>
      </c>
      <c r="IC25" s="503">
        <v>14930</v>
      </c>
      <c r="IE25" s="95">
        <f t="shared" si="181"/>
        <v>5.327596758340597E-2</v>
      </c>
      <c r="IF25" s="95">
        <f t="shared" si="181"/>
        <v>1.0670771284980436E-2</v>
      </c>
      <c r="IH25" s="22">
        <f>IC25*HY25/1000000</f>
        <v>214.45452</v>
      </c>
      <c r="II25" s="95">
        <f t="shared" si="40"/>
        <v>5.1461166293316048E-2</v>
      </c>
      <c r="IJ25" s="95">
        <f t="shared" si="182"/>
        <v>6.1302828516408864E-2</v>
      </c>
      <c r="IL25" t="str">
        <f>HX20</f>
        <v>Vörubifreiðar ≤12t</v>
      </c>
      <c r="IM25" t="s">
        <v>675</v>
      </c>
      <c r="IN25" s="101">
        <f>IJ13</f>
        <v>6.0988408111908371E-3</v>
      </c>
      <c r="IO25" s="22">
        <f t="shared" si="174"/>
        <v>1.2912780255280727</v>
      </c>
      <c r="IP25">
        <v>25</v>
      </c>
      <c r="IQ25">
        <f t="shared" si="99"/>
        <v>0.25</v>
      </c>
      <c r="IR25">
        <v>0.75</v>
      </c>
      <c r="IS25">
        <f t="shared" si="100"/>
        <v>0.1875</v>
      </c>
      <c r="IT25">
        <v>44.3</v>
      </c>
      <c r="IU25">
        <f t="shared" si="101"/>
        <v>8.3062499999999986</v>
      </c>
      <c r="IV25">
        <v>71.051977446800905</v>
      </c>
      <c r="IW25">
        <v>6.0214126798913805E-3</v>
      </c>
      <c r="IX25">
        <v>1.2119593011540399E-3</v>
      </c>
      <c r="IY25" s="22">
        <f t="shared" si="43"/>
        <v>10.725678099542552</v>
      </c>
      <c r="IZ25" s="22">
        <f t="shared" si="44"/>
        <v>762.08063843034381</v>
      </c>
      <c r="JA25" s="22">
        <f t="shared" si="45"/>
        <v>6.4583734109018812E-2</v>
      </c>
      <c r="JB25" s="22">
        <f t="shared" si="46"/>
        <v>1.2999085333924782E-2</v>
      </c>
      <c r="JC25" s="437">
        <f t="shared" si="47"/>
        <v>767.33374059888638</v>
      </c>
      <c r="JD25">
        <v>2.34</v>
      </c>
      <c r="JE25">
        <f t="shared" si="48"/>
        <v>755397.64493392245</v>
      </c>
      <c r="JF25" s="237">
        <f t="shared" si="102"/>
        <v>755.39764493392249</v>
      </c>
      <c r="JG25">
        <v>512.9</v>
      </c>
      <c r="JH25" s="237">
        <f t="shared" si="49"/>
        <v>662.29649929334846</v>
      </c>
      <c r="JP25" s="417" t="s">
        <v>734</v>
      </c>
      <c r="JQ25" s="408">
        <v>9658</v>
      </c>
      <c r="JR25" s="408">
        <v>1395</v>
      </c>
      <c r="JS25" s="409">
        <v>0.14000000000000001</v>
      </c>
      <c r="JT25" s="410">
        <v>45.12</v>
      </c>
      <c r="JU25" s="418">
        <v>16468</v>
      </c>
      <c r="JW25" s="95">
        <f t="shared" si="183"/>
        <v>3.5821449103351076E-2</v>
      </c>
      <c r="JX25" s="95">
        <f t="shared" si="183"/>
        <v>5.1740444708195015E-3</v>
      </c>
      <c r="JZ25" s="22">
        <f t="shared" si="131"/>
        <v>159.047944</v>
      </c>
      <c r="KA25" s="95">
        <f t="shared" si="11"/>
        <v>3.8165633882624714E-2</v>
      </c>
      <c r="KC25" t="str">
        <f>JP20</f>
        <v>Vörubifreiðar ≤12t</v>
      </c>
      <c r="KD25" t="s">
        <v>675</v>
      </c>
      <c r="KE25" s="101">
        <f>KA13</f>
        <v>9.1998387891580686E-4</v>
      </c>
      <c r="KF25" s="22">
        <f t="shared" si="50"/>
        <v>0.97784485352751305</v>
      </c>
      <c r="KG25">
        <v>25</v>
      </c>
      <c r="KH25">
        <f t="shared" si="154"/>
        <v>0.25</v>
      </c>
      <c r="KI25">
        <v>0.75</v>
      </c>
      <c r="KJ25">
        <f t="shared" si="155"/>
        <v>0.1875</v>
      </c>
      <c r="KK25">
        <v>44.3</v>
      </c>
      <c r="KL25">
        <f t="shared" si="156"/>
        <v>8.3062499999999986</v>
      </c>
      <c r="KM25">
        <v>72.513754762763227</v>
      </c>
      <c r="KN25">
        <f>6.43681969225972/1000</f>
        <v>6.4368196922597199E-3</v>
      </c>
      <c r="KO25">
        <f>1.22219082236233/1000</f>
        <v>1.2221908223623299E-3</v>
      </c>
      <c r="KP25" s="22">
        <f t="shared" si="54"/>
        <v>8.1222238146129033</v>
      </c>
      <c r="KQ25" s="22">
        <f t="shared" si="55"/>
        <v>588.97294582111533</v>
      </c>
      <c r="KR25" s="22">
        <f t="shared" si="56"/>
        <v>5.22812901948412E-2</v>
      </c>
      <c r="KS25" s="22">
        <f t="shared" si="57"/>
        <v>9.9269074033926444E-3</v>
      </c>
      <c r="KT25" s="437">
        <f t="shared" si="58"/>
        <v>593.06745240846988</v>
      </c>
      <c r="KU25">
        <v>2.34</v>
      </c>
      <c r="KV25">
        <f t="shared" si="59"/>
        <v>572039.23931359511</v>
      </c>
      <c r="KW25" s="237">
        <f t="shared" si="157"/>
        <v>572.03923931359509</v>
      </c>
      <c r="KX25">
        <v>512.9</v>
      </c>
      <c r="KY25" s="237">
        <f t="shared" si="61"/>
        <v>501.5366253742614</v>
      </c>
      <c r="LF25" s="90" t="s">
        <v>711</v>
      </c>
      <c r="LG25" s="91">
        <v>1792</v>
      </c>
      <c r="LH25" s="93">
        <v>988</v>
      </c>
      <c r="LI25" s="92">
        <v>0.55000000000000004</v>
      </c>
      <c r="LJ25" s="93">
        <v>127.43</v>
      </c>
      <c r="LK25" s="94">
        <v>46511</v>
      </c>
      <c r="LL25" s="95">
        <f t="shared" si="184"/>
        <v>5.6926840115632642E-3</v>
      </c>
      <c r="LM25" s="95">
        <f t="shared" si="185"/>
        <v>1.171875E-2</v>
      </c>
      <c r="LN25" s="95">
        <f t="shared" si="185"/>
        <v>1.0121457489878543E-3</v>
      </c>
      <c r="LP25" s="22">
        <f t="shared" si="186"/>
        <v>0.97673100000000002</v>
      </c>
      <c r="LQ25" s="95">
        <f t="shared" si="13"/>
        <v>2.2994196599649007E-4</v>
      </c>
      <c r="LS25" t="str">
        <f>LF20</f>
        <v>Vörubifreiðar ≤12t</v>
      </c>
      <c r="LT25" t="s">
        <v>675</v>
      </c>
      <c r="LU25" s="101">
        <f>LQ13</f>
        <v>1.1990726857023404E-3</v>
      </c>
      <c r="LV25" s="22">
        <f t="shared" si="62"/>
        <v>1.4340740728886847</v>
      </c>
      <c r="LW25">
        <v>25</v>
      </c>
      <c r="LX25">
        <f t="shared" si="158"/>
        <v>0.25</v>
      </c>
      <c r="LY25">
        <v>0.75</v>
      </c>
      <c r="LZ25">
        <f t="shared" si="159"/>
        <v>0.1875</v>
      </c>
      <c r="MA25">
        <v>44.3</v>
      </c>
      <c r="MB25">
        <f t="shared" si="160"/>
        <v>8.3062499999999986</v>
      </c>
      <c r="MC25">
        <v>72.513754762763227</v>
      </c>
      <c r="MD25">
        <f>6.43681969225972/1000</f>
        <v>6.4368196922597199E-3</v>
      </c>
      <c r="ME25">
        <f>1.22219082236233/1000</f>
        <v>1.2221908223623299E-3</v>
      </c>
      <c r="MF25" s="22">
        <f t="shared" si="63"/>
        <v>11.911777767931635</v>
      </c>
      <c r="MG25" s="22">
        <f t="shared" si="64"/>
        <v>863.7677318523298</v>
      </c>
      <c r="MH25" s="22">
        <f t="shared" si="65"/>
        <v>7.6673965706443886E-2</v>
      </c>
      <c r="MI25" s="22">
        <f t="shared" si="66"/>
        <v>1.4558465465985684E-2</v>
      </c>
      <c r="MJ25" s="437">
        <f t="shared" si="67"/>
        <v>869.77259624059639</v>
      </c>
      <c r="MK25">
        <v>2.34</v>
      </c>
      <c r="ML25">
        <f t="shared" si="68"/>
        <v>838933.33263988048</v>
      </c>
      <c r="MM25" s="237">
        <f t="shared" si="161"/>
        <v>838.93333263988052</v>
      </c>
      <c r="MN25">
        <v>512.9</v>
      </c>
      <c r="MO25" s="237">
        <f t="shared" si="69"/>
        <v>735.53659198460628</v>
      </c>
      <c r="MQ25" s="22"/>
      <c r="MR25" s="22"/>
      <c r="MS25" s="22"/>
      <c r="MT25" s="22"/>
      <c r="MV25" s="417" t="s">
        <v>711</v>
      </c>
      <c r="MW25" s="408">
        <v>1750</v>
      </c>
      <c r="MX25" s="410">
        <v>951</v>
      </c>
      <c r="MY25" s="409">
        <v>0.54</v>
      </c>
      <c r="MZ25" s="410">
        <v>128.04</v>
      </c>
      <c r="NA25" s="418">
        <v>46734</v>
      </c>
      <c r="NB25" s="95">
        <f t="shared" si="187"/>
        <v>5.55926173004225E-3</v>
      </c>
      <c r="NC25" s="95">
        <f t="shared" si="188"/>
        <v>1.2E-2</v>
      </c>
      <c r="ND25" s="95">
        <f t="shared" si="188"/>
        <v>1.0515247108307045E-3</v>
      </c>
      <c r="NF25" s="22">
        <f t="shared" si="189"/>
        <v>0.98141400000000001</v>
      </c>
      <c r="NG25" s="95">
        <f t="shared" si="16"/>
        <v>2.3104443763582739E-4</v>
      </c>
      <c r="NI25" t="str">
        <f>MV20</f>
        <v>Vörubifreiðar ≤12t</v>
      </c>
      <c r="NJ25" t="s">
        <v>675</v>
      </c>
      <c r="NK25" s="101">
        <f>NG13</f>
        <v>9.2119592142013082E-4</v>
      </c>
      <c r="NL25" s="22">
        <f t="shared" si="70"/>
        <v>1.0896562150540434</v>
      </c>
      <c r="NM25">
        <v>25</v>
      </c>
      <c r="NN25">
        <f t="shared" si="162"/>
        <v>0.25</v>
      </c>
      <c r="NO25">
        <v>0.75</v>
      </c>
      <c r="NP25">
        <f t="shared" si="163"/>
        <v>0.1875</v>
      </c>
      <c r="NQ25">
        <v>44.3</v>
      </c>
      <c r="NR25">
        <f t="shared" si="164"/>
        <v>8.3062499999999986</v>
      </c>
      <c r="NS25">
        <v>72.513754762763227</v>
      </c>
      <c r="NT25">
        <f>6.43681969225972/1000</f>
        <v>6.4368196922597199E-3</v>
      </c>
      <c r="NU25">
        <f>1.22219082236233/1000</f>
        <v>1.2221908223623299E-3</v>
      </c>
      <c r="NV25" s="22">
        <f t="shared" si="71"/>
        <v>9.0509569362926463</v>
      </c>
      <c r="NW25" s="22">
        <f t="shared" si="72"/>
        <v>656.31887164665579</v>
      </c>
      <c r="NX25" s="22">
        <f t="shared" si="73"/>
        <v>5.8259377841323207E-2</v>
      </c>
      <c r="NY25" s="22">
        <f t="shared" si="74"/>
        <v>1.1061996501133544E-2</v>
      </c>
      <c r="NZ25" s="437">
        <f t="shared" si="75"/>
        <v>660.88156329901324</v>
      </c>
      <c r="OA25">
        <v>2.34</v>
      </c>
      <c r="OB25">
        <f t="shared" si="76"/>
        <v>637448.88580661546</v>
      </c>
      <c r="OC25" s="237">
        <f t="shared" si="165"/>
        <v>637.44888580661541</v>
      </c>
      <c r="OD25">
        <v>512.9</v>
      </c>
      <c r="OE25" s="237">
        <f t="shared" si="77"/>
        <v>558.88467270121873</v>
      </c>
    </row>
    <row r="26" spans="1:410" ht="16.5" customHeight="1" thickBot="1" x14ac:dyDescent="0.5">
      <c r="A26" s="981"/>
      <c r="B26" s="159" t="s">
        <v>718</v>
      </c>
      <c r="C26" s="160">
        <v>42550</v>
      </c>
      <c r="D26" s="161">
        <v>41844</v>
      </c>
      <c r="E26" s="162">
        <v>39087</v>
      </c>
      <c r="F26" s="163">
        <v>123481</v>
      </c>
      <c r="G26" s="200">
        <v>353668</v>
      </c>
      <c r="H26" s="1037"/>
      <c r="I26" s="180">
        <v>8.2311644706720255E-2</v>
      </c>
      <c r="J26" s="181">
        <v>8.1184996680681562E-2</v>
      </c>
      <c r="K26" s="182">
        <v>8.8449213399812709E-2</v>
      </c>
      <c r="L26" s="183">
        <v>8.8449213399812709E-2</v>
      </c>
      <c r="M26" s="292">
        <v>7.1314415927035579E-2</v>
      </c>
      <c r="N26" s="870"/>
      <c r="O26" s="206"/>
      <c r="P26" s="206"/>
      <c r="Q26" s="206"/>
      <c r="S26" s="115">
        <v>2020</v>
      </c>
      <c r="T26" s="107">
        <f>Q218</f>
        <v>-0.111282641023181</v>
      </c>
      <c r="U26" s="85">
        <f t="shared" ref="U26:U31" si="197">U25*(1+T26)</f>
        <v>4.9996019531310569</v>
      </c>
      <c r="V26" s="438">
        <f t="shared" si="147"/>
        <v>1186.1555633803432</v>
      </c>
      <c r="W26" s="83">
        <f t="shared" si="148"/>
        <v>31.247512207069104</v>
      </c>
      <c r="X26" s="83">
        <f t="shared" ref="X26:X31" si="198">W26/0.0194</f>
        <v>1610.696505519026</v>
      </c>
      <c r="Y26" s="438">
        <f t="shared" ref="Y26:Y31" si="199">X26*$Y$16</f>
        <v>1046.9527285873669</v>
      </c>
      <c r="Z26">
        <f t="shared" ref="Z26:Z31" si="200">Z25*(1+T26)</f>
        <v>1155243.694933967</v>
      </c>
      <c r="AA26">
        <f t="shared" si="196"/>
        <v>5.7415611638218156</v>
      </c>
      <c r="AB26" s="237">
        <f t="shared" si="169"/>
        <v>1202.3243416508312</v>
      </c>
      <c r="AC26" s="16">
        <f t="shared" ref="AC26:AC31" si="201">AC25*(1+T26)</f>
        <v>947372.70466928906</v>
      </c>
      <c r="AD26">
        <f t="shared" si="151"/>
        <v>4.8208766414426005</v>
      </c>
      <c r="AE26" s="16">
        <f t="shared" si="152"/>
        <v>1518.5761420544193</v>
      </c>
      <c r="AF26" s="237">
        <f t="shared" si="153"/>
        <v>987.07449233537261</v>
      </c>
      <c r="AG26" s="237"/>
      <c r="AH26" s="237"/>
      <c r="AI26" s="237"/>
      <c r="AJ26" s="237"/>
      <c r="AK26" s="701" t="s">
        <v>285</v>
      </c>
      <c r="AL26" s="695">
        <v>9352</v>
      </c>
      <c r="AO26" s="237"/>
      <c r="AP26" s="747" t="s">
        <v>739</v>
      </c>
      <c r="AQ26" s="735">
        <v>606</v>
      </c>
      <c r="AR26" s="740">
        <v>136</v>
      </c>
      <c r="AS26" s="774">
        <f>AR26/AQ27</f>
        <v>0.43729903536977494</v>
      </c>
      <c r="AT26" s="740">
        <v>69.8</v>
      </c>
      <c r="AU26" s="738">
        <v>25485</v>
      </c>
      <c r="AV26" s="237"/>
      <c r="AW26" s="621">
        <f t="shared" si="191"/>
        <v>7.0459381213157065E-3</v>
      </c>
      <c r="AX26" s="621">
        <f t="shared" si="192"/>
        <v>2.535752242089758E-3</v>
      </c>
      <c r="AY26">
        <f t="shared" si="143"/>
        <v>15.443910000000001</v>
      </c>
      <c r="BA26" s="95">
        <f t="shared" si="17"/>
        <v>1.1831200058393335E-2</v>
      </c>
      <c r="BB26" s="95"/>
      <c r="BC26" s="95"/>
      <c r="BD26" t="str">
        <f>AP35</f>
        <v>Vörubifreiðar ≤12t</v>
      </c>
      <c r="BE26" t="s">
        <v>675</v>
      </c>
      <c r="BF26" s="101">
        <f>BA13</f>
        <v>6.6234882037559639E-5</v>
      </c>
      <c r="BG26" s="22">
        <f t="shared" si="78"/>
        <v>7.6742499496167155E-2</v>
      </c>
      <c r="BH26">
        <v>25</v>
      </c>
      <c r="BI26">
        <f t="shared" si="123"/>
        <v>0.25</v>
      </c>
      <c r="BJ26">
        <v>0.75</v>
      </c>
      <c r="BK26">
        <f t="shared" si="124"/>
        <v>0.1875</v>
      </c>
      <c r="BL26">
        <v>44.3</v>
      </c>
      <c r="BM26">
        <f t="shared" si="79"/>
        <v>8.3062499999999986</v>
      </c>
      <c r="BN26">
        <v>72.359362764196504</v>
      </c>
      <c r="BO26">
        <v>5.55086147563961E-3</v>
      </c>
      <c r="BP26">
        <v>8.3689723040105996E-4</v>
      </c>
      <c r="BQ26" s="22">
        <f t="shared" si="170"/>
        <v>0.63744238644003837</v>
      </c>
      <c r="BR26" s="22">
        <f t="shared" si="120"/>
        <v>46.124924881689871</v>
      </c>
      <c r="BS26" s="22">
        <f t="shared" si="81"/>
        <v>3.5383543858297857E-3</v>
      </c>
      <c r="BT26" s="22">
        <f t="shared" si="82"/>
        <v>5.3347376775191024E-4</v>
      </c>
      <c r="BU26" s="437">
        <f t="shared" si="171"/>
        <v>46.365369352947361</v>
      </c>
      <c r="BV26">
        <v>2.34</v>
      </c>
      <c r="BW26">
        <f t="shared" si="111"/>
        <v>44894.362205257785</v>
      </c>
      <c r="BX26" s="237">
        <f t="shared" si="83"/>
        <v>44.894362205257785</v>
      </c>
      <c r="BY26">
        <v>509</v>
      </c>
      <c r="BZ26" s="237">
        <f t="shared" si="84"/>
        <v>39.061932243549087</v>
      </c>
      <c r="CA26" s="237"/>
      <c r="CB26" s="237"/>
      <c r="CD26" s="96" t="e">
        <f>(CD24-EC80)/EC80</f>
        <v>#DIV/0!</v>
      </c>
      <c r="CE26" s="96" t="e">
        <f>(CE24-ED80)/ED80</f>
        <v>#DIV/0!</v>
      </c>
      <c r="CF26" s="96" t="e">
        <f>(CF24-EE80)/EE80</f>
        <v>#DIV/0!</v>
      </c>
      <c r="CG26" s="237"/>
      <c r="CH26" s="237"/>
      <c r="CI26" s="701" t="s">
        <v>716</v>
      </c>
      <c r="CJ26" s="695">
        <v>23</v>
      </c>
      <c r="CM26" s="237"/>
      <c r="CN26" s="747" t="s">
        <v>739</v>
      </c>
      <c r="CO26" s="735">
        <v>606</v>
      </c>
      <c r="CP26" s="740">
        <v>136</v>
      </c>
      <c r="CQ26" s="774">
        <f>CP26/CO27</f>
        <v>0.43729903536977494</v>
      </c>
      <c r="CR26" s="740">
        <v>69.8</v>
      </c>
      <c r="CS26" s="738">
        <v>25485</v>
      </c>
      <c r="CT26" s="237"/>
      <c r="CU26" s="621">
        <f t="shared" si="194"/>
        <v>7.0459381213157065E-3</v>
      </c>
      <c r="CV26" s="621">
        <f t="shared" si="195"/>
        <v>2.535752242089758E-3</v>
      </c>
      <c r="CW26">
        <f t="shared" si="176"/>
        <v>15.443910000000001</v>
      </c>
      <c r="CY26" s="95">
        <f t="shared" si="18"/>
        <v>1.1831200058393335E-2</v>
      </c>
      <c r="CZ26" s="95"/>
      <c r="DA26" s="95"/>
      <c r="DB26" t="str">
        <f>CN35</f>
        <v>Vörubifreiðar ≤12t</v>
      </c>
      <c r="DC26" t="s">
        <v>675</v>
      </c>
      <c r="DD26" s="101">
        <f>CY13</f>
        <v>6.6234882037559639E-5</v>
      </c>
      <c r="DE26" s="22">
        <f t="shared" si="85"/>
        <v>7.6742499496167155E-2</v>
      </c>
      <c r="DF26">
        <v>25</v>
      </c>
      <c r="DG26">
        <f t="shared" si="126"/>
        <v>0.25</v>
      </c>
      <c r="DH26">
        <v>0.75</v>
      </c>
      <c r="DI26">
        <f t="shared" si="127"/>
        <v>0.1875</v>
      </c>
      <c r="DJ26">
        <v>44.3</v>
      </c>
      <c r="DK26">
        <f t="shared" si="86"/>
        <v>8.3062499999999986</v>
      </c>
      <c r="DL26">
        <v>72.359362764196504</v>
      </c>
      <c r="DM26">
        <v>5.55086147563961E-3</v>
      </c>
      <c r="DN26">
        <v>8.3689723040105996E-4</v>
      </c>
      <c r="DO26" s="22">
        <f t="shared" si="121"/>
        <v>0.63744238644003837</v>
      </c>
      <c r="DP26" s="22">
        <f t="shared" si="87"/>
        <v>46.124924881689871</v>
      </c>
      <c r="DQ26" s="22">
        <f t="shared" si="88"/>
        <v>3.5383543858297857E-3</v>
      </c>
      <c r="DR26" s="22">
        <f t="shared" si="89"/>
        <v>5.3347376775191024E-4</v>
      </c>
      <c r="DS26" s="437">
        <f t="shared" si="21"/>
        <v>46.365369352947361</v>
      </c>
      <c r="DT26">
        <v>2.34</v>
      </c>
      <c r="DU26">
        <f t="shared" si="112"/>
        <v>44894.362205257785</v>
      </c>
      <c r="DV26" s="237">
        <f t="shared" si="90"/>
        <v>44.894362205257785</v>
      </c>
      <c r="DW26">
        <v>509</v>
      </c>
      <c r="DX26" s="237">
        <f t="shared" si="91"/>
        <v>39.061932243549087</v>
      </c>
      <c r="DY26" s="237"/>
      <c r="DZ26" s="237"/>
      <c r="EB26" s="96">
        <f>(EB24-FZ80)/FZ80</f>
        <v>-6.5994103161492207E-2</v>
      </c>
      <c r="EC26" s="96">
        <f>(EC24-GA80)/GA80</f>
        <v>-4.5859972254220095E-2</v>
      </c>
      <c r="ED26" s="96">
        <f>(ED24-GB80)/GB80</f>
        <v>-7.9770452459437591E-2</v>
      </c>
      <c r="EE26" s="237"/>
      <c r="EF26" s="237"/>
      <c r="EG26" s="237"/>
      <c r="EH26" s="237"/>
      <c r="EI26" s="237"/>
      <c r="EJ26" s="565" t="s">
        <v>739</v>
      </c>
      <c r="EK26" s="567">
        <v>1461</v>
      </c>
      <c r="EL26" s="565">
        <v>123</v>
      </c>
      <c r="EM26" s="566">
        <v>0.08</v>
      </c>
      <c r="EN26" s="565">
        <v>54.24</v>
      </c>
      <c r="EO26" s="573">
        <v>19798</v>
      </c>
      <c r="EP26" s="237"/>
      <c r="EQ26" s="621">
        <f t="shared" si="177"/>
        <v>5.4188379726647258E-3</v>
      </c>
      <c r="ER26" s="621">
        <f t="shared" si="177"/>
        <v>4.5620607162064427E-4</v>
      </c>
      <c r="ES26">
        <f t="shared" si="128"/>
        <v>28.924878</v>
      </c>
      <c r="EU26" s="95">
        <f t="shared" si="6"/>
        <v>5.8204991259169182E-3</v>
      </c>
      <c r="EV26" s="95">
        <f t="shared" si="178"/>
        <v>7.1958513151180892E-3</v>
      </c>
      <c r="EW26" s="237"/>
      <c r="EY26" t="s">
        <v>675</v>
      </c>
      <c r="EZ26" s="101">
        <f>EV13</f>
        <v>2.7887277501838655E-3</v>
      </c>
      <c r="FA26" s="22">
        <f t="shared" si="172"/>
        <v>0.62474685366803095</v>
      </c>
      <c r="FB26">
        <v>25</v>
      </c>
      <c r="FC26">
        <f t="shared" si="23"/>
        <v>0.25</v>
      </c>
      <c r="FD26">
        <v>0.75</v>
      </c>
      <c r="FE26">
        <f t="shared" si="24"/>
        <v>0.1875</v>
      </c>
      <c r="FF26">
        <v>44.3</v>
      </c>
      <c r="FG26">
        <f t="shared" si="25"/>
        <v>8.3062499999999986</v>
      </c>
      <c r="FH26">
        <v>72.359362764196504</v>
      </c>
      <c r="FI26">
        <v>5.55086147563961E-3</v>
      </c>
      <c r="FJ26">
        <v>8.3689723040105996E-4</v>
      </c>
      <c r="FK26" s="22">
        <f t="shared" si="26"/>
        <v>5.1893035532800811</v>
      </c>
      <c r="FL26" s="22">
        <f t="shared" si="27"/>
        <v>375.49469830532729</v>
      </c>
      <c r="FM26" s="22">
        <f t="shared" si="28"/>
        <v>2.8805105179302144E-2</v>
      </c>
      <c r="FN26" s="22">
        <f t="shared" si="29"/>
        <v>4.3429137714504793E-3</v>
      </c>
      <c r="FO26" s="437">
        <f t="shared" si="30"/>
        <v>377.45211339978209</v>
      </c>
      <c r="FP26">
        <v>2.34</v>
      </c>
      <c r="FQ26">
        <f t="shared" si="31"/>
        <v>365476.90939579805</v>
      </c>
      <c r="FR26" s="237">
        <f t="shared" si="32"/>
        <v>365.47690939579803</v>
      </c>
      <c r="FS26">
        <v>512.9</v>
      </c>
      <c r="FT26" s="237">
        <f t="shared" si="33"/>
        <v>320.432661246333</v>
      </c>
      <c r="FV26" s="237"/>
      <c r="FW26"/>
      <c r="FX26" s="96">
        <f>(FX24-HS24)/HS24</f>
        <v>8.5746651830258275E-3</v>
      </c>
      <c r="FY26" s="96">
        <f>(FY24-HT24)/HT24</f>
        <v>1.2118128664262309E-2</v>
      </c>
      <c r="FZ26" s="96">
        <f>(FZ24-HU24)/HU24</f>
        <v>7.762263926398001E-3</v>
      </c>
      <c r="GA26" s="96"/>
      <c r="GB26"/>
      <c r="GC26"/>
      <c r="GD26" s="237"/>
      <c r="GF26" s="565" t="s">
        <v>739</v>
      </c>
      <c r="GG26" s="567">
        <v>1136</v>
      </c>
      <c r="GH26" s="565">
        <v>31</v>
      </c>
      <c r="GI26" s="566">
        <v>0.03</v>
      </c>
      <c r="GJ26" s="565" t="s">
        <v>409</v>
      </c>
      <c r="GK26" s="573" t="s">
        <v>409</v>
      </c>
      <c r="GM26" s="95">
        <f t="shared" si="179"/>
        <v>4.2134154256996091E-3</v>
      </c>
      <c r="GN26" s="95">
        <f t="shared" si="179"/>
        <v>1.1497876601821115E-4</v>
      </c>
      <c r="GP26" s="22">
        <v>0</v>
      </c>
      <c r="GQ26" s="95">
        <f t="shared" si="8"/>
        <v>0</v>
      </c>
      <c r="GR26" s="95">
        <f t="shared" si="180"/>
        <v>0</v>
      </c>
      <c r="GU26" t="s">
        <v>717</v>
      </c>
      <c r="GV26" s="101">
        <f>GR20</f>
        <v>0.10377531624464537</v>
      </c>
      <c r="GW26" s="22">
        <f t="shared" si="173"/>
        <v>22.143283373555995</v>
      </c>
      <c r="GX26">
        <v>21.22</v>
      </c>
      <c r="GY26">
        <f t="shared" si="92"/>
        <v>0.2122</v>
      </c>
      <c r="GZ26">
        <v>0.86499999999999999</v>
      </c>
      <c r="HA26">
        <f t="shared" si="93"/>
        <v>0.18355299999999999</v>
      </c>
      <c r="HB26">
        <v>43</v>
      </c>
      <c r="HC26">
        <f t="shared" si="94"/>
        <v>7.892779</v>
      </c>
      <c r="HD26">
        <v>74.054734089485805</v>
      </c>
      <c r="HE26">
        <v>1.0094332347649E-4</v>
      </c>
      <c r="HF26">
        <v>2.0471581355555601E-3</v>
      </c>
      <c r="HG26" s="22">
        <f t="shared" si="95"/>
        <v>174.7720420018519</v>
      </c>
      <c r="HH26" s="22">
        <f t="shared" si="36"/>
        <v>12942.697096723587</v>
      </c>
      <c r="HI26" s="22">
        <f t="shared" si="37"/>
        <v>1.7642070770439635E-2</v>
      </c>
      <c r="HJ26" s="22">
        <f t="shared" si="38"/>
        <v>0.35778600765174917</v>
      </c>
      <c r="HK26" s="437">
        <f t="shared" si="39"/>
        <v>13038.004366732872</v>
      </c>
      <c r="HL26">
        <v>2.72</v>
      </c>
      <c r="HM26">
        <f t="shared" si="96"/>
        <v>12780748.870682543</v>
      </c>
      <c r="HN26" s="237">
        <f t="shared" si="97"/>
        <v>12780.748870682542</v>
      </c>
      <c r="HO26">
        <v>630.9</v>
      </c>
      <c r="HP26" s="237">
        <f t="shared" si="98"/>
        <v>13970.197480376477</v>
      </c>
      <c r="HQ26" s="237"/>
      <c r="HS26" s="96">
        <f>(HS24-JK24)/JK24</f>
        <v>-1.1714690140154003E-2</v>
      </c>
      <c r="HT26" s="96">
        <f>(HT24-JL24)/JL24</f>
        <v>-6.7037403495696663E-3</v>
      </c>
      <c r="HU26" s="96">
        <f>(HU24-JM24)/JM24</f>
        <v>-4.3174803036524862E-3</v>
      </c>
      <c r="HV26" s="237"/>
      <c r="HX26" s="505" t="s">
        <v>739</v>
      </c>
      <c r="HY26" s="505">
        <v>678</v>
      </c>
      <c r="HZ26" s="505">
        <v>11</v>
      </c>
      <c r="IA26" s="506">
        <v>0.02</v>
      </c>
      <c r="IB26" s="505" t="s">
        <v>409</v>
      </c>
      <c r="IC26" s="505" t="s">
        <v>409</v>
      </c>
      <c r="IE26" s="95">
        <f t="shared" si="181"/>
        <v>2.5146968825918441E-3</v>
      </c>
      <c r="IF26" s="95">
        <f t="shared" si="181"/>
        <v>4.0798916974203957E-5</v>
      </c>
      <c r="IH26" s="22">
        <v>0</v>
      </c>
      <c r="II26" s="95">
        <f t="shared" si="40"/>
        <v>0</v>
      </c>
      <c r="IJ26" s="95">
        <f t="shared" si="182"/>
        <v>0</v>
      </c>
      <c r="IM26" t="s">
        <v>717</v>
      </c>
      <c r="IN26" s="101">
        <f>IJ20</f>
        <v>0.11062585660974619</v>
      </c>
      <c r="IO26" s="22">
        <f t="shared" si="174"/>
        <v>23.422276809270031</v>
      </c>
      <c r="IP26">
        <v>21.22</v>
      </c>
      <c r="IQ26">
        <f t="shared" si="99"/>
        <v>0.2122</v>
      </c>
      <c r="IR26">
        <v>0.86499999999999999</v>
      </c>
      <c r="IS26">
        <f t="shared" si="100"/>
        <v>0.18355299999999999</v>
      </c>
      <c r="IT26">
        <v>43</v>
      </c>
      <c r="IU26">
        <f t="shared" si="101"/>
        <v>7.892779</v>
      </c>
      <c r="IV26">
        <v>74.054734089485805</v>
      </c>
      <c r="IW26">
        <v>1.0094332347649E-4</v>
      </c>
      <c r="IX26">
        <v>2.0471581355555601E-3</v>
      </c>
      <c r="IY26" s="22">
        <f t="shared" si="43"/>
        <v>184.86685453239349</v>
      </c>
      <c r="IZ26" s="22">
        <f t="shared" si="44"/>
        <v>13690.265754356054</v>
      </c>
      <c r="JA26" s="22">
        <f t="shared" si="45"/>
        <v>1.866107469714462E-2</v>
      </c>
      <c r="JB26" s="22">
        <f t="shared" si="46"/>
        <v>0.37845168525055561</v>
      </c>
      <c r="JC26" s="437">
        <f t="shared" si="47"/>
        <v>13791.077961038971</v>
      </c>
      <c r="JD26">
        <v>2.72</v>
      </c>
      <c r="JE26">
        <f t="shared" si="48"/>
        <v>13518963.417881714</v>
      </c>
      <c r="JF26" s="237">
        <f t="shared" si="102"/>
        <v>13518.963417881714</v>
      </c>
      <c r="JG26">
        <v>630.9</v>
      </c>
      <c r="JH26" s="237">
        <f t="shared" si="49"/>
        <v>14777.114438968461</v>
      </c>
      <c r="JK26" s="96">
        <f>(JK24-LB24)/LB24</f>
        <v>7.9351073196213651E-2</v>
      </c>
      <c r="JL26" s="96">
        <f>(JL24-LC24)/LC24</f>
        <v>8.6450530961628372E-2</v>
      </c>
      <c r="JM26" s="96">
        <f>(JM24-LD24)/LD24</f>
        <v>7.7321576404168674E-2</v>
      </c>
      <c r="JP26" s="419" t="s">
        <v>739</v>
      </c>
      <c r="JQ26" s="411">
        <v>198</v>
      </c>
      <c r="JR26" s="411">
        <v>9</v>
      </c>
      <c r="JS26" s="412">
        <v>0.05</v>
      </c>
      <c r="JT26" s="411" t="s">
        <v>409</v>
      </c>
      <c r="JU26" s="421" t="s">
        <v>409</v>
      </c>
      <c r="JW26" s="95">
        <f t="shared" si="183"/>
        <v>7.3438050553567124E-4</v>
      </c>
      <c r="JX26" s="95">
        <f t="shared" si="183"/>
        <v>3.3380932069803238E-5</v>
      </c>
      <c r="JZ26" s="22">
        <v>0</v>
      </c>
      <c r="KA26" s="95">
        <f t="shared" si="11"/>
        <v>0</v>
      </c>
      <c r="KD26" t="s">
        <v>717</v>
      </c>
      <c r="KE26" s="101">
        <f>KA20</f>
        <v>1.8683875927738472E-2</v>
      </c>
      <c r="KF26" s="22">
        <f t="shared" si="50"/>
        <v>19.858969639138255</v>
      </c>
      <c r="KG26">
        <v>21.22</v>
      </c>
      <c r="KH26">
        <f t="shared" si="154"/>
        <v>0.2122</v>
      </c>
      <c r="KI26">
        <v>0.86499999999999999</v>
      </c>
      <c r="KJ26">
        <f t="shared" si="155"/>
        <v>0.18355299999999999</v>
      </c>
      <c r="KK26">
        <v>43</v>
      </c>
      <c r="KL26">
        <f t="shared" si="156"/>
        <v>7.892779</v>
      </c>
      <c r="KM26">
        <v>73.367561400348293</v>
      </c>
      <c r="KN26">
        <f>0.36897495946676/1000</f>
        <v>3.6897495946676E-4</v>
      </c>
      <c r="KO26">
        <f>2.09444904821954/1000</f>
        <v>2.0944490482195399E-3</v>
      </c>
      <c r="KP26" s="22">
        <f t="shared" si="54"/>
        <v>156.74245852942801</v>
      </c>
      <c r="KQ26" s="22">
        <f t="shared" si="55"/>
        <v>11499.811950199355</v>
      </c>
      <c r="KR26" s="22">
        <f t="shared" si="56"/>
        <v>5.7834042282616009E-2</v>
      </c>
      <c r="KS26" s="22">
        <f t="shared" si="57"/>
        <v>0.32828909308255116</v>
      </c>
      <c r="KT26" s="437">
        <f t="shared" si="58"/>
        <v>11588.427913050144</v>
      </c>
      <c r="KU26">
        <v>2.72</v>
      </c>
      <c r="KV26">
        <f t="shared" si="59"/>
        <v>11462279.532196375</v>
      </c>
      <c r="KW26" s="237">
        <f t="shared" si="157"/>
        <v>11462.279532196375</v>
      </c>
      <c r="KX26">
        <v>630.9</v>
      </c>
      <c r="KY26" s="237">
        <f t="shared" si="61"/>
        <v>12529.023945332325</v>
      </c>
      <c r="LB26" s="96">
        <f>(LB24-MR24)/MR24</f>
        <v>-0.12127467252154689</v>
      </c>
      <c r="LC26" s="96">
        <f>(LC24-MS24)/MS24</f>
        <v>-0.10541141557601492</v>
      </c>
      <c r="LD26" s="96">
        <f>(LD24-MT24)/MT24</f>
        <v>-0.10559581841423257</v>
      </c>
      <c r="LF26" s="97" t="s">
        <v>716</v>
      </c>
      <c r="LG26" s="104">
        <v>28939</v>
      </c>
      <c r="LH26" s="104">
        <v>14744</v>
      </c>
      <c r="LI26" s="99">
        <v>0.51</v>
      </c>
      <c r="LJ26" s="98">
        <v>36.94</v>
      </c>
      <c r="LK26" s="100">
        <v>13482</v>
      </c>
      <c r="LL26" s="95">
        <f t="shared" si="184"/>
        <v>9.1931128688967245E-2</v>
      </c>
      <c r="LM26" s="95">
        <f t="shared" si="185"/>
        <v>1.5480839006185425E-2</v>
      </c>
      <c r="LN26" s="95">
        <f t="shared" si="185"/>
        <v>9.4275637547476948E-3</v>
      </c>
      <c r="LP26" s="22">
        <f t="shared" si="186"/>
        <v>6.039936</v>
      </c>
      <c r="LQ26" s="95">
        <f t="shared" si="13"/>
        <v>1.4219214485185546E-3</v>
      </c>
      <c r="LT26" t="s">
        <v>717</v>
      </c>
      <c r="LU26" s="101">
        <f>LQ20</f>
        <v>1.8372467397700678E-2</v>
      </c>
      <c r="LV26" s="22">
        <f t="shared" si="62"/>
        <v>21.97321268693775</v>
      </c>
      <c r="LW26">
        <v>21.22</v>
      </c>
      <c r="LX26">
        <f t="shared" si="158"/>
        <v>0.2122</v>
      </c>
      <c r="LY26">
        <v>0.86499999999999999</v>
      </c>
      <c r="LZ26">
        <f t="shared" si="159"/>
        <v>0.18355299999999999</v>
      </c>
      <c r="MA26">
        <v>43</v>
      </c>
      <c r="MB26">
        <f t="shared" si="160"/>
        <v>7.892779</v>
      </c>
      <c r="MC26">
        <v>73.367561400348293</v>
      </c>
      <c r="MD26">
        <f>0.36897495946676/1000</f>
        <v>3.6897495946676E-4</v>
      </c>
      <c r="ME26">
        <f>2.09444904821954/1000</f>
        <v>2.0944490482195399E-3</v>
      </c>
      <c r="MF26" s="22">
        <f t="shared" si="63"/>
        <v>173.42971165799585</v>
      </c>
      <c r="MG26" s="22">
        <f t="shared" si="64"/>
        <v>12724.115018712711</v>
      </c>
      <c r="MH26" s="22">
        <f t="shared" si="65"/>
        <v>6.3991220829340889E-2</v>
      </c>
      <c r="MI26" s="22">
        <f t="shared" si="66"/>
        <v>0.36323969451507865</v>
      </c>
      <c r="MJ26" s="437">
        <f t="shared" si="67"/>
        <v>12822.165291942429</v>
      </c>
      <c r="MK26">
        <v>2.72</v>
      </c>
      <c r="ML26">
        <f t="shared" si="68"/>
        <v>12682586.791497478</v>
      </c>
      <c r="MM26" s="237">
        <f t="shared" si="161"/>
        <v>12682.586791497479</v>
      </c>
      <c r="MN26">
        <v>630.9</v>
      </c>
      <c r="MO26" s="237">
        <f t="shared" si="69"/>
        <v>13862.899884189026</v>
      </c>
      <c r="MQ26" s="22"/>
      <c r="MR26" s="96">
        <f>(MR24-OH24)/OH24</f>
        <v>3.280178888614918E-2</v>
      </c>
      <c r="MS26" s="96">
        <f>(MS24-OI24)/OI24</f>
        <v>2.0711144406197268E-2</v>
      </c>
      <c r="MT26" s="96">
        <f>(MT24-OJ24)/OJ24</f>
        <v>1.8477525782678299E-2</v>
      </c>
      <c r="MV26" s="419" t="s">
        <v>716</v>
      </c>
      <c r="MW26" s="413">
        <v>28059</v>
      </c>
      <c r="MX26" s="413">
        <v>14602</v>
      </c>
      <c r="MY26" s="412">
        <v>0.52</v>
      </c>
      <c r="MZ26" s="411">
        <v>36.840000000000003</v>
      </c>
      <c r="NA26" s="420">
        <v>13447</v>
      </c>
      <c r="NB26" s="95">
        <f t="shared" si="187"/>
        <v>8.9135614219003151E-2</v>
      </c>
      <c r="NC26" s="95">
        <f t="shared" si="188"/>
        <v>1.340033500837521E-2</v>
      </c>
      <c r="ND26" s="95">
        <f t="shared" si="188"/>
        <v>9.1083413231064243E-3</v>
      </c>
      <c r="NF26" s="22">
        <f t="shared" si="189"/>
        <v>5.0560720000000003</v>
      </c>
      <c r="NG26" s="95">
        <f t="shared" si="16"/>
        <v>1.1903002319981711E-3</v>
      </c>
      <c r="NJ26" t="s">
        <v>717</v>
      </c>
      <c r="NK26" s="101">
        <f>NG20</f>
        <v>1.8574041730215027E-2</v>
      </c>
      <c r="NL26" s="22">
        <f t="shared" si="70"/>
        <v>21.970700845918525</v>
      </c>
      <c r="NM26">
        <v>21.22</v>
      </c>
      <c r="NN26">
        <f t="shared" si="162"/>
        <v>0.2122</v>
      </c>
      <c r="NO26">
        <v>0.86499999999999999</v>
      </c>
      <c r="NP26">
        <f t="shared" si="163"/>
        <v>0.18355299999999999</v>
      </c>
      <c r="NQ26">
        <v>43</v>
      </c>
      <c r="NR26">
        <f t="shared" si="164"/>
        <v>7.892779</v>
      </c>
      <c r="NS26">
        <v>73.367561400348293</v>
      </c>
      <c r="NT26">
        <f>0.36897495946676/1000</f>
        <v>3.6897495946676E-4</v>
      </c>
      <c r="NU26">
        <f>2.09444904821954/1000</f>
        <v>2.0944490482195399E-3</v>
      </c>
      <c r="NV26" s="22">
        <f t="shared" si="71"/>
        <v>173.40988625194797</v>
      </c>
      <c r="NW26" s="22">
        <f t="shared" si="72"/>
        <v>12722.660477017205</v>
      </c>
      <c r="NX26" s="22">
        <f t="shared" si="73"/>
        <v>6.3983905750947964E-2</v>
      </c>
      <c r="NY26" s="22">
        <f t="shared" si="74"/>
        <v>0.36319817121225106</v>
      </c>
      <c r="NZ26" s="437">
        <f t="shared" si="75"/>
        <v>12820.699541749478</v>
      </c>
      <c r="OA26">
        <v>2.72</v>
      </c>
      <c r="OB26">
        <f t="shared" si="76"/>
        <v>12681136.997050637</v>
      </c>
      <c r="OC26" s="237">
        <f t="shared" si="165"/>
        <v>12681.136997050637</v>
      </c>
      <c r="OD26">
        <v>630.9</v>
      </c>
      <c r="OE26" s="237">
        <f t="shared" si="77"/>
        <v>13861.315163689998</v>
      </c>
      <c r="OH26" s="96">
        <f>(OH24-OM24)/OM24</f>
        <v>2.8042488962377592E-2</v>
      </c>
      <c r="OI26" s="96">
        <f>(OI24-ON24)/ON24</f>
        <v>2.8042488962377658E-2</v>
      </c>
      <c r="OJ26" s="96">
        <f>(OJ24-OO24)/OO24</f>
        <v>2.8042488962377519E-2</v>
      </c>
      <c r="OM26" s="96">
        <f>(OM24-OR24)/OR24</f>
        <v>8.0027290299421378E-2</v>
      </c>
      <c r="ON26" s="96">
        <f>(ON24-OS24)/OS24</f>
        <v>8.0027290299421155E-2</v>
      </c>
      <c r="OO26" s="96">
        <f>(OO24-OT24)/OT24</f>
        <v>8.002729029942135E-2</v>
      </c>
    </row>
    <row r="27" spans="1:410" ht="16.5" customHeight="1" thickBot="1" x14ac:dyDescent="0.5">
      <c r="A27" s="981"/>
      <c r="B27" s="159" t="s">
        <v>725</v>
      </c>
      <c r="C27" s="160">
        <v>38387</v>
      </c>
      <c r="D27" s="161">
        <v>39569</v>
      </c>
      <c r="E27" s="162">
        <v>37569</v>
      </c>
      <c r="F27" s="163">
        <v>115525</v>
      </c>
      <c r="G27" s="200">
        <v>469193</v>
      </c>
      <c r="H27" s="1037"/>
      <c r="I27" s="180">
        <v>-5.8474685793451248E-2</v>
      </c>
      <c r="J27" s="181">
        <v>-1.2760188212776139E-3</v>
      </c>
      <c r="K27" s="182">
        <v>-2.8704408751996091E-2</v>
      </c>
      <c r="L27" s="183">
        <v>-2.8704408751996091E-2</v>
      </c>
      <c r="M27" s="292">
        <v>4.4823455965850467E-2</v>
      </c>
      <c r="N27" s="870"/>
      <c r="O27" s="206"/>
      <c r="P27" s="206"/>
      <c r="Q27" s="206"/>
      <c r="S27" s="115">
        <v>2021</v>
      </c>
      <c r="T27" s="107">
        <f>$Q$231</f>
        <v>8.9446275547067716E-2</v>
      </c>
      <c r="U27" s="85">
        <f t="shared" si="197"/>
        <v>5.4467977270564756</v>
      </c>
      <c r="V27" s="438">
        <f>U27*365*0.65</f>
        <v>1292.2527607441489</v>
      </c>
      <c r="W27" s="83">
        <f>U27/0.16</f>
        <v>34.042485794102973</v>
      </c>
      <c r="X27" s="83">
        <f t="shared" si="198"/>
        <v>1754.7673089743801</v>
      </c>
      <c r="Y27" s="438">
        <f t="shared" si="199"/>
        <v>1140.5987508333471</v>
      </c>
      <c r="Z27">
        <f t="shared" si="200"/>
        <v>1258575.9407950433</v>
      </c>
      <c r="AA27">
        <f t="shared" si="196"/>
        <v>6.255122425751364</v>
      </c>
      <c r="AB27" s="237">
        <f t="shared" si="169"/>
        <v>1309.8677760110781</v>
      </c>
      <c r="AC27" s="16">
        <f t="shared" si="201"/>
        <v>1032111.6646569091</v>
      </c>
      <c r="AD27">
        <f t="shared" si="151"/>
        <v>5.2520861018914973</v>
      </c>
      <c r="AE27" s="16">
        <f t="shared" si="152"/>
        <v>1654.4071220958217</v>
      </c>
      <c r="AF27" s="237">
        <f t="shared" si="153"/>
        <v>1075.3646293622842</v>
      </c>
      <c r="AG27" s="237"/>
      <c r="AH27" s="237"/>
      <c r="AI27" s="237"/>
      <c r="AJ27" s="237"/>
      <c r="AK27" s="701" t="s">
        <v>716</v>
      </c>
      <c r="AL27" s="695">
        <v>61</v>
      </c>
      <c r="AO27" s="237"/>
      <c r="AP27" s="747" t="s">
        <v>751</v>
      </c>
      <c r="AQ27" s="739">
        <v>311</v>
      </c>
      <c r="AR27" s="740">
        <v>155</v>
      </c>
      <c r="AS27" s="774">
        <f>AR27/AQ27</f>
        <v>0.49839228295819937</v>
      </c>
      <c r="AT27" s="740">
        <v>42.1</v>
      </c>
      <c r="AU27" s="738">
        <v>15378</v>
      </c>
      <c r="AV27" s="237"/>
      <c r="AW27" s="621">
        <f t="shared" si="191"/>
        <v>3.6159847454276979E-3</v>
      </c>
      <c r="AX27" s="621">
        <f t="shared" si="192"/>
        <v>2.8900117464993567E-3</v>
      </c>
      <c r="AY27">
        <f t="shared" si="143"/>
        <v>4.7825579999999999</v>
      </c>
      <c r="BA27" s="95">
        <f>AY27/$CW$37</f>
        <v>3.6638001962501403E-3</v>
      </c>
      <c r="BB27" s="95"/>
      <c r="BC27" s="95"/>
      <c r="BE27" t="s">
        <v>717</v>
      </c>
      <c r="BF27" s="101">
        <f>BA20</f>
        <v>1.0787749393559365E-2</v>
      </c>
      <c r="BG27" s="22">
        <f t="shared" si="78"/>
        <v>12.499136813296415</v>
      </c>
      <c r="BH27">
        <v>21.22</v>
      </c>
      <c r="BI27">
        <f t="shared" si="123"/>
        <v>0.2122</v>
      </c>
      <c r="BJ27">
        <v>0.86499999999999999</v>
      </c>
      <c r="BK27">
        <f t="shared" si="124"/>
        <v>0.18355299999999999</v>
      </c>
      <c r="BL27">
        <v>43</v>
      </c>
      <c r="BM27">
        <f t="shared" si="79"/>
        <v>7.892779</v>
      </c>
      <c r="BN27">
        <v>73.510933419407394</v>
      </c>
      <c r="BO27">
        <v>8.2398639563294998E-4</v>
      </c>
      <c r="BP27">
        <v>3.54663097127342E-3</v>
      </c>
      <c r="BQ27" s="22">
        <f t="shared" si="170"/>
        <v>98.652924558112872</v>
      </c>
      <c r="BR27" s="22">
        <f t="shared" si="120"/>
        <v>7252.0685688212561</v>
      </c>
      <c r="BS27" s="22">
        <f t="shared" si="81"/>
        <v>8.1288667725288755E-2</v>
      </c>
      <c r="BT27" s="22">
        <f t="shared" si="82"/>
        <v>0.34988551764450326</v>
      </c>
      <c r="BU27" s="437">
        <f t="shared" si="171"/>
        <v>7347.0643136933568</v>
      </c>
      <c r="BV27">
        <v>2.72</v>
      </c>
      <c r="BW27">
        <f t="shared" si="111"/>
        <v>7214301.7824456785</v>
      </c>
      <c r="BX27" s="237">
        <f t="shared" si="83"/>
        <v>7214.3017824456783</v>
      </c>
      <c r="BY27">
        <v>650</v>
      </c>
      <c r="BZ27" s="237">
        <f t="shared" si="84"/>
        <v>8124.4389286426695</v>
      </c>
      <c r="CA27" s="237"/>
      <c r="CB27" s="237"/>
      <c r="CG27" s="237"/>
      <c r="CH27" s="237"/>
      <c r="CI27" s="697" t="s">
        <v>732</v>
      </c>
      <c r="CJ27" s="695"/>
      <c r="CM27" s="237"/>
      <c r="CN27" s="747" t="s">
        <v>751</v>
      </c>
      <c r="CO27" s="739">
        <v>311</v>
      </c>
      <c r="CP27" s="740">
        <v>155</v>
      </c>
      <c r="CQ27" s="774">
        <f>CP27/CO27</f>
        <v>0.49839228295819937</v>
      </c>
      <c r="CR27" s="740">
        <v>42.1</v>
      </c>
      <c r="CS27" s="738">
        <v>15378</v>
      </c>
      <c r="CT27" s="237"/>
      <c r="CU27" s="621">
        <f t="shared" si="194"/>
        <v>3.6159847454276979E-3</v>
      </c>
      <c r="CV27" s="621">
        <f t="shared" si="195"/>
        <v>2.8900117464993567E-3</v>
      </c>
      <c r="CW27">
        <f t="shared" si="176"/>
        <v>4.7825579999999999</v>
      </c>
      <c r="CY27" s="95">
        <f>CW27/$CW$37</f>
        <v>3.6638001962501403E-3</v>
      </c>
      <c r="CZ27" s="95"/>
      <c r="DA27" s="95"/>
      <c r="DC27" t="s">
        <v>717</v>
      </c>
      <c r="DD27" s="101">
        <f>CY20</f>
        <v>1.0787749393559365E-2</v>
      </c>
      <c r="DE27" s="22">
        <f t="shared" si="85"/>
        <v>12.499136813296415</v>
      </c>
      <c r="DF27">
        <v>21.22</v>
      </c>
      <c r="DG27">
        <f t="shared" si="126"/>
        <v>0.2122</v>
      </c>
      <c r="DH27">
        <v>0.86499999999999999</v>
      </c>
      <c r="DI27">
        <f t="shared" si="127"/>
        <v>0.18355299999999999</v>
      </c>
      <c r="DJ27">
        <v>43</v>
      </c>
      <c r="DK27">
        <f t="shared" si="86"/>
        <v>7.892779</v>
      </c>
      <c r="DL27">
        <v>73.510933419407394</v>
      </c>
      <c r="DM27">
        <v>8.2398639563294998E-4</v>
      </c>
      <c r="DN27">
        <v>3.54663097127342E-3</v>
      </c>
      <c r="DO27" s="22">
        <f t="shared" si="121"/>
        <v>98.652924558112872</v>
      </c>
      <c r="DP27" s="22">
        <f t="shared" si="87"/>
        <v>7252.0685688212561</v>
      </c>
      <c r="DQ27" s="22">
        <f t="shared" si="88"/>
        <v>8.1288667725288755E-2</v>
      </c>
      <c r="DR27" s="22">
        <f t="shared" si="89"/>
        <v>0.34988551764450326</v>
      </c>
      <c r="DS27" s="437">
        <f t="shared" si="21"/>
        <v>7347.0643136933568</v>
      </c>
      <c r="DT27">
        <v>2.72</v>
      </c>
      <c r="DU27">
        <f t="shared" si="112"/>
        <v>7214301.7824456785</v>
      </c>
      <c r="DV27" s="237">
        <f t="shared" si="90"/>
        <v>7214.3017824456783</v>
      </c>
      <c r="DW27">
        <v>650</v>
      </c>
      <c r="DX27" s="237">
        <f t="shared" si="91"/>
        <v>8124.4389286426695</v>
      </c>
      <c r="DY27" s="237"/>
      <c r="DZ27" s="237"/>
      <c r="EE27" s="237"/>
      <c r="EF27" s="237"/>
      <c r="EG27" s="237"/>
      <c r="EH27" s="237"/>
      <c r="EI27" s="237"/>
      <c r="EJ27" s="564" t="s">
        <v>751</v>
      </c>
      <c r="EK27" s="562">
        <v>1025</v>
      </c>
      <c r="EL27" s="564">
        <v>404</v>
      </c>
      <c r="EM27" s="563">
        <v>0.39</v>
      </c>
      <c r="EN27" s="564">
        <v>46.56</v>
      </c>
      <c r="EO27" s="571">
        <v>16993</v>
      </c>
      <c r="EP27" s="237"/>
      <c r="EQ27" s="621">
        <f t="shared" si="177"/>
        <v>3.8017172635053686E-3</v>
      </c>
      <c r="ER27" s="621">
        <f t="shared" si="177"/>
        <v>1.4984329506889454E-3</v>
      </c>
      <c r="ES27">
        <f t="shared" si="128"/>
        <v>17.417825000000001</v>
      </c>
      <c r="EU27" s="95">
        <f t="shared" si="6"/>
        <v>3.5049563627502197E-3</v>
      </c>
      <c r="EV27" s="95">
        <f t="shared" si="178"/>
        <v>4.3331584296655195E-3</v>
      </c>
      <c r="EW27" s="237"/>
      <c r="EX27" t="str">
        <f>EJ21</f>
        <v>Vörubifreiðar &gt;12t</v>
      </c>
      <c r="EY27" t="s">
        <v>717</v>
      </c>
      <c r="EZ27" s="101">
        <f>EV20</f>
        <v>0.10638120415015419</v>
      </c>
      <c r="FA27" s="22">
        <f t="shared" si="172"/>
        <v>23.832130109453455</v>
      </c>
      <c r="FB27">
        <v>21.22</v>
      </c>
      <c r="FC27">
        <f t="shared" si="23"/>
        <v>0.2122</v>
      </c>
      <c r="FD27">
        <v>0.86499999999999999</v>
      </c>
      <c r="FE27">
        <f t="shared" si="24"/>
        <v>0.18355299999999999</v>
      </c>
      <c r="FF27">
        <v>43</v>
      </c>
      <c r="FG27">
        <f t="shared" si="25"/>
        <v>7.892779</v>
      </c>
      <c r="FH27">
        <v>73.510933419407394</v>
      </c>
      <c r="FI27">
        <v>8.2398639563294998E-4</v>
      </c>
      <c r="FJ27">
        <v>3.54663097127342E-3</v>
      </c>
      <c r="FK27" s="22">
        <f t="shared" si="26"/>
        <v>188.10173605316194</v>
      </c>
      <c r="FL27" s="22">
        <f t="shared" si="27"/>
        <v>13827.534195078932</v>
      </c>
      <c r="FM27" s="22">
        <f t="shared" si="28"/>
        <v>0.15499327150274542</v>
      </c>
      <c r="FN27" s="22">
        <f t="shared" si="29"/>
        <v>0.66712744283644221</v>
      </c>
      <c r="FO27" s="437">
        <f t="shared" si="30"/>
        <v>14008.662779032666</v>
      </c>
      <c r="FP27">
        <v>2.72</v>
      </c>
      <c r="FQ27">
        <f t="shared" si="31"/>
        <v>13755524.185094783</v>
      </c>
      <c r="FR27" s="237">
        <f t="shared" si="32"/>
        <v>13755.524185094782</v>
      </c>
      <c r="FS27">
        <v>630.9</v>
      </c>
      <c r="FT27" s="237">
        <f t="shared" si="33"/>
        <v>15035.690886054186</v>
      </c>
      <c r="FV27" s="237"/>
      <c r="FW27"/>
      <c r="FX27"/>
      <c r="FY27"/>
      <c r="FZ27"/>
      <c r="GA27"/>
      <c r="GB27"/>
      <c r="GC27"/>
      <c r="GD27" s="237"/>
      <c r="GF27" s="564" t="s">
        <v>751</v>
      </c>
      <c r="GG27" s="562">
        <v>1025</v>
      </c>
      <c r="GH27" s="564">
        <v>404</v>
      </c>
      <c r="GI27" s="563">
        <v>0.39</v>
      </c>
      <c r="GJ27" s="564">
        <v>46.56</v>
      </c>
      <c r="GK27" s="571">
        <v>16993</v>
      </c>
      <c r="GM27" s="95">
        <f t="shared" si="179"/>
        <v>3.8017172635053686E-3</v>
      </c>
      <c r="GN27" s="95">
        <f t="shared" si="179"/>
        <v>1.4984329506889454E-3</v>
      </c>
      <c r="GP27" s="22">
        <f>GK27*GG27/1000000</f>
        <v>17.417825000000001</v>
      </c>
      <c r="GQ27" s="95">
        <f t="shared" si="8"/>
        <v>3.5449687522640791E-3</v>
      </c>
      <c r="GR27" s="95">
        <f t="shared" si="180"/>
        <v>4.3753010164433543E-3</v>
      </c>
      <c r="GT27" t="str">
        <f>GF21</f>
        <v>Vörubifreiðar &gt;12t</v>
      </c>
      <c r="GU27" t="s">
        <v>675</v>
      </c>
      <c r="GV27" s="101">
        <f>GR13</f>
        <v>3.5495667333250128E-3</v>
      </c>
      <c r="GW27" s="22">
        <f t="shared" si="173"/>
        <v>0.75739650693108629</v>
      </c>
      <c r="GX27">
        <v>25</v>
      </c>
      <c r="GY27">
        <f t="shared" si="92"/>
        <v>0.25</v>
      </c>
      <c r="GZ27">
        <v>0.75</v>
      </c>
      <c r="HA27">
        <f t="shared" si="93"/>
        <v>0.1875</v>
      </c>
      <c r="HB27">
        <v>44.3</v>
      </c>
      <c r="HC27">
        <f t="shared" si="94"/>
        <v>8.3062499999999986</v>
      </c>
      <c r="HD27">
        <v>71.051104664576499</v>
      </c>
      <c r="HE27">
        <v>1.53682172957139E-2</v>
      </c>
      <c r="HF27">
        <v>8.2329735512008E-4</v>
      </c>
      <c r="HG27" s="22">
        <f t="shared" si="95"/>
        <v>6.291124735696334</v>
      </c>
      <c r="HH27" s="22">
        <f t="shared" si="36"/>
        <v>446.9913620538664</v>
      </c>
      <c r="HI27" s="22">
        <f t="shared" si="37"/>
        <v>9.6683371972621932E-2</v>
      </c>
      <c r="HJ27" s="22">
        <f t="shared" si="38"/>
        <v>5.1794663556293044E-3</v>
      </c>
      <c r="HK27" s="437">
        <f t="shared" si="39"/>
        <v>451.07105505334158</v>
      </c>
      <c r="HL27">
        <v>2.34</v>
      </c>
      <c r="HM27">
        <f t="shared" si="96"/>
        <v>443076.95655468543</v>
      </c>
      <c r="HN27" s="237">
        <f t="shared" si="97"/>
        <v>443.07695655468541</v>
      </c>
      <c r="HO27">
        <v>512.9</v>
      </c>
      <c r="HP27" s="237">
        <f t="shared" si="98"/>
        <v>388.46866840495409</v>
      </c>
      <c r="HQ27" s="237"/>
      <c r="HV27" s="237"/>
      <c r="HX27" s="502" t="s">
        <v>751</v>
      </c>
      <c r="HY27" s="502">
        <v>866</v>
      </c>
      <c r="HZ27" s="502">
        <v>286</v>
      </c>
      <c r="IA27" s="504">
        <v>0.33</v>
      </c>
      <c r="IB27" s="502">
        <v>47.14</v>
      </c>
      <c r="IC27" s="503">
        <v>17204</v>
      </c>
      <c r="IE27" s="95">
        <f t="shared" si="181"/>
        <v>3.2119874636055115E-3</v>
      </c>
      <c r="IF27" s="95">
        <f t="shared" si="181"/>
        <v>1.0607718413293029E-3</v>
      </c>
      <c r="IH27" s="22">
        <f>IC27*HY27/1000000</f>
        <v>14.898664</v>
      </c>
      <c r="II27" s="95">
        <f t="shared" si="40"/>
        <v>3.575129242565003E-3</v>
      </c>
      <c r="IJ27" s="95">
        <f t="shared" si="182"/>
        <v>4.2588528528827189E-3</v>
      </c>
      <c r="IL27" t="str">
        <f>HX21</f>
        <v>Vörubifreiðar &gt;12t</v>
      </c>
      <c r="IM27" t="s">
        <v>675</v>
      </c>
      <c r="IN27" s="101">
        <f>IJ13</f>
        <v>6.0988408111908371E-3</v>
      </c>
      <c r="IO27" s="22">
        <f t="shared" si="174"/>
        <v>1.2912780255280727</v>
      </c>
      <c r="IP27">
        <v>25</v>
      </c>
      <c r="IQ27">
        <f t="shared" si="99"/>
        <v>0.25</v>
      </c>
      <c r="IR27">
        <v>0.75</v>
      </c>
      <c r="IS27">
        <f t="shared" si="100"/>
        <v>0.1875</v>
      </c>
      <c r="IT27">
        <v>44.3</v>
      </c>
      <c r="IU27">
        <f t="shared" si="101"/>
        <v>8.3062499999999986</v>
      </c>
      <c r="IV27">
        <v>71.051104664576499</v>
      </c>
      <c r="IW27">
        <v>1.53682172957139E-2</v>
      </c>
      <c r="IX27">
        <v>8.2329735512008E-4</v>
      </c>
      <c r="IY27" s="22">
        <f t="shared" si="43"/>
        <v>10.725678099542552</v>
      </c>
      <c r="IZ27" s="22">
        <f t="shared" si="44"/>
        <v>762.07127724915381</v>
      </c>
      <c r="JA27" s="22">
        <f t="shared" si="45"/>
        <v>0.16483455167764963</v>
      </c>
      <c r="JB27" s="22">
        <f t="shared" si="46"/>
        <v>8.8304224112227495E-3</v>
      </c>
      <c r="JC27" s="437">
        <f t="shared" si="47"/>
        <v>769.02670663510207</v>
      </c>
      <c r="JD27">
        <v>2.34</v>
      </c>
      <c r="JE27">
        <f t="shared" si="48"/>
        <v>755397.64493392245</v>
      </c>
      <c r="JF27" s="237">
        <f t="shared" si="102"/>
        <v>755.39764493392249</v>
      </c>
      <c r="JG27">
        <v>512.9</v>
      </c>
      <c r="JH27" s="237">
        <f t="shared" si="49"/>
        <v>662.29649929334846</v>
      </c>
      <c r="JP27" s="417" t="s">
        <v>751</v>
      </c>
      <c r="JQ27" s="410">
        <v>689</v>
      </c>
      <c r="JR27" s="410">
        <v>204</v>
      </c>
      <c r="JS27" s="409">
        <v>0.3</v>
      </c>
      <c r="JT27" s="410">
        <v>47.04</v>
      </c>
      <c r="JU27" s="418">
        <v>17171</v>
      </c>
      <c r="JW27" s="95">
        <f t="shared" si="183"/>
        <v>2.555495799566048E-3</v>
      </c>
      <c r="JX27" s="95">
        <f t="shared" si="183"/>
        <v>7.5663446024887336E-4</v>
      </c>
      <c r="JZ27" s="22">
        <f>JU27*JQ27/1000000</f>
        <v>11.830819</v>
      </c>
      <c r="KA27" s="95">
        <f t="shared" si="11"/>
        <v>2.8389597195019396E-3</v>
      </c>
      <c r="KC27" t="str">
        <f>JP21</f>
        <v>Vörubifreiðar &gt;12t</v>
      </c>
      <c r="KD27" t="s">
        <v>675</v>
      </c>
      <c r="KE27" s="101">
        <f>KA13</f>
        <v>9.1998387891580686E-4</v>
      </c>
      <c r="KF27" s="22">
        <f t="shared" si="50"/>
        <v>0.97784485352751305</v>
      </c>
      <c r="KG27">
        <v>25</v>
      </c>
      <c r="KH27">
        <f t="shared" si="154"/>
        <v>0.25</v>
      </c>
      <c r="KI27">
        <v>0.75</v>
      </c>
      <c r="KJ27">
        <f t="shared" si="155"/>
        <v>0.1875</v>
      </c>
      <c r="KK27">
        <v>44.3</v>
      </c>
      <c r="KL27">
        <f t="shared" si="156"/>
        <v>8.3062499999999986</v>
      </c>
      <c r="KM27">
        <v>72.512080209241503</v>
      </c>
      <c r="KN27">
        <f>15.8206501432308/1000</f>
        <v>1.5820650143230801E-2</v>
      </c>
      <c r="KO27">
        <f>0.84755262174617/1000</f>
        <v>8.4755262174616996E-4</v>
      </c>
      <c r="KP27" s="22">
        <f t="shared" si="54"/>
        <v>8.1222238146129033</v>
      </c>
      <c r="KQ27" s="22">
        <f t="shared" si="55"/>
        <v>588.95934472262229</v>
      </c>
      <c r="KR27" s="22">
        <f t="shared" si="56"/>
        <v>0.12849886135600824</v>
      </c>
      <c r="KS27" s="22">
        <f t="shared" si="57"/>
        <v>6.8840120884843441E-3</v>
      </c>
      <c r="KT27" s="437">
        <f t="shared" si="58"/>
        <v>594.38157604403887</v>
      </c>
      <c r="KU27">
        <v>2.34</v>
      </c>
      <c r="KV27">
        <f t="shared" si="59"/>
        <v>572039.23931359511</v>
      </c>
      <c r="KW27" s="237">
        <f t="shared" si="157"/>
        <v>572.03923931359509</v>
      </c>
      <c r="KX27">
        <v>512.9</v>
      </c>
      <c r="KY27" s="237">
        <f t="shared" si="61"/>
        <v>501.5366253742614</v>
      </c>
      <c r="LF27" s="90" t="s">
        <v>722</v>
      </c>
      <c r="LG27" s="91">
        <v>5887</v>
      </c>
      <c r="LH27" s="91">
        <v>2927</v>
      </c>
      <c r="LI27" s="92">
        <v>0.5</v>
      </c>
      <c r="LJ27" s="93">
        <v>39.71</v>
      </c>
      <c r="LK27" s="94">
        <v>14496</v>
      </c>
      <c r="LL27" s="95">
        <f t="shared" si="184"/>
        <v>1.870135645986213E-2</v>
      </c>
      <c r="LM27" s="95">
        <f t="shared" si="185"/>
        <v>3.3973161202649905E-4</v>
      </c>
      <c r="LN27" s="95">
        <f t="shared" si="185"/>
        <v>0</v>
      </c>
      <c r="LP27" s="22">
        <f t="shared" si="186"/>
        <v>2.8992E-2</v>
      </c>
      <c r="LQ27" s="95">
        <f t="shared" si="13"/>
        <v>6.8252952738985866E-6</v>
      </c>
      <c r="LS27" t="str">
        <f>LF21</f>
        <v>Vörubifreiðar &gt;12t</v>
      </c>
      <c r="LT27" t="s">
        <v>675</v>
      </c>
      <c r="LU27" s="101">
        <f>LQ13</f>
        <v>1.1990726857023404E-3</v>
      </c>
      <c r="LV27" s="22">
        <f t="shared" si="62"/>
        <v>1.4340740728886847</v>
      </c>
      <c r="LW27">
        <v>25</v>
      </c>
      <c r="LX27">
        <f t="shared" si="158"/>
        <v>0.25</v>
      </c>
      <c r="LY27">
        <v>0.75</v>
      </c>
      <c r="LZ27">
        <f t="shared" si="159"/>
        <v>0.1875</v>
      </c>
      <c r="MA27">
        <v>44.3</v>
      </c>
      <c r="MB27">
        <f t="shared" si="160"/>
        <v>8.3062499999999986</v>
      </c>
      <c r="MC27">
        <v>72.512080209241503</v>
      </c>
      <c r="MD27">
        <f>15.8206501432308/1000</f>
        <v>1.5820650143230801E-2</v>
      </c>
      <c r="ME27">
        <f>0.84755262174617/1000</f>
        <v>8.4755262174616996E-4</v>
      </c>
      <c r="MF27" s="22">
        <f t="shared" si="63"/>
        <v>11.911777767931635</v>
      </c>
      <c r="MG27" s="22">
        <f t="shared" si="64"/>
        <v>863.74778494291843</v>
      </c>
      <c r="MH27" s="22">
        <f t="shared" si="65"/>
        <v>0.1884520686503611</v>
      </c>
      <c r="MI27" s="22">
        <f t="shared" si="66"/>
        <v>1.0095858476868199E-2</v>
      </c>
      <c r="MJ27" s="437">
        <f t="shared" si="67"/>
        <v>871.69984536149866</v>
      </c>
      <c r="MK27">
        <v>2.34</v>
      </c>
      <c r="ML27">
        <f t="shared" si="68"/>
        <v>838933.33263988048</v>
      </c>
      <c r="MM27" s="237">
        <f t="shared" si="161"/>
        <v>838.93333263988052</v>
      </c>
      <c r="MN27">
        <v>512.9</v>
      </c>
      <c r="MO27" s="237">
        <f t="shared" si="69"/>
        <v>735.53659198460628</v>
      </c>
      <c r="MQ27" s="22"/>
      <c r="MR27" s="22"/>
      <c r="MS27" s="22"/>
      <c r="MT27" s="22"/>
      <c r="MV27" s="417" t="s">
        <v>722</v>
      </c>
      <c r="MW27" s="408">
        <v>5748</v>
      </c>
      <c r="MX27" s="408">
        <v>2775</v>
      </c>
      <c r="MY27" s="409">
        <v>0.48</v>
      </c>
      <c r="MZ27" s="410">
        <v>41.09</v>
      </c>
      <c r="NA27" s="418">
        <v>14999</v>
      </c>
      <c r="NB27" s="95">
        <f t="shared" si="187"/>
        <v>1.8259792242447347E-2</v>
      </c>
      <c r="NC27" s="95">
        <f t="shared" si="188"/>
        <v>5.2192066805845506E-4</v>
      </c>
      <c r="ND27" s="95">
        <f t="shared" si="188"/>
        <v>0</v>
      </c>
      <c r="NF27" s="22">
        <f t="shared" si="189"/>
        <v>4.4997000000000002E-2</v>
      </c>
      <c r="NG27" s="95">
        <f t="shared" si="16"/>
        <v>1.0593191619743885E-5</v>
      </c>
      <c r="NI27" t="str">
        <f>MV21</f>
        <v>Vörubifreiðar &gt;12t</v>
      </c>
      <c r="NJ27" t="s">
        <v>675</v>
      </c>
      <c r="NK27" s="101">
        <f>NG13</f>
        <v>9.2119592142013082E-4</v>
      </c>
      <c r="NL27" s="22">
        <f t="shared" si="70"/>
        <v>1.0896562150540434</v>
      </c>
      <c r="NM27">
        <v>25</v>
      </c>
      <c r="NN27">
        <f t="shared" si="162"/>
        <v>0.25</v>
      </c>
      <c r="NO27">
        <v>0.75</v>
      </c>
      <c r="NP27">
        <f t="shared" si="163"/>
        <v>0.1875</v>
      </c>
      <c r="NQ27">
        <v>44.3</v>
      </c>
      <c r="NR27">
        <f t="shared" si="164"/>
        <v>8.3062499999999986</v>
      </c>
      <c r="NS27">
        <v>72.512080209241503</v>
      </c>
      <c r="NT27">
        <f>15.8206501432308/1000</f>
        <v>1.5820650143230801E-2</v>
      </c>
      <c r="NU27">
        <f>0.84755262174617/1000</f>
        <v>8.4755262174616996E-4</v>
      </c>
      <c r="NV27" s="22">
        <f t="shared" si="71"/>
        <v>9.0509569362926463</v>
      </c>
      <c r="NW27" s="22">
        <f t="shared" si="72"/>
        <v>656.3037153348431</v>
      </c>
      <c r="NX27" s="22">
        <f t="shared" si="73"/>
        <v>0.14319202315053406</v>
      </c>
      <c r="NY27" s="22">
        <f t="shared" si="74"/>
        <v>7.6711622806665148E-3</v>
      </c>
      <c r="NZ27" s="437">
        <f t="shared" si="75"/>
        <v>662.34594998743466</v>
      </c>
      <c r="OA27">
        <v>2.34</v>
      </c>
      <c r="OB27">
        <f t="shared" si="76"/>
        <v>637448.88580661546</v>
      </c>
      <c r="OC27" s="237">
        <f t="shared" si="165"/>
        <v>637.44888580661541</v>
      </c>
      <c r="OD27">
        <v>512.9</v>
      </c>
      <c r="OE27" s="237">
        <f t="shared" si="77"/>
        <v>558.88467270121873</v>
      </c>
    </row>
    <row r="28" spans="1:410" ht="16.5" customHeight="1" thickBot="1" x14ac:dyDescent="0.5">
      <c r="A28" s="981"/>
      <c r="B28" s="159" t="s">
        <v>730</v>
      </c>
      <c r="C28" s="160">
        <v>42024</v>
      </c>
      <c r="D28" s="161">
        <v>42513</v>
      </c>
      <c r="E28" s="162">
        <v>40787</v>
      </c>
      <c r="F28" s="201">
        <v>125324</v>
      </c>
      <c r="G28" s="200">
        <v>594517</v>
      </c>
      <c r="H28" s="1037"/>
      <c r="I28" s="180">
        <v>4.4619553058738722E-2</v>
      </c>
      <c r="J28" s="181">
        <v>3.0547273737935216E-2</v>
      </c>
      <c r="K28" s="182">
        <v>3.769085549630713E-2</v>
      </c>
      <c r="L28" s="183">
        <v>3.769085549630713E-2</v>
      </c>
      <c r="M28" s="292">
        <v>4.3311761643636926E-2</v>
      </c>
      <c r="N28" s="870"/>
      <c r="O28" s="206"/>
      <c r="P28" s="206"/>
      <c r="Q28" s="206"/>
      <c r="S28" s="115">
        <v>2022</v>
      </c>
      <c r="T28" s="107">
        <f>$Q$244</f>
        <v>7.8026353697711187E-3</v>
      </c>
      <c r="U28" s="85">
        <f t="shared" si="197"/>
        <v>5.4892971036535956</v>
      </c>
      <c r="V28" s="438">
        <f>U28*365*0.65</f>
        <v>1302.3357378418157</v>
      </c>
      <c r="W28" s="83">
        <f>U28/0.16</f>
        <v>34.308106897834975</v>
      </c>
      <c r="X28" s="83">
        <f t="shared" si="198"/>
        <v>1768.4591184451017</v>
      </c>
      <c r="Y28" s="438">
        <f t="shared" si="199"/>
        <v>1149.4984269893162</v>
      </c>
      <c r="Z28">
        <f t="shared" si="200"/>
        <v>1268396.1499462335</v>
      </c>
      <c r="AA28">
        <f t="shared" si="196"/>
        <v>6.3039288652327805</v>
      </c>
      <c r="AB28" s="237">
        <f t="shared" si="169"/>
        <v>1320.0881966499057</v>
      </c>
      <c r="AC28" s="16">
        <f t="shared" si="201"/>
        <v>1040164.8556371144</v>
      </c>
      <c r="AD28">
        <f t="shared" si="151"/>
        <v>5.293066214675199</v>
      </c>
      <c r="AE28" s="16">
        <f t="shared" si="152"/>
        <v>1667.3158576226876</v>
      </c>
      <c r="AF28" s="237">
        <f t="shared" si="153"/>
        <v>1083.755307454747</v>
      </c>
      <c r="AG28" s="237"/>
      <c r="AH28" s="237"/>
      <c r="AI28" s="237"/>
      <c r="AJ28" s="237"/>
      <c r="AK28" s="697" t="s">
        <v>732</v>
      </c>
      <c r="AL28" s="695"/>
      <c r="AO28" s="237"/>
      <c r="AP28" s="747" t="s">
        <v>727</v>
      </c>
      <c r="AQ28" s="739">
        <v>106</v>
      </c>
      <c r="AR28" s="740"/>
      <c r="AS28" s="774">
        <f t="shared" ref="AS28:AS29" si="202">AR28/AQ28</f>
        <v>0</v>
      </c>
      <c r="AT28" s="740"/>
      <c r="AU28" s="738"/>
      <c r="AV28" s="237"/>
      <c r="AW28" s="621">
        <f>AQ28/$CO$31</f>
        <v>1.2324578232004372E-3</v>
      </c>
      <c r="AX28" s="621">
        <f t="shared" si="192"/>
        <v>0</v>
      </c>
      <c r="AY28">
        <f t="shared" si="143"/>
        <v>0</v>
      </c>
      <c r="BA28" s="95">
        <f t="shared" ref="BA28:BA38" si="203">AY28/$CW$37</f>
        <v>0</v>
      </c>
      <c r="BB28" s="95"/>
      <c r="BC28" s="95"/>
      <c r="BD28" t="str">
        <f>AP36</f>
        <v>Vörubifreiðar &gt;12t</v>
      </c>
      <c r="BE28" t="s">
        <v>675</v>
      </c>
      <c r="BF28" s="101">
        <f>BA13</f>
        <v>6.6234882037559639E-5</v>
      </c>
      <c r="BG28" s="22">
        <f t="shared" si="78"/>
        <v>7.6742499496167155E-2</v>
      </c>
      <c r="BH28">
        <v>25</v>
      </c>
      <c r="BI28">
        <f t="shared" si="123"/>
        <v>0.25</v>
      </c>
      <c r="BJ28">
        <v>0.75</v>
      </c>
      <c r="BK28">
        <f t="shared" si="124"/>
        <v>0.1875</v>
      </c>
      <c r="BL28">
        <v>44.3</v>
      </c>
      <c r="BM28">
        <f t="shared" si="79"/>
        <v>8.3062499999999986</v>
      </c>
      <c r="BN28">
        <v>72.326894595976398</v>
      </c>
      <c r="BO28">
        <v>1.4879032033184299E-2</v>
      </c>
      <c r="BP28">
        <v>7.9709100174625005E-4</v>
      </c>
      <c r="BQ28" s="22">
        <f t="shared" si="170"/>
        <v>0.63744238644003837</v>
      </c>
      <c r="BR28" s="22">
        <f t="shared" si="120"/>
        <v>46.104228295056309</v>
      </c>
      <c r="BS28" s="22">
        <f t="shared" si="81"/>
        <v>9.4845256871507761E-3</v>
      </c>
      <c r="BT28" s="22">
        <f t="shared" si="82"/>
        <v>5.0809959036301046E-4</v>
      </c>
      <c r="BU28" s="437">
        <f t="shared" si="171"/>
        <v>46.504441405742725</v>
      </c>
      <c r="BV28">
        <v>2.34</v>
      </c>
      <c r="BW28">
        <f t="shared" si="111"/>
        <v>44894.362205257785</v>
      </c>
      <c r="BX28" s="237">
        <f t="shared" si="83"/>
        <v>44.894362205257785</v>
      </c>
      <c r="BY28">
        <v>509</v>
      </c>
      <c r="BZ28" s="237">
        <f t="shared" si="84"/>
        <v>39.061932243549087</v>
      </c>
      <c r="CA28" s="237"/>
      <c r="CB28" s="237"/>
      <c r="CC28" s="237"/>
      <c r="CD28" s="237"/>
      <c r="CE28" s="237"/>
      <c r="CF28" s="237"/>
      <c r="CG28" s="237"/>
      <c r="CH28" s="237"/>
      <c r="CI28" s="701" t="s">
        <v>285</v>
      </c>
      <c r="CJ28" s="695">
        <v>23110</v>
      </c>
      <c r="CM28" s="237"/>
      <c r="CN28" s="747" t="s">
        <v>727</v>
      </c>
      <c r="CO28" s="739">
        <v>106</v>
      </c>
      <c r="CP28" s="740"/>
      <c r="CQ28" s="774">
        <f t="shared" si="193"/>
        <v>0</v>
      </c>
      <c r="CR28" s="740"/>
      <c r="CS28" s="738"/>
      <c r="CT28" s="237"/>
      <c r="CU28" s="621">
        <f>CO28/$CO$31</f>
        <v>1.2324578232004372E-3</v>
      </c>
      <c r="CV28" s="621">
        <f t="shared" si="195"/>
        <v>0</v>
      </c>
      <c r="CW28">
        <f t="shared" si="176"/>
        <v>0</v>
      </c>
      <c r="CY28" s="95">
        <f t="shared" si="18"/>
        <v>0</v>
      </c>
      <c r="CZ28" s="95"/>
      <c r="DA28" s="95"/>
      <c r="DB28" t="str">
        <f>CN36</f>
        <v>Vörubifreiðar &gt;12t</v>
      </c>
      <c r="DC28" t="s">
        <v>675</v>
      </c>
      <c r="DD28" s="101">
        <f>CY13</f>
        <v>6.6234882037559639E-5</v>
      </c>
      <c r="DE28" s="22">
        <f t="shared" si="85"/>
        <v>7.6742499496167155E-2</v>
      </c>
      <c r="DF28">
        <v>25</v>
      </c>
      <c r="DG28">
        <f t="shared" si="126"/>
        <v>0.25</v>
      </c>
      <c r="DH28">
        <v>0.75</v>
      </c>
      <c r="DI28">
        <f t="shared" si="127"/>
        <v>0.1875</v>
      </c>
      <c r="DJ28">
        <v>44.3</v>
      </c>
      <c r="DK28">
        <f t="shared" si="86"/>
        <v>8.3062499999999986</v>
      </c>
      <c r="DL28">
        <v>72.326894595976398</v>
      </c>
      <c r="DM28">
        <v>1.4879032033184299E-2</v>
      </c>
      <c r="DN28">
        <v>7.9709100174625005E-4</v>
      </c>
      <c r="DO28" s="22">
        <f t="shared" si="121"/>
        <v>0.63744238644003837</v>
      </c>
      <c r="DP28" s="22">
        <f t="shared" si="87"/>
        <v>46.104228295056309</v>
      </c>
      <c r="DQ28" s="22">
        <f t="shared" si="88"/>
        <v>9.4845256871507761E-3</v>
      </c>
      <c r="DR28" s="22">
        <f t="shared" si="89"/>
        <v>5.0809959036301046E-4</v>
      </c>
      <c r="DS28" s="437">
        <f t="shared" si="21"/>
        <v>46.504441405742725</v>
      </c>
      <c r="DT28">
        <v>2.34</v>
      </c>
      <c r="DU28">
        <f t="shared" si="112"/>
        <v>44894.362205257785</v>
      </c>
      <c r="DV28" s="237">
        <f t="shared" si="90"/>
        <v>44.894362205257785</v>
      </c>
      <c r="DW28">
        <v>509</v>
      </c>
      <c r="DX28" s="237">
        <f t="shared" si="91"/>
        <v>39.061932243549087</v>
      </c>
      <c r="DY28" s="237"/>
      <c r="DZ28" s="237"/>
      <c r="EA28" s="237"/>
      <c r="EB28" s="237"/>
      <c r="EC28" s="237"/>
      <c r="ED28" s="237"/>
      <c r="EE28" s="237"/>
      <c r="EF28" s="237"/>
      <c r="EG28" s="237"/>
      <c r="EH28" s="237"/>
      <c r="EI28" s="237"/>
      <c r="EJ28" s="564" t="s">
        <v>727</v>
      </c>
      <c r="EK28" s="562">
        <v>195</v>
      </c>
      <c r="EL28" s="564">
        <v>139</v>
      </c>
      <c r="EM28" s="563">
        <v>0.71</v>
      </c>
      <c r="EN28" s="564">
        <v>49.86</v>
      </c>
      <c r="EO28" s="571">
        <v>18199</v>
      </c>
      <c r="EP28" s="237"/>
      <c r="EQ28" s="621">
        <f t="shared" si="177"/>
        <v>7.2325352817907012E-4</v>
      </c>
      <c r="ER28" s="621">
        <f t="shared" si="177"/>
        <v>5.1554995085585002E-4</v>
      </c>
      <c r="ES28">
        <f t="shared" si="128"/>
        <v>3.5488050000000002</v>
      </c>
      <c r="EU28" s="95">
        <f t="shared" si="6"/>
        <v>7.1411939578620138E-4</v>
      </c>
      <c r="EV28" s="95">
        <f t="shared" si="178"/>
        <v>8.8286191306831624E-4</v>
      </c>
      <c r="EW28" s="237"/>
      <c r="EY28" t="s">
        <v>675</v>
      </c>
      <c r="EZ28" s="101">
        <f>EV13</f>
        <v>2.7887277501838655E-3</v>
      </c>
      <c r="FA28" s="22">
        <f t="shared" si="172"/>
        <v>0.62474685366803095</v>
      </c>
      <c r="FB28">
        <v>25</v>
      </c>
      <c r="FC28">
        <f t="shared" si="23"/>
        <v>0.25</v>
      </c>
      <c r="FD28">
        <v>0.75</v>
      </c>
      <c r="FE28">
        <f t="shared" si="24"/>
        <v>0.1875</v>
      </c>
      <c r="FF28">
        <v>44.3</v>
      </c>
      <c r="FG28">
        <f t="shared" si="25"/>
        <v>8.3062499999999986</v>
      </c>
      <c r="FH28">
        <v>72.326894595976398</v>
      </c>
      <c r="FI28">
        <v>1.4879032033184299E-2</v>
      </c>
      <c r="FJ28">
        <v>7.9709100174625005E-4</v>
      </c>
      <c r="FK28" s="22">
        <f t="shared" si="26"/>
        <v>5.1893035532800811</v>
      </c>
      <c r="FL28" s="22">
        <f t="shared" si="27"/>
        <v>375.32621112461419</v>
      </c>
      <c r="FM28" s="22">
        <f t="shared" si="28"/>
        <v>7.7211813799171428E-2</v>
      </c>
      <c r="FN28" s="22">
        <f t="shared" si="29"/>
        <v>4.1363471676493947E-3</v>
      </c>
      <c r="FO28" s="437">
        <f t="shared" si="30"/>
        <v>378.58427391041806</v>
      </c>
      <c r="FP28">
        <v>2.34</v>
      </c>
      <c r="FQ28">
        <f t="shared" si="31"/>
        <v>365476.90939579805</v>
      </c>
      <c r="FR28" s="237">
        <f t="shared" si="32"/>
        <v>365.47690939579803</v>
      </c>
      <c r="FS28">
        <v>512.9</v>
      </c>
      <c r="FT28" s="237">
        <f t="shared" si="33"/>
        <v>320.432661246333</v>
      </c>
      <c r="FV28" s="237"/>
      <c r="GD28" s="237"/>
      <c r="GF28" s="565" t="s">
        <v>753</v>
      </c>
      <c r="GG28" s="567">
        <v>1393</v>
      </c>
      <c r="GH28" s="565">
        <v>861</v>
      </c>
      <c r="GI28" s="566">
        <v>0.62</v>
      </c>
      <c r="GJ28" s="565">
        <v>43.72</v>
      </c>
      <c r="GK28" s="572">
        <v>15959</v>
      </c>
      <c r="GM28" s="95">
        <f t="shared" si="179"/>
        <v>5.1666264859151012E-3</v>
      </c>
      <c r="GN28" s="95">
        <f t="shared" si="179"/>
        <v>3.1934425013445096E-3</v>
      </c>
      <c r="GP28" s="22">
        <f>GK28*GG28/1000000</f>
        <v>22.230886999999999</v>
      </c>
      <c r="GQ28" s="95">
        <f t="shared" si="8"/>
        <v>4.5245488314478834E-3</v>
      </c>
      <c r="GR28" s="95">
        <f t="shared" si="180"/>
        <v>5.5843265440740936E-3</v>
      </c>
      <c r="GU28" t="s">
        <v>717</v>
      </c>
      <c r="GV28" s="101">
        <f>GR21</f>
        <v>0.27257152494244724</v>
      </c>
      <c r="GW28" s="22">
        <f t="shared" si="173"/>
        <v>58.160540818147815</v>
      </c>
      <c r="GX28">
        <v>21.22</v>
      </c>
      <c r="GY28">
        <f t="shared" si="92"/>
        <v>0.2122</v>
      </c>
      <c r="GZ28">
        <v>0.86499999999999999</v>
      </c>
      <c r="HA28">
        <f t="shared" si="93"/>
        <v>0.18355299999999999</v>
      </c>
      <c r="HB28">
        <v>43</v>
      </c>
      <c r="HC28">
        <f t="shared" si="94"/>
        <v>7.892779</v>
      </c>
      <c r="HD28">
        <v>74.054734089485507</v>
      </c>
      <c r="HE28">
        <v>1.4363980931045299E-3</v>
      </c>
      <c r="HF28">
        <v>3.0837733297494202E-3</v>
      </c>
      <c r="HG28" s="22">
        <f t="shared" si="95"/>
        <v>459.04829519811989</v>
      </c>
      <c r="HH28" s="22">
        <f t="shared" si="36"/>
        <v>33994.699435128416</v>
      </c>
      <c r="HI28" s="22">
        <f t="shared" si="37"/>
        <v>0.65937609586546475</v>
      </c>
      <c r="HJ28" s="22">
        <f t="shared" si="38"/>
        <v>1.415600889798901</v>
      </c>
      <c r="HK28" s="437">
        <f t="shared" si="39"/>
        <v>34388.296201609359</v>
      </c>
      <c r="HL28">
        <v>2.72</v>
      </c>
      <c r="HM28">
        <f t="shared" si="96"/>
        <v>33569333.591581829</v>
      </c>
      <c r="HN28" s="237">
        <f t="shared" si="97"/>
        <v>33569.333591581832</v>
      </c>
      <c r="HO28">
        <v>630.9</v>
      </c>
      <c r="HP28" s="237">
        <f t="shared" si="98"/>
        <v>36693.485202169461</v>
      </c>
      <c r="HQ28" s="237"/>
      <c r="HR28" s="237"/>
      <c r="HS28" s="237"/>
      <c r="HT28" s="237"/>
      <c r="HU28" s="237"/>
      <c r="HV28" s="237"/>
      <c r="HX28" s="505" t="s">
        <v>753</v>
      </c>
      <c r="HY28" s="507">
        <v>1400</v>
      </c>
      <c r="HZ28" s="505">
        <v>899</v>
      </c>
      <c r="IA28" s="506">
        <v>0.64</v>
      </c>
      <c r="IB28" s="505">
        <v>39.1</v>
      </c>
      <c r="IC28" s="507">
        <v>14273</v>
      </c>
      <c r="IE28" s="95">
        <f t="shared" si="181"/>
        <v>5.1925894330805038E-3</v>
      </c>
      <c r="IF28" s="95">
        <f t="shared" si="181"/>
        <v>3.3343842145281233E-3</v>
      </c>
      <c r="IH28" s="22">
        <f>IC28*HY28/1000000</f>
        <v>19.982199999999999</v>
      </c>
      <c r="II28" s="95">
        <f t="shared" si="40"/>
        <v>4.7949901783664898E-3</v>
      </c>
      <c r="IJ28" s="95">
        <f t="shared" si="182"/>
        <v>5.7120054171886196E-3</v>
      </c>
      <c r="IM28" t="s">
        <v>717</v>
      </c>
      <c r="IN28" s="101">
        <f>IJ21</f>
        <v>0.24331362436946211</v>
      </c>
      <c r="IO28" s="22">
        <f t="shared" si="174"/>
        <v>51.515615210578268</v>
      </c>
      <c r="IP28">
        <v>21.22</v>
      </c>
      <c r="IQ28">
        <f t="shared" si="99"/>
        <v>0.2122</v>
      </c>
      <c r="IR28">
        <v>0.86499999999999999</v>
      </c>
      <c r="IS28">
        <f t="shared" si="100"/>
        <v>0.18355299999999999</v>
      </c>
      <c r="IT28">
        <v>43</v>
      </c>
      <c r="IU28">
        <f t="shared" si="101"/>
        <v>7.892779</v>
      </c>
      <c r="IV28">
        <v>74.054734089485507</v>
      </c>
      <c r="IW28">
        <v>1.4363980931045299E-3</v>
      </c>
      <c r="IX28">
        <v>3.0837733297494202E-3</v>
      </c>
      <c r="IY28" s="22">
        <f t="shared" si="43"/>
        <v>406.60136590613274</v>
      </c>
      <c r="IZ28" s="22">
        <f t="shared" si="44"/>
        <v>30110.756032600257</v>
      </c>
      <c r="JA28" s="22">
        <f t="shared" si="45"/>
        <v>0.58404142664126635</v>
      </c>
      <c r="JB28" s="22">
        <f t="shared" si="46"/>
        <v>1.2538664480210173</v>
      </c>
      <c r="JC28" s="437">
        <f t="shared" si="47"/>
        <v>30459.383801271782</v>
      </c>
      <c r="JD28">
        <v>2.72</v>
      </c>
      <c r="JE28">
        <f t="shared" si="48"/>
        <v>29733988.84970241</v>
      </c>
      <c r="JF28" s="237">
        <f t="shared" si="102"/>
        <v>29733.988849702411</v>
      </c>
      <c r="JG28">
        <v>630.9</v>
      </c>
      <c r="JH28" s="237">
        <f t="shared" si="49"/>
        <v>32501.201636353831</v>
      </c>
      <c r="JP28" s="419" t="s">
        <v>753</v>
      </c>
      <c r="JQ28" s="413">
        <v>1419</v>
      </c>
      <c r="JR28" s="411">
        <v>708</v>
      </c>
      <c r="JS28" s="412">
        <v>0.5</v>
      </c>
      <c r="JT28" s="411">
        <v>40.450000000000003</v>
      </c>
      <c r="JU28" s="420">
        <v>14764</v>
      </c>
      <c r="JW28" s="95">
        <f t="shared" si="183"/>
        <v>5.2630602896723104E-3</v>
      </c>
      <c r="JX28" s="95">
        <f t="shared" si="183"/>
        <v>2.6259666561578546E-3</v>
      </c>
      <c r="JZ28" s="22">
        <f>JU28*JQ28/1000000</f>
        <v>20.950116000000001</v>
      </c>
      <c r="KA28" s="95">
        <f t="shared" si="11"/>
        <v>5.027254279090323E-3</v>
      </c>
      <c r="KD28" t="s">
        <v>717</v>
      </c>
      <c r="KE28" s="101">
        <f>KA21</f>
        <v>3.9535258413786592E-2</v>
      </c>
      <c r="KF28" s="22">
        <f t="shared" si="50"/>
        <v>42.021767836150829</v>
      </c>
      <c r="KG28">
        <v>21.22</v>
      </c>
      <c r="KH28">
        <f t="shared" si="154"/>
        <v>0.2122</v>
      </c>
      <c r="KI28">
        <v>0.86499999999999999</v>
      </c>
      <c r="KJ28">
        <f t="shared" si="155"/>
        <v>0.18355299999999999</v>
      </c>
      <c r="KK28">
        <v>43</v>
      </c>
      <c r="KL28">
        <f t="shared" si="156"/>
        <v>7.892779</v>
      </c>
      <c r="KM28">
        <v>73.367479939063301</v>
      </c>
      <c r="KN28">
        <f>2.07749454663654/1000</f>
        <v>2.0774945466365403E-3</v>
      </c>
      <c r="KO28">
        <f>2.35970659533889/1000</f>
        <v>2.3597065953388898E-3</v>
      </c>
      <c r="KP28" s="22">
        <f t="shared" si="54"/>
        <v>331.66852672004671</v>
      </c>
      <c r="KQ28" s="22">
        <f t="shared" si="55"/>
        <v>24333.683980551708</v>
      </c>
      <c r="KR28" s="22">
        <f t="shared" si="56"/>
        <v>0.68903955555187268</v>
      </c>
      <c r="KS28" s="22">
        <f t="shared" si="57"/>
        <v>0.78264040996762707</v>
      </c>
      <c r="KT28" s="437">
        <f t="shared" si="58"/>
        <v>24560.37679674858</v>
      </c>
      <c r="KU28">
        <v>2.72</v>
      </c>
      <c r="KV28">
        <f t="shared" si="59"/>
        <v>24254292.046740882</v>
      </c>
      <c r="KW28" s="237">
        <f t="shared" si="157"/>
        <v>24254.29204674088</v>
      </c>
      <c r="KX28">
        <v>630.9</v>
      </c>
      <c r="KY28" s="237">
        <f t="shared" si="61"/>
        <v>26511.533327827558</v>
      </c>
      <c r="LF28" s="109" t="s">
        <v>726</v>
      </c>
      <c r="LG28" s="110">
        <v>6961</v>
      </c>
      <c r="LH28" s="110">
        <v>3398</v>
      </c>
      <c r="LI28" s="111">
        <v>0.49</v>
      </c>
      <c r="LJ28" s="112">
        <v>67.81</v>
      </c>
      <c r="LK28" s="113">
        <v>24751</v>
      </c>
      <c r="LL28" s="95">
        <f t="shared" si="184"/>
        <v>2.2113154801613775E-2</v>
      </c>
      <c r="LM28" s="95">
        <f t="shared" si="185"/>
        <v>4.1660680936647029E-3</v>
      </c>
      <c r="LN28" s="95">
        <f t="shared" si="185"/>
        <v>2.0600353148911123E-3</v>
      </c>
      <c r="LP28" s="22">
        <f t="shared" si="186"/>
        <v>0.71777899999999994</v>
      </c>
      <c r="LQ28" s="95">
        <f t="shared" si="13"/>
        <v>1.6897949835829377E-4</v>
      </c>
      <c r="LT28" t="s">
        <v>717</v>
      </c>
      <c r="LU28" s="101">
        <f>LQ21</f>
        <v>4.0350383840320928E-2</v>
      </c>
      <c r="LV28" s="22">
        <f t="shared" si="62"/>
        <v>48.258491738235961</v>
      </c>
      <c r="LW28">
        <v>21.22</v>
      </c>
      <c r="LX28">
        <f t="shared" si="158"/>
        <v>0.2122</v>
      </c>
      <c r="LY28">
        <v>0.86499999999999999</v>
      </c>
      <c r="LZ28">
        <f t="shared" si="159"/>
        <v>0.18355299999999999</v>
      </c>
      <c r="MA28">
        <v>43</v>
      </c>
      <c r="MB28">
        <f t="shared" si="160"/>
        <v>7.892779</v>
      </c>
      <c r="MC28">
        <v>73.367479939063315</v>
      </c>
      <c r="MD28">
        <f>2.07749454663654/1000</f>
        <v>2.0774945466365403E-3</v>
      </c>
      <c r="ME28">
        <f>2.35970659533889/1000</f>
        <v>2.3597065953388898E-3</v>
      </c>
      <c r="MF28" s="22">
        <f t="shared" si="63"/>
        <v>380.89361016322226</v>
      </c>
      <c r="MG28" s="22">
        <f t="shared" si="64"/>
        <v>27945.204302567614</v>
      </c>
      <c r="MH28" s="22">
        <f t="shared" si="65"/>
        <v>0.79130439796279861</v>
      </c>
      <c r="MI28" s="22">
        <f t="shared" si="66"/>
        <v>0.89879716402459553</v>
      </c>
      <c r="MJ28" s="437">
        <f t="shared" si="67"/>
        <v>28205.54207417709</v>
      </c>
      <c r="MK28">
        <v>2.72</v>
      </c>
      <c r="ML28">
        <f t="shared" si="68"/>
        <v>27854029.295441985</v>
      </c>
      <c r="MM28" s="237">
        <f t="shared" si="161"/>
        <v>27854.029295441986</v>
      </c>
      <c r="MN28">
        <v>630.9</v>
      </c>
      <c r="MO28" s="237">
        <f t="shared" si="69"/>
        <v>30446.28243765307</v>
      </c>
      <c r="MQ28" s="22"/>
      <c r="MR28" s="22"/>
      <c r="MS28" s="22"/>
      <c r="MT28" s="22"/>
      <c r="MV28" s="439" t="s">
        <v>726</v>
      </c>
      <c r="MW28" s="440">
        <v>6735</v>
      </c>
      <c r="MX28" s="440">
        <v>3233</v>
      </c>
      <c r="MY28" s="441">
        <v>0.48</v>
      </c>
      <c r="MZ28" s="442">
        <v>69.61</v>
      </c>
      <c r="NA28" s="443">
        <v>25409</v>
      </c>
      <c r="NB28" s="95">
        <f t="shared" si="187"/>
        <v>2.1395215858191177E-2</v>
      </c>
      <c r="NC28" s="95">
        <f t="shared" si="188"/>
        <v>4.0089086859688193E-3</v>
      </c>
      <c r="ND28" s="95">
        <f t="shared" si="188"/>
        <v>2.1651716671821837E-3</v>
      </c>
      <c r="NF28" s="22">
        <f t="shared" si="189"/>
        <v>0.68604299999999996</v>
      </c>
      <c r="NG28" s="95">
        <f t="shared" si="16"/>
        <v>1.6150821073369231E-4</v>
      </c>
      <c r="NJ28" t="s">
        <v>717</v>
      </c>
      <c r="NK28" s="101">
        <f>NG21</f>
        <v>4.0104480166099216E-2</v>
      </c>
      <c r="NL28" s="22">
        <f t="shared" si="70"/>
        <v>47.438438499741551</v>
      </c>
      <c r="NM28">
        <v>21.22</v>
      </c>
      <c r="NN28">
        <f t="shared" si="162"/>
        <v>0.2122</v>
      </c>
      <c r="NO28">
        <v>0.86499999999999999</v>
      </c>
      <c r="NP28">
        <f t="shared" si="163"/>
        <v>0.18355299999999999</v>
      </c>
      <c r="NQ28">
        <v>43</v>
      </c>
      <c r="NR28">
        <f t="shared" si="164"/>
        <v>7.892779</v>
      </c>
      <c r="NS28">
        <v>73.367479939063315</v>
      </c>
      <c r="NT28">
        <f>2.07749454663654/1000</f>
        <v>2.0774945466365403E-3</v>
      </c>
      <c r="NU28">
        <f>2.35970659533889/1000</f>
        <v>2.3597065953388898E-3</v>
      </c>
      <c r="NV28" s="22">
        <f t="shared" si="71"/>
        <v>374.4211111835516</v>
      </c>
      <c r="NW28" s="22">
        <f t="shared" si="72"/>
        <v>27470.333363521018</v>
      </c>
      <c r="NX28" s="22">
        <f t="shared" si="73"/>
        <v>0.77785781662942222</v>
      </c>
      <c r="NY28" s="22">
        <f t="shared" si="74"/>
        <v>0.88352396549394241</v>
      </c>
      <c r="NZ28" s="437">
        <f t="shared" si="75"/>
        <v>27726.247233242539</v>
      </c>
      <c r="OA28">
        <v>2.72</v>
      </c>
      <c r="OB28">
        <f t="shared" si="76"/>
        <v>27380707.687034827</v>
      </c>
      <c r="OC28" s="237">
        <f t="shared" si="165"/>
        <v>27380.707687034828</v>
      </c>
      <c r="OD28">
        <v>630.9</v>
      </c>
      <c r="OE28" s="237">
        <f t="shared" si="77"/>
        <v>29928.910849486947</v>
      </c>
    </row>
    <row r="29" spans="1:410" ht="16.5" customHeight="1" thickBot="1" x14ac:dyDescent="0.5">
      <c r="A29" s="981"/>
      <c r="B29" s="159" t="s">
        <v>735</v>
      </c>
      <c r="C29" s="160">
        <v>39411</v>
      </c>
      <c r="D29" s="161">
        <v>41522</v>
      </c>
      <c r="E29" s="162">
        <v>40763</v>
      </c>
      <c r="F29" s="201">
        <v>121696</v>
      </c>
      <c r="G29" s="200">
        <v>716213</v>
      </c>
      <c r="H29" s="1037"/>
      <c r="I29" s="180">
        <v>8.6762899262899269E-3</v>
      </c>
      <c r="J29" s="181">
        <v>9.4598945048413857E-3</v>
      </c>
      <c r="K29" s="182">
        <v>7.5673527512378769E-3</v>
      </c>
      <c r="L29" s="183">
        <v>7.5673527512378769E-3</v>
      </c>
      <c r="M29" s="292">
        <v>3.7060434854939039E-2</v>
      </c>
      <c r="N29" s="870"/>
      <c r="O29" s="206"/>
      <c r="P29" s="206"/>
      <c r="Q29" s="206"/>
      <c r="S29" s="775">
        <v>2023</v>
      </c>
      <c r="T29" s="101">
        <f>$Q$257</f>
        <v>4.9905007254287391E-2</v>
      </c>
      <c r="U29" s="85">
        <f t="shared" si="197"/>
        <v>5.7632405154323676</v>
      </c>
      <c r="V29" s="438">
        <f>U29*365*0.65</f>
        <v>1367.3288122863291</v>
      </c>
      <c r="W29" s="83">
        <f>U29/0.16</f>
        <v>36.020253221452293</v>
      </c>
      <c r="X29" s="83">
        <f t="shared" si="198"/>
        <v>1856.7140835800151</v>
      </c>
      <c r="Y29" s="438">
        <f t="shared" si="199"/>
        <v>1206.8641543270098</v>
      </c>
      <c r="Z29">
        <f t="shared" si="200"/>
        <v>1331695.4690106106</v>
      </c>
      <c r="AA29">
        <f t="shared" si="196"/>
        <v>6.6185264809827347</v>
      </c>
      <c r="AB29" s="237">
        <f t="shared" si="169"/>
        <v>1385.9672076800184</v>
      </c>
      <c r="AC29">
        <f t="shared" si="201"/>
        <v>1092074.2903033395</v>
      </c>
      <c r="AD29">
        <f t="shared" si="151"/>
        <v>5.5572167225159896</v>
      </c>
      <c r="AE29" s="16">
        <f t="shared" si="152"/>
        <v>1750.5232675925367</v>
      </c>
      <c r="AF29" s="237">
        <f t="shared" si="153"/>
        <v>1137.840123935149</v>
      </c>
      <c r="AG29" s="237"/>
      <c r="AH29" s="237"/>
      <c r="AI29" s="237"/>
      <c r="AJ29" s="237"/>
      <c r="AK29" s="701" t="s">
        <v>285</v>
      </c>
      <c r="AL29" s="695">
        <v>25108</v>
      </c>
      <c r="AO29" s="237"/>
      <c r="AP29" s="747" t="s">
        <v>753</v>
      </c>
      <c r="AQ29" s="739">
        <v>625</v>
      </c>
      <c r="AR29" s="740">
        <v>469</v>
      </c>
      <c r="AS29" s="774">
        <f t="shared" si="202"/>
        <v>0.75039999999999996</v>
      </c>
      <c r="AT29" s="740">
        <v>34.9</v>
      </c>
      <c r="AU29" s="738">
        <v>12727</v>
      </c>
      <c r="AV29" s="237"/>
      <c r="AW29" s="621">
        <f t="shared" ref="AW29" si="204">AQ29/$CO$31</f>
        <v>7.2668503726440875E-3</v>
      </c>
      <c r="AX29" s="621">
        <f t="shared" si="192"/>
        <v>8.7446161877948285E-3</v>
      </c>
      <c r="AY29">
        <f t="shared" si="143"/>
        <v>7.9543749999999998</v>
      </c>
      <c r="BA29" s="95">
        <f t="shared" si="203"/>
        <v>6.0936512816043651E-3</v>
      </c>
      <c r="BB29" s="95"/>
      <c r="BC29" s="95"/>
      <c r="BE29" t="s">
        <v>717</v>
      </c>
      <c r="BF29" s="101">
        <f>BA21</f>
        <v>3.0833518110728056E-2</v>
      </c>
      <c r="BG29" s="22">
        <f t="shared" si="78"/>
        <v>35.725001317822091</v>
      </c>
      <c r="BH29">
        <v>21.22</v>
      </c>
      <c r="BI29">
        <f t="shared" si="123"/>
        <v>0.2122</v>
      </c>
      <c r="BJ29">
        <v>0.86499999999999999</v>
      </c>
      <c r="BK29">
        <f t="shared" si="124"/>
        <v>0.18355299999999999</v>
      </c>
      <c r="BL29">
        <v>43</v>
      </c>
      <c r="BM29">
        <f t="shared" si="79"/>
        <v>7.892779</v>
      </c>
      <c r="BN29">
        <v>73.510933419407394</v>
      </c>
      <c r="BO29">
        <v>8.2398639563294998E-4</v>
      </c>
      <c r="BP29">
        <v>3.54663097127342E-3</v>
      </c>
      <c r="BQ29" s="22">
        <f t="shared" si="170"/>
        <v>281.96954017627854</v>
      </c>
      <c r="BR29" s="22">
        <f t="shared" si="120"/>
        <v>20727.844094199329</v>
      </c>
      <c r="BS29" s="22">
        <f t="shared" si="81"/>
        <v>0.23233906508813204</v>
      </c>
      <c r="BT29" s="22">
        <f t="shared" si="82"/>
        <v>1.0000419041449145</v>
      </c>
      <c r="BU29" s="437">
        <f t="shared" si="171"/>
        <v>20999.360692620197</v>
      </c>
      <c r="BV29">
        <v>2.72</v>
      </c>
      <c r="BW29">
        <f t="shared" si="111"/>
        <v>20619899.160625827</v>
      </c>
      <c r="BX29" s="237">
        <f t="shared" si="83"/>
        <v>20619.899160625828</v>
      </c>
      <c r="BY29">
        <v>650</v>
      </c>
      <c r="BZ29" s="237">
        <f t="shared" si="84"/>
        <v>23221.250856584356</v>
      </c>
      <c r="CA29" s="237"/>
      <c r="CB29" s="237"/>
      <c r="CC29" s="237"/>
      <c r="CD29" s="237"/>
      <c r="CE29" s="237"/>
      <c r="CF29" s="237"/>
      <c r="CG29" s="237"/>
      <c r="CH29" s="237"/>
      <c r="CI29" s="701" t="s">
        <v>709</v>
      </c>
      <c r="CJ29" s="695">
        <v>152</v>
      </c>
      <c r="CM29" s="237"/>
      <c r="CN29" s="747" t="s">
        <v>753</v>
      </c>
      <c r="CO29" s="739">
        <v>625</v>
      </c>
      <c r="CP29" s="740">
        <v>469</v>
      </c>
      <c r="CQ29" s="774">
        <f t="shared" si="193"/>
        <v>0.75039999999999996</v>
      </c>
      <c r="CR29" s="740">
        <v>34.9</v>
      </c>
      <c r="CS29" s="738">
        <v>12727</v>
      </c>
      <c r="CT29" s="237"/>
      <c r="CU29" s="621">
        <f t="shared" si="194"/>
        <v>7.2668503726440875E-3</v>
      </c>
      <c r="CV29" s="621">
        <f t="shared" si="195"/>
        <v>8.7446161877948285E-3</v>
      </c>
      <c r="CW29">
        <f t="shared" si="176"/>
        <v>7.9543749999999998</v>
      </c>
      <c r="CY29" s="95">
        <f t="shared" si="18"/>
        <v>6.0936512816043651E-3</v>
      </c>
      <c r="CZ29" s="95"/>
      <c r="DA29" s="95"/>
      <c r="DC29" t="s">
        <v>717</v>
      </c>
      <c r="DD29" s="101">
        <f>CY21</f>
        <v>3.0833518110728056E-2</v>
      </c>
      <c r="DE29" s="22">
        <f t="shared" si="85"/>
        <v>35.725001317822091</v>
      </c>
      <c r="DF29">
        <v>21.22</v>
      </c>
      <c r="DG29">
        <f t="shared" si="126"/>
        <v>0.2122</v>
      </c>
      <c r="DH29">
        <v>0.86499999999999999</v>
      </c>
      <c r="DI29">
        <f t="shared" si="127"/>
        <v>0.18355299999999999</v>
      </c>
      <c r="DJ29">
        <v>43</v>
      </c>
      <c r="DK29">
        <f t="shared" si="86"/>
        <v>7.892779</v>
      </c>
      <c r="DL29">
        <v>73.510933419407394</v>
      </c>
      <c r="DM29">
        <v>8.2398639563294998E-4</v>
      </c>
      <c r="DN29">
        <v>3.54663097127342E-3</v>
      </c>
      <c r="DO29" s="22">
        <f t="shared" si="121"/>
        <v>281.96954017627854</v>
      </c>
      <c r="DP29" s="22">
        <f t="shared" si="87"/>
        <v>20727.844094199329</v>
      </c>
      <c r="DQ29" s="22">
        <f t="shared" si="88"/>
        <v>0.23233906508813204</v>
      </c>
      <c r="DR29" s="22">
        <f t="shared" si="89"/>
        <v>1.0000419041449145</v>
      </c>
      <c r="DS29" s="437">
        <f t="shared" si="21"/>
        <v>20999.360692620197</v>
      </c>
      <c r="DT29">
        <v>2.72</v>
      </c>
      <c r="DU29">
        <f t="shared" si="112"/>
        <v>20619899.160625827</v>
      </c>
      <c r="DV29" s="237">
        <f t="shared" si="90"/>
        <v>20619.899160625828</v>
      </c>
      <c r="DW29">
        <v>650</v>
      </c>
      <c r="DX29" s="237">
        <f t="shared" si="91"/>
        <v>23221.250856584356</v>
      </c>
      <c r="DY29" s="237"/>
      <c r="DZ29" s="237"/>
      <c r="EA29" s="237"/>
      <c r="EB29" s="237"/>
      <c r="EC29" s="237"/>
      <c r="ED29" s="237"/>
      <c r="EE29" s="237"/>
      <c r="EF29" s="237"/>
      <c r="EG29" s="237"/>
      <c r="EH29" s="237"/>
      <c r="EI29" s="237"/>
      <c r="EJ29" s="565" t="s">
        <v>753</v>
      </c>
      <c r="EK29" s="567">
        <v>1367</v>
      </c>
      <c r="EL29" s="565">
        <v>936</v>
      </c>
      <c r="EM29" s="566">
        <v>0.68</v>
      </c>
      <c r="EN29" s="565">
        <v>37.450000000000003</v>
      </c>
      <c r="EO29" s="572">
        <v>13669</v>
      </c>
      <c r="EP29" s="237"/>
      <c r="EQ29" s="621">
        <f t="shared" si="177"/>
        <v>5.0701926821578921E-3</v>
      </c>
      <c r="ER29" s="621">
        <f t="shared" si="177"/>
        <v>3.4716169352595368E-3</v>
      </c>
      <c r="ES29">
        <f t="shared" si="128"/>
        <v>18.685523</v>
      </c>
      <c r="EU29" s="95">
        <f t="shared" si="6"/>
        <v>3.7600528613742283E-3</v>
      </c>
      <c r="EV29" s="95">
        <f t="shared" si="178"/>
        <v>4.6485328392126424E-3</v>
      </c>
      <c r="EW29" s="237"/>
      <c r="EY29" t="s">
        <v>717</v>
      </c>
      <c r="EZ29" s="101">
        <f>EV21</f>
        <v>0.23679282099777749</v>
      </c>
      <c r="FA29" s="22">
        <f t="shared" si="172"/>
        <v>53.047691686571085</v>
      </c>
      <c r="FB29">
        <v>21.22</v>
      </c>
      <c r="FC29">
        <f t="shared" si="23"/>
        <v>0.2122</v>
      </c>
      <c r="FD29">
        <v>0.86499999999999999</v>
      </c>
      <c r="FE29">
        <f t="shared" si="24"/>
        <v>0.18355299999999999</v>
      </c>
      <c r="FF29">
        <v>43</v>
      </c>
      <c r="FG29">
        <f t="shared" si="25"/>
        <v>7.892779</v>
      </c>
      <c r="FH29">
        <v>73.510933419407394</v>
      </c>
      <c r="FI29">
        <v>8.2398639563294998E-4</v>
      </c>
      <c r="FJ29">
        <v>3.54663097127342E-3</v>
      </c>
      <c r="FK29" s="22">
        <f t="shared" si="26"/>
        <v>418.69370694224284</v>
      </c>
      <c r="FL29" s="22">
        <f t="shared" si="27"/>
        <v>30778.565214156086</v>
      </c>
      <c r="FM29" s="22">
        <f t="shared" si="28"/>
        <v>0.3449979184575373</v>
      </c>
      <c r="FN29" s="22">
        <f t="shared" si="29"/>
        <v>1.4849520685186355</v>
      </c>
      <c r="FO29" s="437">
        <f t="shared" si="30"/>
        <v>31181.737454030335</v>
      </c>
      <c r="FP29">
        <v>2.72</v>
      </c>
      <c r="FQ29">
        <f t="shared" si="31"/>
        <v>30618278.878421847</v>
      </c>
      <c r="FR29" s="237">
        <f t="shared" si="32"/>
        <v>30618.278878421846</v>
      </c>
      <c r="FS29">
        <v>630.9</v>
      </c>
      <c r="FT29" s="237">
        <f t="shared" si="33"/>
        <v>33467.788685057698</v>
      </c>
      <c r="FV29" s="237"/>
      <c r="GD29" s="237"/>
      <c r="GF29" s="971" t="s">
        <v>322</v>
      </c>
      <c r="GG29" s="972"/>
      <c r="GH29" s="972"/>
      <c r="GI29" s="972"/>
      <c r="GJ29" s="972"/>
      <c r="GK29" s="973"/>
      <c r="GP29" s="22">
        <f>GK29*GG29/1000000</f>
        <v>0</v>
      </c>
      <c r="GQ29" s="95">
        <f t="shared" si="8"/>
        <v>0</v>
      </c>
      <c r="GR29" s="95"/>
      <c r="HJ29"/>
      <c r="HK29" s="237"/>
      <c r="HM29"/>
      <c r="HN29" s="237"/>
      <c r="HO29"/>
      <c r="HP29" s="237"/>
      <c r="HQ29" s="237"/>
      <c r="HR29" s="237"/>
      <c r="HS29" s="237"/>
      <c r="HT29" s="237"/>
      <c r="HU29" s="237"/>
      <c r="HV29" s="237"/>
      <c r="HX29" s="1033" t="s">
        <v>322</v>
      </c>
      <c r="HY29" s="1033"/>
      <c r="HZ29" s="1033"/>
      <c r="IA29" s="1033"/>
      <c r="IB29" s="1033"/>
      <c r="IC29" s="1033"/>
      <c r="IH29" s="22">
        <f>IC29*HY29/1000000</f>
        <v>0</v>
      </c>
      <c r="II29" s="95">
        <f t="shared" si="40"/>
        <v>0</v>
      </c>
      <c r="IJ29" s="95"/>
      <c r="JB29"/>
      <c r="JC29" s="237"/>
      <c r="JE29"/>
      <c r="JF29" s="237"/>
      <c r="JG29"/>
      <c r="JH29" s="237"/>
      <c r="JP29" s="430" t="s">
        <v>322</v>
      </c>
      <c r="JQ29" s="431"/>
      <c r="JR29" s="431"/>
      <c r="JS29" s="431"/>
      <c r="JT29" s="431"/>
      <c r="JU29" s="432"/>
      <c r="JZ29" s="22">
        <f>JU29*JQ29/1000000</f>
        <v>0</v>
      </c>
      <c r="KA29" s="95">
        <f t="shared" si="11"/>
        <v>0</v>
      </c>
      <c r="KT29" s="237"/>
      <c r="KW29" s="237"/>
      <c r="KY29" s="237"/>
      <c r="LG29" s="23">
        <f>SUM(LG23:LG28)</f>
        <v>314790</v>
      </c>
      <c r="LP29" s="22">
        <f t="shared" ref="LP29:LP34" si="205">LP9+LP16+LP23</f>
        <v>3482.7799809999997</v>
      </c>
      <c r="LQ29" s="95">
        <f t="shared" si="13"/>
        <v>0.81991589901862261</v>
      </c>
      <c r="MJ29" s="237"/>
      <c r="MM29" s="237"/>
      <c r="MO29" s="237"/>
      <c r="MW29" s="23">
        <f>SUM(MW23:MW28)</f>
        <v>311123</v>
      </c>
      <c r="NF29" s="22">
        <f t="shared" ref="NF29:NF34" si="206">NF9+NF16+NF23</f>
        <v>3450.0118620000003</v>
      </c>
      <c r="NG29" s="95">
        <f t="shared" si="16"/>
        <v>0.81220162998767464</v>
      </c>
      <c r="NZ29" s="237"/>
      <c r="OC29" s="237"/>
      <c r="OE29" s="237"/>
    </row>
    <row r="30" spans="1:410" ht="16.5" customHeight="1" thickBot="1" x14ac:dyDescent="0.5">
      <c r="A30" s="981"/>
      <c r="B30" s="159" t="s">
        <v>740</v>
      </c>
      <c r="C30" s="160">
        <v>35789</v>
      </c>
      <c r="D30" s="161">
        <v>39723</v>
      </c>
      <c r="E30" s="162">
        <v>39963</v>
      </c>
      <c r="F30" s="163">
        <v>115475</v>
      </c>
      <c r="G30" s="200">
        <v>831688</v>
      </c>
      <c r="H30" s="1037"/>
      <c r="I30" s="180">
        <v>3.4573468620819239E-2</v>
      </c>
      <c r="J30" s="181">
        <v>3.1016315666585661E-2</v>
      </c>
      <c r="K30" s="182">
        <v>2.9310196741624051E-2</v>
      </c>
      <c r="L30" s="183">
        <v>2.9310196741624051E-2</v>
      </c>
      <c r="M30" s="292">
        <v>3.5977389651791203E-2</v>
      </c>
      <c r="N30" s="870"/>
      <c r="O30" s="206"/>
      <c r="P30" s="206"/>
      <c r="Q30" s="206"/>
      <c r="S30" s="775">
        <v>2024</v>
      </c>
      <c r="T30" s="101">
        <f>$Q$270</f>
        <v>1.8281675545253777E-2</v>
      </c>
      <c r="U30" s="85">
        <f t="shared" si="197"/>
        <v>5.8686022086247629</v>
      </c>
      <c r="V30" s="438">
        <f>U30*365*0.65</f>
        <v>1392.3258739962253</v>
      </c>
      <c r="W30" s="83">
        <f>U30/0.16</f>
        <v>36.678763803904765</v>
      </c>
      <c r="X30" s="83">
        <f t="shared" si="198"/>
        <v>1890.657928036328</v>
      </c>
      <c r="Y30" s="438">
        <f t="shared" si="199"/>
        <v>1228.9276532236133</v>
      </c>
      <c r="Z30">
        <f t="shared" si="200"/>
        <v>1356041.0935001471</v>
      </c>
      <c r="AA30">
        <f>Z30/10^6*$AA$16</f>
        <v>6.7395242346957307</v>
      </c>
      <c r="AB30" s="237">
        <f>AA30/$W$16/$X$16*$Y$16</f>
        <v>1411.3050104871859</v>
      </c>
      <c r="AC30">
        <f t="shared" si="201"/>
        <v>1112039.2381499785</v>
      </c>
      <c r="AD30">
        <f t="shared" si="151"/>
        <v>5.6588119555716849</v>
      </c>
      <c r="AE30" s="16">
        <f>AD30*315</f>
        <v>1782.5257660050806</v>
      </c>
      <c r="AF30" s="237">
        <f>AE30*$AF$16</f>
        <v>1158.6417479033025</v>
      </c>
      <c r="AG30" s="96"/>
      <c r="AH30" s="96"/>
      <c r="AI30" s="96"/>
      <c r="AJ30" s="96"/>
      <c r="AK30" s="701" t="s">
        <v>709</v>
      </c>
      <c r="AL30" s="695">
        <v>147</v>
      </c>
      <c r="AO30" s="96"/>
      <c r="AP30" s="968" t="s">
        <v>322</v>
      </c>
      <c r="AQ30" s="969"/>
      <c r="AR30" s="969"/>
      <c r="AS30" s="969"/>
      <c r="AT30" s="969"/>
      <c r="AU30" s="970"/>
      <c r="AV30" s="96"/>
      <c r="AW30" s="621"/>
      <c r="AX30" s="621"/>
      <c r="BA30" s="95">
        <f t="shared" si="203"/>
        <v>0</v>
      </c>
      <c r="BB30" s="95"/>
      <c r="BC30" s="95"/>
      <c r="BU30" s="237"/>
      <c r="BX30" s="237"/>
      <c r="BZ30" s="237"/>
      <c r="CA30" s="237"/>
      <c r="CB30" s="237"/>
      <c r="CC30" s="96"/>
      <c r="CD30" s="96"/>
      <c r="CE30" s="96"/>
      <c r="CF30" s="96"/>
      <c r="CG30" s="96"/>
      <c r="CH30" s="96"/>
      <c r="CI30" s="701" t="s">
        <v>711</v>
      </c>
      <c r="CJ30" s="695">
        <v>553</v>
      </c>
      <c r="CM30" s="96"/>
      <c r="CN30" s="968" t="s">
        <v>322</v>
      </c>
      <c r="CO30" s="969"/>
      <c r="CP30" s="969"/>
      <c r="CQ30" s="969"/>
      <c r="CR30" s="969"/>
      <c r="CS30" s="970"/>
      <c r="CT30" s="96"/>
      <c r="CU30" s="621"/>
      <c r="CV30" s="621"/>
      <c r="CY30" s="95">
        <f t="shared" si="18"/>
        <v>0</v>
      </c>
      <c r="CZ30" s="95"/>
      <c r="DA30" s="95"/>
      <c r="DS30" s="237"/>
      <c r="DV30" s="237"/>
      <c r="DX30" s="237"/>
      <c r="DY30" s="237"/>
      <c r="DZ30" s="237"/>
      <c r="EA30" s="96"/>
      <c r="EB30" s="96"/>
      <c r="EC30" s="96"/>
      <c r="ED30" s="96"/>
      <c r="EE30" s="96"/>
      <c r="EF30" s="96"/>
      <c r="EG30" s="96"/>
      <c r="EH30" s="96"/>
      <c r="EI30" s="96"/>
      <c r="EJ30" s="971" t="s">
        <v>322</v>
      </c>
      <c r="EK30" s="972"/>
      <c r="EL30" s="972"/>
      <c r="EM30" s="972"/>
      <c r="EN30" s="972"/>
      <c r="EO30" s="973"/>
      <c r="EP30" s="96"/>
      <c r="EQ30" s="96"/>
      <c r="ER30" s="96"/>
      <c r="ES30">
        <f t="shared" si="128"/>
        <v>0</v>
      </c>
      <c r="EU30" s="95">
        <f t="shared" si="6"/>
        <v>0</v>
      </c>
      <c r="EV30" s="95"/>
      <c r="EW30" s="96"/>
      <c r="FO30" s="237"/>
      <c r="FT30" s="237"/>
      <c r="FV30" s="237"/>
      <c r="FW30" s="96"/>
      <c r="FX30" s="96"/>
      <c r="FY30" s="96"/>
      <c r="FZ30" s="96"/>
      <c r="GA30" s="96"/>
      <c r="GB30" s="96"/>
      <c r="GC30" s="96"/>
      <c r="GD30" s="96"/>
      <c r="GF30" s="565" t="s">
        <v>285</v>
      </c>
      <c r="GG30" s="567">
        <v>287550</v>
      </c>
      <c r="GH30" s="567">
        <v>147943</v>
      </c>
      <c r="GI30" s="566">
        <v>0.51</v>
      </c>
      <c r="GJ30" s="565">
        <v>38.25</v>
      </c>
      <c r="GK30" s="572">
        <v>13961</v>
      </c>
      <c r="GM30" s="95">
        <f t="shared" ref="GM30:GM35" si="207">GG30/$GG$37</f>
        <v>0.85461067735809237</v>
      </c>
      <c r="GO30" s="22">
        <f t="shared" ref="GO30:GO35" si="208">GJ30*365*GG30/1000000</f>
        <v>4014.5574375000001</v>
      </c>
      <c r="GP30" s="22">
        <f>GP9+GP16+GP23+GP25+GP24+GP26+GP27+GP28</f>
        <v>3980.9432390000002</v>
      </c>
      <c r="GQ30" s="95">
        <f t="shared" si="8"/>
        <v>0.81022282557046887</v>
      </c>
      <c r="GR30" s="95">
        <f>GP30/GP30</f>
        <v>1</v>
      </c>
      <c r="GV30" s="101"/>
      <c r="GW30" s="22">
        <f>SUM(GW11:GW28)</f>
        <v>1167.8802878962797</v>
      </c>
      <c r="HG30" s="22">
        <f>SUM(HG11:HG29)</f>
        <v>4016.6862788406042</v>
      </c>
      <c r="HH30" s="22">
        <f>SUM(HH11:HH29)</f>
        <v>293289.72696010029</v>
      </c>
      <c r="HI30" s="22">
        <f>SUM(HI11:HI29)</f>
        <v>11.043116130822627</v>
      </c>
      <c r="HJ30" s="22">
        <f>SUM(HJ11:HJ29)</f>
        <v>7.8844908365696762</v>
      </c>
      <c r="HK30" s="437">
        <f>HH30+HI30*HI8+HJ30*HJ8</f>
        <v>295688.32428345428</v>
      </c>
      <c r="HM30" s="22">
        <f>SUM(HM11:HM29)</f>
        <v>298666864.14984697</v>
      </c>
      <c r="HN30" s="437">
        <f>SUM(HN11:HN29)</f>
        <v>298666.86414984707</v>
      </c>
      <c r="HO30"/>
      <c r="HP30" s="237">
        <f>SUM(HP11:HP28)</f>
        <v>265499.89024513663</v>
      </c>
      <c r="HQ30" s="237"/>
      <c r="HR30" s="237"/>
      <c r="HS30" s="237"/>
      <c r="HT30" s="237"/>
      <c r="HU30" s="237"/>
      <c r="HV30" s="237"/>
      <c r="HX30" s="505" t="s">
        <v>285</v>
      </c>
      <c r="HY30" s="507">
        <v>275259</v>
      </c>
      <c r="HZ30" s="507">
        <v>142155</v>
      </c>
      <c r="IA30" s="506">
        <v>0.52</v>
      </c>
      <c r="IB30" s="505">
        <v>34.94</v>
      </c>
      <c r="IC30" s="507">
        <v>12755</v>
      </c>
      <c r="IE30" s="95">
        <f t="shared" ref="IE30:IE35" si="209">HY30/$JQ$37</f>
        <v>0.87302327351614684</v>
      </c>
      <c r="IG30" s="22">
        <f t="shared" ref="IG30:IG35" si="210">IB30*365*HY30/1000000</f>
        <v>3510.4055528999997</v>
      </c>
      <c r="IH30" s="22">
        <f>IH9+IH16+IH23+IH25+IH24+IH26+IH27+IH28</f>
        <v>3498.280996</v>
      </c>
      <c r="II30" s="95">
        <f t="shared" si="40"/>
        <v>0.83945826870845763</v>
      </c>
      <c r="IN30" s="101"/>
      <c r="IO30" s="22"/>
      <c r="IY30" s="22">
        <f>SUM(IY11:IY29)</f>
        <v>4066.3779365328219</v>
      </c>
      <c r="IZ30" s="22">
        <f>SUM(IZ11:IZ29)</f>
        <v>296791.19828614191</v>
      </c>
      <c r="JA30" s="22">
        <f>SUM(JA11:JA29)</f>
        <v>11.403532689184065</v>
      </c>
      <c r="JB30" s="22">
        <f>SUM(JB11:JB29)</f>
        <v>7.8595609785470719</v>
      </c>
      <c r="JC30" s="437">
        <f>IZ30+JA30*JA8+JB30*JB8</f>
        <v>299193.28086075402</v>
      </c>
      <c r="JE30" s="22">
        <f>SUM(JE11:JE29)</f>
        <v>300682561.97295719</v>
      </c>
      <c r="JF30" s="437">
        <f>SUM(JF11:JF29)</f>
        <v>300682.56197295716</v>
      </c>
      <c r="JG30"/>
      <c r="JH30" s="237">
        <f>SUM(JH11:JH28)</f>
        <v>266651.15133898892</v>
      </c>
      <c r="JP30" s="419" t="s">
        <v>285</v>
      </c>
      <c r="JQ30" s="413">
        <v>269615</v>
      </c>
      <c r="JR30" s="413">
        <v>132157</v>
      </c>
      <c r="JS30" s="412">
        <v>0.49</v>
      </c>
      <c r="JT30" s="411">
        <v>34.700000000000003</v>
      </c>
      <c r="JU30" s="420">
        <v>12665</v>
      </c>
      <c r="JW30" s="95">
        <f t="shared" ref="JW30:JW35" si="211">JQ30/$JQ$37</f>
        <v>0.85512252056810467</v>
      </c>
      <c r="JY30" s="22">
        <f t="shared" ref="JY30:JY35" si="212">JT30*365*JQ30/1000000</f>
        <v>3414.8087825000007</v>
      </c>
      <c r="JZ30" s="22">
        <f>JZ9+JZ16+JZ23+JZ25+JZ24+JZ26+JZ27+JZ28</f>
        <v>3440.7458899999992</v>
      </c>
      <c r="KA30" s="95">
        <f t="shared" si="11"/>
        <v>0.82565196769148863</v>
      </c>
      <c r="KE30" s="101"/>
      <c r="KF30" s="22"/>
      <c r="KP30" s="22">
        <f>SUM(KP11:KP29)</f>
        <v>3765.0021953553851</v>
      </c>
      <c r="KQ30" s="22">
        <f>SUM(KQ11:KQ29)</f>
        <v>274951.50054089807</v>
      </c>
      <c r="KR30" s="22">
        <f>SUM(KR11:KR29)</f>
        <v>11.815496374137572</v>
      </c>
      <c r="KS30" s="22">
        <f>SUM(KS11:KS29)</f>
        <v>7.2265565017587834</v>
      </c>
      <c r="KT30" s="437">
        <f>KQ30+KR30*KR8+KS30*KS8</f>
        <v>277197.37191233999</v>
      </c>
      <c r="KV30" s="22">
        <f>SUM(KV11:KV29)</f>
        <v>276756790.48803085</v>
      </c>
      <c r="KW30" s="437">
        <f>SUM(KW11:KW29)</f>
        <v>276756.79048803076</v>
      </c>
      <c r="KY30" s="237">
        <f>SUM(KY11:KY28)</f>
        <v>247513.05197933942</v>
      </c>
      <c r="LF30" t="str">
        <f t="shared" ref="LF30:LF35" si="213">LF23</f>
        <v>Fólksbifreiðar</v>
      </c>
      <c r="LG30" s="23">
        <f t="shared" ref="LG30:LH35" si="214">LG23-(LG9+LG16)</f>
        <v>18978</v>
      </c>
      <c r="LH30" s="23">
        <f t="shared" si="214"/>
        <v>2842</v>
      </c>
      <c r="LI30" s="23"/>
      <c r="LJ30" s="95">
        <f t="shared" ref="LJ30:LJ35" si="215">LG30/LG23</f>
        <v>7.0334476049291203E-2</v>
      </c>
      <c r="LK30" s="23"/>
      <c r="LP30" s="22">
        <f t="shared" si="205"/>
        <v>35.946202999999997</v>
      </c>
      <c r="LQ30" s="95">
        <f t="shared" si="13"/>
        <v>8.4624534164769311E-3</v>
      </c>
      <c r="LU30" s="101"/>
      <c r="LV30" s="22"/>
      <c r="MF30" s="22">
        <f>SUM(MF11:MF29)</f>
        <v>4285.7851126526948</v>
      </c>
      <c r="MG30" s="22">
        <f>SUM(MG11:MG29)</f>
        <v>312948.25664717512</v>
      </c>
      <c r="MH30" s="22">
        <f>SUM(MH11:MH29)</f>
        <v>13.887965260927846</v>
      </c>
      <c r="MI30" s="22">
        <f>SUM(MI11:MI29)</f>
        <v>7.9880234796072882</v>
      </c>
      <c r="MJ30" s="437">
        <f>MG30+MH30*MH8+MI30*MI8</f>
        <v>315542.84842188354</v>
      </c>
      <c r="ML30" s="22">
        <f>SUM(ML11:ML29)</f>
        <v>309367675.04833651</v>
      </c>
      <c r="MM30" s="437">
        <f>SUM(MM11:MM29)</f>
        <v>309367.67504833644</v>
      </c>
      <c r="MO30" s="237">
        <f>SUM(MO11:MO28)</f>
        <v>276735.12386816205</v>
      </c>
      <c r="MQ30" s="22"/>
      <c r="MR30" s="22"/>
      <c r="MS30" s="22"/>
      <c r="MT30" s="22"/>
      <c r="MV30" t="str">
        <f t="shared" ref="MV30:MV35" si="216">MV23</f>
        <v>Fólksbifreiðar</v>
      </c>
      <c r="MW30" s="23">
        <f t="shared" ref="MW30:MX35" si="217">MW23-(MW9+MW16)</f>
        <v>14848</v>
      </c>
      <c r="MX30" s="23">
        <f t="shared" si="217"/>
        <v>-3962</v>
      </c>
      <c r="MY30" s="23"/>
      <c r="MZ30" s="95">
        <f t="shared" ref="MZ30:MZ35" si="218">MW30/MW23</f>
        <v>5.5530830307087588E-2</v>
      </c>
      <c r="NA30" s="23"/>
      <c r="NF30" s="22">
        <f t="shared" si="206"/>
        <v>38.655129999999993</v>
      </c>
      <c r="NG30" s="95">
        <f t="shared" si="16"/>
        <v>9.1001888831724418E-3</v>
      </c>
      <c r="NK30" s="101"/>
      <c r="NL30" s="22"/>
      <c r="NV30" s="22">
        <f>SUM(NV11:NV29)</f>
        <v>4149.8571849013806</v>
      </c>
      <c r="NW30" s="22">
        <f>SUM(NW11:NW29)</f>
        <v>303011.51402141177</v>
      </c>
      <c r="NX30" s="22">
        <f>SUM(NX11:NX29)</f>
        <v>13.531086954617601</v>
      </c>
      <c r="NY30" s="22">
        <f>SUM(NY11:NY29)</f>
        <v>7.7160108501744542</v>
      </c>
      <c r="NZ30" s="437">
        <f>NW30+NX30*NX8+NY30*NY8</f>
        <v>305521.211374757</v>
      </c>
      <c r="OB30" s="22">
        <f>SUM(OB11:OB29)</f>
        <v>303090327.50721294</v>
      </c>
      <c r="OC30" s="437">
        <f>SUM(OC11:OC29)</f>
        <v>303090.32750721305</v>
      </c>
      <c r="OE30" s="237">
        <f>SUM(OE11:OE28)</f>
        <v>271714.51196775009</v>
      </c>
    </row>
    <row r="31" spans="1:410" ht="16.5" customHeight="1" thickBot="1" x14ac:dyDescent="0.5">
      <c r="A31" s="981"/>
      <c r="B31" s="159" t="s">
        <v>752</v>
      </c>
      <c r="C31" s="160">
        <v>38871</v>
      </c>
      <c r="D31" s="161">
        <v>40298.173510925189</v>
      </c>
      <c r="E31" s="162">
        <v>40485</v>
      </c>
      <c r="F31" s="163">
        <v>119654.17351092519</v>
      </c>
      <c r="G31" s="200">
        <v>951342.17351092515</v>
      </c>
      <c r="H31" s="1037"/>
      <c r="I31" s="180">
        <v>7.9085204584348912E-3</v>
      </c>
      <c r="J31" s="181">
        <v>2.6505455704659498E-2</v>
      </c>
      <c r="K31" s="182">
        <v>9.5811009062556352E-3</v>
      </c>
      <c r="L31" s="183">
        <v>9.5811009062556352E-3</v>
      </c>
      <c r="M31" s="292">
        <v>3.2581784222394994E-2</v>
      </c>
      <c r="N31" s="870"/>
      <c r="O31" s="206"/>
      <c r="P31" s="206"/>
      <c r="Q31" s="206"/>
      <c r="S31" s="776">
        <v>2025</v>
      </c>
      <c r="T31" s="777">
        <f>$Q$283</f>
        <v>-3.1226805658444408E-3</v>
      </c>
      <c r="U31" s="778">
        <f t="shared" si="197"/>
        <v>5.8502764385592183</v>
      </c>
      <c r="V31" s="779">
        <f>U31*365*0.65</f>
        <v>1387.9780850481745</v>
      </c>
      <c r="W31" s="780">
        <f>U31/0.16</f>
        <v>36.564227740995115</v>
      </c>
      <c r="X31" s="780">
        <f t="shared" si="198"/>
        <v>1884.7540072677893</v>
      </c>
      <c r="Y31" s="779">
        <f t="shared" si="199"/>
        <v>1225.0901047240632</v>
      </c>
      <c r="Z31" s="781">
        <f t="shared" si="200"/>
        <v>1351806.6103309877</v>
      </c>
      <c r="AA31" s="781">
        <f>Z31/10^6*$AA$16</f>
        <v>6.718478853345009</v>
      </c>
      <c r="AB31" s="782">
        <f>AA31/$W$16/$X$16*$Y$16</f>
        <v>1406.8979557584589</v>
      </c>
      <c r="AC31" s="781">
        <f t="shared" si="201"/>
        <v>1108566.6948325511</v>
      </c>
      <c r="AD31" s="781">
        <f t="shared" si="151"/>
        <v>5.6411412934522529</v>
      </c>
      <c r="AE31" s="783">
        <f>AD31*315</f>
        <v>1776.9595074374597</v>
      </c>
      <c r="AF31" s="782">
        <f>AE31*$AF$16</f>
        <v>1155.0236798343487</v>
      </c>
      <c r="AK31" s="701" t="s">
        <v>711</v>
      </c>
      <c r="AL31" s="695">
        <v>584</v>
      </c>
      <c r="AP31" s="746" t="s">
        <v>285</v>
      </c>
      <c r="AQ31" s="735">
        <v>86007</v>
      </c>
      <c r="AR31" s="736">
        <v>53633</v>
      </c>
      <c r="AS31" s="774">
        <f t="shared" ref="AS31:AS36" si="219">AR31/AQ31</f>
        <v>0.62358877765763254</v>
      </c>
      <c r="AT31" s="737">
        <v>34.6</v>
      </c>
      <c r="AU31" s="738">
        <v>12628</v>
      </c>
      <c r="AW31" s="96"/>
      <c r="AX31" s="96"/>
      <c r="AY31">
        <f t="shared" ref="AY31:AY36" si="220">AQ31*AU31/1000000</f>
        <v>1086.0963959999999</v>
      </c>
      <c r="AZ31">
        <f t="shared" ref="AZ31:AZ36" si="221">AQ31*365*AT31/1000000</f>
        <v>1086.182403</v>
      </c>
      <c r="BA31" s="95">
        <f t="shared" si="203"/>
        <v>0.83203176810639201</v>
      </c>
      <c r="BB31" s="95"/>
      <c r="BC31" s="95"/>
      <c r="BF31" s="101"/>
      <c r="BG31" s="22"/>
      <c r="BQ31" s="22">
        <f>SUM(BQ11:BQ30)</f>
        <v>3575.4811807353644</v>
      </c>
      <c r="BR31" s="22">
        <f>SUM(BR11:BR30)</f>
        <v>261321.62831055932</v>
      </c>
      <c r="BS31" s="22">
        <f>SUM(BS11:BS30)</f>
        <v>10.018210133844098</v>
      </c>
      <c r="BT31" s="22">
        <f>SUM(BT11:BT30)</f>
        <v>7.1880538075717784</v>
      </c>
      <c r="BU31" s="437">
        <f>BR31+BS31*BS8+BT31*BT8</f>
        <v>263506.97245331347</v>
      </c>
      <c r="BW31" s="22">
        <f>SUM(BW11:BW29)</f>
        <v>274090349.61368102</v>
      </c>
      <c r="BX31" s="437">
        <f>SUM(BX11:BX30)</f>
        <v>274090.34961368097</v>
      </c>
      <c r="BZ31" s="237">
        <f>SUM(BZ11:BZ29)</f>
        <v>238146.0221390122</v>
      </c>
      <c r="CA31" s="237"/>
      <c r="CB31" s="237"/>
      <c r="CI31" s="701" t="s">
        <v>716</v>
      </c>
      <c r="CJ31" s="695">
        <v>6639</v>
      </c>
      <c r="CN31" s="746" t="s">
        <v>285</v>
      </c>
      <c r="CO31" s="735">
        <v>86007</v>
      </c>
      <c r="CP31" s="736">
        <v>53633</v>
      </c>
      <c r="CQ31" s="774">
        <f t="shared" ref="CQ31:CQ36" si="222">CP31/CO31</f>
        <v>0.62358877765763254</v>
      </c>
      <c r="CR31" s="737">
        <v>34.6</v>
      </c>
      <c r="CS31" s="738">
        <v>12628</v>
      </c>
      <c r="CU31" s="96"/>
      <c r="CV31" s="96"/>
      <c r="CW31">
        <f t="shared" ref="CW31:CW36" si="223">CO31*CS31/1000000</f>
        <v>1086.0963959999999</v>
      </c>
      <c r="CX31">
        <f t="shared" ref="CX31:CX36" si="224">CO31*365*CR31/1000000</f>
        <v>1086.182403</v>
      </c>
      <c r="CY31" s="95">
        <f t="shared" si="18"/>
        <v>0.83203176810639201</v>
      </c>
      <c r="CZ31" s="95"/>
      <c r="DA31" s="95"/>
      <c r="DD31" s="101"/>
      <c r="DE31" s="22"/>
      <c r="DO31" s="22">
        <f>SUM(DO11:DO30)</f>
        <v>3575.4811807353644</v>
      </c>
      <c r="DP31" s="22">
        <f>SUM(DP11:DP30)</f>
        <v>261321.62831055932</v>
      </c>
      <c r="DQ31" s="22">
        <f>SUM(DQ11:DQ30)</f>
        <v>10.018210133844098</v>
      </c>
      <c r="DR31" s="22">
        <f>SUM(DR11:DR30)</f>
        <v>7.1880538075717784</v>
      </c>
      <c r="DS31" s="437">
        <f>DP31+DQ31*DQ8+DR31*DR8</f>
        <v>263506.97245331347</v>
      </c>
      <c r="DU31" s="22">
        <f>SUM(DU11:DU29)</f>
        <v>274090349.61368102</v>
      </c>
      <c r="DV31" s="437">
        <f>SUM(DV11:DV30)</f>
        <v>274090.34961368097</v>
      </c>
      <c r="DX31" s="237">
        <f>SUM(DX11:DX29)</f>
        <v>238146.0221390122</v>
      </c>
      <c r="DY31" s="237"/>
      <c r="DZ31" s="237"/>
      <c r="EJ31" s="565" t="s">
        <v>285</v>
      </c>
      <c r="EK31" s="567">
        <v>299260</v>
      </c>
      <c r="EL31" s="567">
        <v>158913</v>
      </c>
      <c r="EM31" s="566">
        <v>0.53</v>
      </c>
      <c r="EN31" s="565">
        <v>36.799999999999997</v>
      </c>
      <c r="EO31" s="572">
        <v>13432</v>
      </c>
      <c r="EQ31" s="621">
        <f t="shared" ref="EQ31:EQ36" si="225">EK31/$DV$38</f>
        <v>0.85679111314704537</v>
      </c>
      <c r="ES31">
        <f t="shared" si="128"/>
        <v>4019.66032</v>
      </c>
      <c r="ET31">
        <f t="shared" ref="ET31:ET36" si="226">EK31*365*EN31/1000000</f>
        <v>4019.6603199999995</v>
      </c>
      <c r="EU31" s="95">
        <f t="shared" si="6"/>
        <v>0.80886873158265071</v>
      </c>
      <c r="EV31" s="95"/>
      <c r="EZ31" s="101"/>
      <c r="FA31" s="22"/>
      <c r="FK31" s="22">
        <f>SUM(FK11:FK30)</f>
        <v>4043.4266122259473</v>
      </c>
      <c r="FL31" s="22">
        <f>SUM(FL11:FL30)</f>
        <v>295662.42669637979</v>
      </c>
      <c r="FM31" s="22">
        <f>SUM(FM11:FM30)</f>
        <v>10.611962617827006</v>
      </c>
      <c r="FN31" s="22">
        <f>SUM(FN11:FN30)</f>
        <v>8.5441170303240153</v>
      </c>
      <c r="FO31" s="437">
        <f>FL31+FM31*FM8+FN31*FN8</f>
        <v>298223.7526627148</v>
      </c>
      <c r="FQ31" s="22">
        <f>SUM(FQ11:FQ29)</f>
        <v>302286147.63736665</v>
      </c>
      <c r="FR31" s="437">
        <f>SUM(FR11:FR30)</f>
        <v>302286.14763736661</v>
      </c>
      <c r="FT31" s="237">
        <f>SUM(FT11:FT29)</f>
        <v>267560.77046564902</v>
      </c>
      <c r="FV31" s="237"/>
      <c r="FW31"/>
      <c r="FX31"/>
      <c r="FY31"/>
      <c r="FZ31"/>
      <c r="GA31"/>
      <c r="GB31"/>
      <c r="GC31"/>
      <c r="GF31" s="564" t="s">
        <v>709</v>
      </c>
      <c r="GG31" s="562">
        <v>1313</v>
      </c>
      <c r="GH31" s="564">
        <v>744</v>
      </c>
      <c r="GI31" s="563">
        <v>0.56999999999999995</v>
      </c>
      <c r="GJ31" s="564">
        <v>68.709999999999994</v>
      </c>
      <c r="GK31" s="571">
        <v>25080</v>
      </c>
      <c r="GM31" s="95">
        <f t="shared" si="207"/>
        <v>3.9022911471784921E-3</v>
      </c>
      <c r="GO31" s="22">
        <f t="shared" si="208"/>
        <v>32.928923949999998</v>
      </c>
      <c r="GP31" s="22">
        <f>GP11+GP17</f>
        <v>31.682828000000001</v>
      </c>
      <c r="GQ31" s="95">
        <f t="shared" si="8"/>
        <v>6.4482583355474883E-3</v>
      </c>
      <c r="GR31" s="95">
        <f>GP31/$GP$38</f>
        <v>3.3978050073360556E-2</v>
      </c>
      <c r="GW31">
        <f>SUM(GW10:GW18)</f>
        <v>953.62333807931782</v>
      </c>
      <c r="HJ31"/>
      <c r="HK31" s="237"/>
      <c r="HM31"/>
      <c r="HN31" s="237"/>
      <c r="HO31"/>
      <c r="HP31" s="237"/>
      <c r="HQ31" s="237"/>
      <c r="HR31" s="237"/>
      <c r="HS31" s="237"/>
      <c r="HT31" s="237"/>
      <c r="HU31" s="237"/>
      <c r="HV31" s="237"/>
      <c r="HX31" s="502" t="s">
        <v>709</v>
      </c>
      <c r="HY31" s="503">
        <v>1359</v>
      </c>
      <c r="HZ31" s="502">
        <v>677</v>
      </c>
      <c r="IA31" s="504">
        <v>0.5</v>
      </c>
      <c r="IB31" s="502">
        <v>43.75</v>
      </c>
      <c r="IC31" s="503">
        <v>15969</v>
      </c>
      <c r="IE31" s="95">
        <f t="shared" si="209"/>
        <v>4.3102628023368667E-3</v>
      </c>
      <c r="IG31" s="22">
        <f t="shared" si="210"/>
        <v>21.701531249999999</v>
      </c>
      <c r="IH31" s="22">
        <f>IH11+IH17</f>
        <v>20.547265000000003</v>
      </c>
      <c r="II31" s="95">
        <f t="shared" si="40"/>
        <v>4.9305849139380823E-3</v>
      </c>
      <c r="IN31" s="101">
        <f>SUM(IN11:IN28)</f>
        <v>2.0074679218237819</v>
      </c>
      <c r="IO31" s="22">
        <f>SUM(IO11:IO28)</f>
        <v>1159.5464745204627</v>
      </c>
      <c r="JB31"/>
      <c r="JC31" s="237"/>
      <c r="JE31"/>
      <c r="JF31" s="237"/>
      <c r="JG31"/>
      <c r="JH31" s="237"/>
      <c r="JP31" s="417" t="s">
        <v>709</v>
      </c>
      <c r="JQ31" s="408">
        <v>1356</v>
      </c>
      <c r="JR31" s="410">
        <v>608</v>
      </c>
      <c r="JS31" s="409">
        <v>0.45</v>
      </c>
      <c r="JT31" s="410">
        <v>56.72</v>
      </c>
      <c r="JU31" s="418">
        <v>20704</v>
      </c>
      <c r="JW31" s="95">
        <f t="shared" si="211"/>
        <v>4.3007478734133856E-3</v>
      </c>
      <c r="JY31" s="22">
        <f t="shared" si="212"/>
        <v>28.072996800000002</v>
      </c>
      <c r="JZ31" s="22">
        <f>JZ11+JZ17</f>
        <v>27.639108</v>
      </c>
      <c r="KA31" s="95">
        <f t="shared" si="11"/>
        <v>6.6323653751243945E-3</v>
      </c>
      <c r="KT31" s="237"/>
      <c r="KW31" s="237"/>
      <c r="KY31" s="237"/>
      <c r="LF31" t="str">
        <f t="shared" si="213"/>
        <v>Hópbifreiðar ≤5t</v>
      </c>
      <c r="LG31" s="23">
        <f t="shared" si="214"/>
        <v>-12</v>
      </c>
      <c r="LH31" s="23">
        <f t="shared" si="214"/>
        <v>0</v>
      </c>
      <c r="LI31" s="23"/>
      <c r="LJ31" s="95">
        <f t="shared" si="215"/>
        <v>-8.658008658008658E-3</v>
      </c>
      <c r="LK31" s="23"/>
      <c r="LP31" s="22">
        <f t="shared" si="205"/>
        <v>83.429393000000005</v>
      </c>
      <c r="LQ31" s="95">
        <f t="shared" si="13"/>
        <v>1.9640943768871683E-2</v>
      </c>
      <c r="MJ31" s="237"/>
      <c r="MM31" s="237"/>
      <c r="MO31" s="237"/>
      <c r="MV31" t="str">
        <f t="shared" si="216"/>
        <v>Hópbifreiðar ≤5t</v>
      </c>
      <c r="MW31" s="23">
        <f t="shared" si="217"/>
        <v>4</v>
      </c>
      <c r="MX31" s="23">
        <f t="shared" si="217"/>
        <v>0</v>
      </c>
      <c r="MY31" s="23"/>
      <c r="MZ31" s="95">
        <f t="shared" si="218"/>
        <v>2.7624309392265192E-3</v>
      </c>
      <c r="NA31" s="23"/>
      <c r="NF31" s="22">
        <f t="shared" si="206"/>
        <v>81.859247000000011</v>
      </c>
      <c r="NG31" s="95">
        <f t="shared" si="16"/>
        <v>1.9271300071536875E-2</v>
      </c>
      <c r="NZ31" s="237"/>
      <c r="OC31" s="237"/>
      <c r="OE31" s="237"/>
    </row>
    <row r="32" spans="1:410" ht="16.5" customHeight="1" thickBot="1" x14ac:dyDescent="0.5">
      <c r="A32" s="981"/>
      <c r="B32" s="159" t="s">
        <v>754</v>
      </c>
      <c r="C32" s="160">
        <v>42702.306473651028</v>
      </c>
      <c r="D32" s="161">
        <v>41641</v>
      </c>
      <c r="E32" s="162">
        <v>41129</v>
      </c>
      <c r="F32" s="163">
        <v>125472.30647365103</v>
      </c>
      <c r="G32" s="200">
        <v>1076814.4799845761</v>
      </c>
      <c r="H32" s="1037"/>
      <c r="I32" s="180">
        <v>3.5107055646750082E-2</v>
      </c>
      <c r="J32" s="181">
        <v>5.5835087539148738E-2</v>
      </c>
      <c r="K32" s="182">
        <v>3.3612647239118054E-2</v>
      </c>
      <c r="L32" s="183">
        <v>3.3612647239118054E-2</v>
      </c>
      <c r="M32" s="292">
        <v>3.2701796332402111E-2</v>
      </c>
      <c r="N32" s="870"/>
      <c r="O32" s="206"/>
      <c r="P32" s="206"/>
      <c r="Q32" s="206"/>
      <c r="U32" s="96">
        <f t="shared" ref="U32:AB32" si="227">(U25-U18)/U18</f>
        <v>0.32831075100692003</v>
      </c>
      <c r="V32" s="96">
        <f t="shared" si="227"/>
        <v>0.32831075100692009</v>
      </c>
      <c r="W32" s="96">
        <f t="shared" si="227"/>
        <v>0.32831075100691998</v>
      </c>
      <c r="X32" s="96">
        <f t="shared" si="227"/>
        <v>0.32831075100691992</v>
      </c>
      <c r="Y32" s="96">
        <f t="shared" si="227"/>
        <v>0.32831075100691998</v>
      </c>
      <c r="Z32" s="96">
        <f t="shared" si="227"/>
        <v>0.3283107510069197</v>
      </c>
      <c r="AA32" s="96">
        <f t="shared" si="227"/>
        <v>0.3283107510069197</v>
      </c>
      <c r="AB32" s="96">
        <f t="shared" si="227"/>
        <v>0.32831075100691964</v>
      </c>
      <c r="AC32" s="96"/>
      <c r="AD32" s="96"/>
      <c r="AE32" s="96"/>
      <c r="AF32" s="237"/>
      <c r="AK32" s="701" t="s">
        <v>716</v>
      </c>
      <c r="AL32" s="695">
        <v>7422</v>
      </c>
      <c r="AP32" s="747" t="s">
        <v>709</v>
      </c>
      <c r="AQ32" s="739">
        <v>162</v>
      </c>
      <c r="AR32" s="740">
        <v>162</v>
      </c>
      <c r="AS32" s="774">
        <f t="shared" si="219"/>
        <v>1</v>
      </c>
      <c r="AT32" s="740">
        <v>51.9</v>
      </c>
      <c r="AU32" s="738">
        <v>18942</v>
      </c>
      <c r="AW32" s="621">
        <f>AQ32/$DV$38</f>
        <v>4.6381126889601468E-4</v>
      </c>
      <c r="AY32">
        <f t="shared" si="220"/>
        <v>3.0686040000000001</v>
      </c>
      <c r="AZ32">
        <f t="shared" si="221"/>
        <v>3.0688469999999999</v>
      </c>
      <c r="BA32" s="95">
        <f t="shared" si="203"/>
        <v>2.3507821415681665E-3</v>
      </c>
      <c r="BB32" s="95"/>
      <c r="BC32" s="95"/>
      <c r="CI32" s="701" t="s">
        <v>722</v>
      </c>
      <c r="CJ32" s="695">
        <v>904</v>
      </c>
      <c r="CN32" s="747" t="s">
        <v>709</v>
      </c>
      <c r="CO32" s="739">
        <v>162</v>
      </c>
      <c r="CP32" s="740">
        <v>162</v>
      </c>
      <c r="CQ32" s="774">
        <f t="shared" si="222"/>
        <v>1</v>
      </c>
      <c r="CR32" s="740">
        <v>51.9</v>
      </c>
      <c r="CS32" s="738">
        <v>18942</v>
      </c>
      <c r="CU32" s="621">
        <f>CO32/$DV$38</f>
        <v>4.6381126889601468E-4</v>
      </c>
      <c r="CW32">
        <f t="shared" si="223"/>
        <v>3.0686040000000001</v>
      </c>
      <c r="CX32">
        <f t="shared" si="224"/>
        <v>3.0688469999999999</v>
      </c>
      <c r="CY32" s="95">
        <f t="shared" si="18"/>
        <v>2.3507821415681665E-3</v>
      </c>
      <c r="CZ32" s="95"/>
      <c r="DA32" s="95"/>
      <c r="EJ32" s="564" t="s">
        <v>709</v>
      </c>
      <c r="EK32" s="562">
        <v>1282</v>
      </c>
      <c r="EL32" s="564">
        <v>771</v>
      </c>
      <c r="EM32" s="563">
        <v>0.6</v>
      </c>
      <c r="EN32" s="564">
        <v>57.4</v>
      </c>
      <c r="EO32" s="571">
        <v>20951</v>
      </c>
      <c r="EQ32" s="621">
        <f t="shared" si="225"/>
        <v>3.6704076958314247E-3</v>
      </c>
      <c r="ES32">
        <f t="shared" si="128"/>
        <v>26.859182000000001</v>
      </c>
      <c r="ET32">
        <f t="shared" si="226"/>
        <v>26.859182000000001</v>
      </c>
      <c r="EU32" s="95">
        <f t="shared" si="6"/>
        <v>5.4048229815815791E-3</v>
      </c>
      <c r="EV32" s="95"/>
      <c r="EZ32" s="101">
        <f>EZ13+EZ15+EZ16+EZ18+EZ17</f>
        <v>0.22691576088200408</v>
      </c>
      <c r="FA32" s="101">
        <f>EZ32/EZ33</f>
        <v>0.22874599025893588</v>
      </c>
      <c r="FO32" s="237"/>
      <c r="FT32" s="237"/>
      <c r="FV32" s="237"/>
      <c r="FW32"/>
      <c r="FX32"/>
      <c r="FY32"/>
      <c r="FZ32"/>
      <c r="GA32"/>
      <c r="GB32"/>
      <c r="GC32"/>
      <c r="GF32" s="565" t="s">
        <v>711</v>
      </c>
      <c r="GG32" s="567">
        <v>1848</v>
      </c>
      <c r="GH32" s="565">
        <v>1012</v>
      </c>
      <c r="GI32" s="566">
        <v>0.55000000000000004</v>
      </c>
      <c r="GJ32" s="565">
        <v>119.66</v>
      </c>
      <c r="GK32" s="572">
        <v>43678</v>
      </c>
      <c r="GM32" s="95">
        <f t="shared" si="207"/>
        <v>5.4923336176586849E-3</v>
      </c>
      <c r="GO32" s="22">
        <f t="shared" si="208"/>
        <v>80.713063200000008</v>
      </c>
      <c r="GP32" s="22">
        <f>GP12+GP18</f>
        <v>142.71684499999998</v>
      </c>
      <c r="GQ32" s="95">
        <f t="shared" si="8"/>
        <v>2.9046494378414979E-2</v>
      </c>
      <c r="GR32" s="95">
        <f>GP32/$GP$38</f>
        <v>0.15305578484730076</v>
      </c>
      <c r="HJ32"/>
      <c r="HK32" s="237"/>
      <c r="HM32"/>
      <c r="HN32" s="237"/>
      <c r="HO32"/>
      <c r="HP32" s="237"/>
      <c r="HQ32" s="237"/>
      <c r="HR32" s="237"/>
      <c r="HS32" s="237"/>
      <c r="HT32" s="237"/>
      <c r="HU32" s="237"/>
      <c r="HV32" s="237"/>
      <c r="HX32" s="505" t="s">
        <v>711</v>
      </c>
      <c r="HY32" s="507">
        <v>1772</v>
      </c>
      <c r="HZ32" s="505">
        <v>878</v>
      </c>
      <c r="IA32" s="506">
        <v>0.5</v>
      </c>
      <c r="IB32" s="505">
        <v>82.85</v>
      </c>
      <c r="IC32" s="507">
        <v>30242</v>
      </c>
      <c r="IE32" s="95">
        <f t="shared" si="209"/>
        <v>5.6201513508027431E-3</v>
      </c>
      <c r="IG32" s="22">
        <f t="shared" si="210"/>
        <v>53.585722999999994</v>
      </c>
      <c r="IH32" s="22">
        <f>IH12+IH18</f>
        <v>110.647164</v>
      </c>
      <c r="II32" s="95">
        <f t="shared" si="40"/>
        <v>2.6551233830314293E-2</v>
      </c>
      <c r="IP32" t="s">
        <v>712</v>
      </c>
      <c r="IQ32" t="s">
        <v>675</v>
      </c>
      <c r="IR32">
        <v>70.9769741921898</v>
      </c>
      <c r="IS32">
        <v>7.3169105356480999E-3</v>
      </c>
      <c r="IT32">
        <v>6.0998104818480998E-4</v>
      </c>
      <c r="JB32"/>
      <c r="JC32" s="237"/>
      <c r="JE32"/>
      <c r="JF32" s="237"/>
      <c r="JG32"/>
      <c r="JH32" s="237"/>
      <c r="JP32" s="419" t="s">
        <v>711</v>
      </c>
      <c r="JQ32" s="413">
        <v>1749</v>
      </c>
      <c r="JR32" s="411">
        <v>795</v>
      </c>
      <c r="JS32" s="412">
        <v>0.45</v>
      </c>
      <c r="JT32" s="411">
        <v>113.34</v>
      </c>
      <c r="JU32" s="420">
        <v>41368</v>
      </c>
      <c r="JW32" s="95">
        <f t="shared" si="211"/>
        <v>5.5472035623893891E-3</v>
      </c>
      <c r="JY32" s="22">
        <f t="shared" si="212"/>
        <v>72.354555899999994</v>
      </c>
      <c r="JZ32" s="22">
        <f>JZ12+JZ18</f>
        <v>132.90707400000002</v>
      </c>
      <c r="KA32" s="95">
        <f t="shared" si="11"/>
        <v>3.1892790306644332E-2</v>
      </c>
      <c r="KT32" s="237"/>
      <c r="KW32" s="237"/>
      <c r="KY32" s="237"/>
      <c r="LF32" t="str">
        <f t="shared" si="213"/>
        <v>Hópbifreiðar &gt;5t</v>
      </c>
      <c r="LG32" s="23">
        <f t="shared" si="214"/>
        <v>21</v>
      </c>
      <c r="LH32" s="23">
        <f t="shared" si="214"/>
        <v>1</v>
      </c>
      <c r="LI32" s="23"/>
      <c r="LJ32" s="95">
        <f t="shared" si="215"/>
        <v>1.171875E-2</v>
      </c>
      <c r="LK32" s="23"/>
      <c r="LP32" s="22">
        <f t="shared" si="205"/>
        <v>390.29391499999997</v>
      </c>
      <c r="LQ32" s="95">
        <f t="shared" si="13"/>
        <v>9.1882975078672616E-2</v>
      </c>
      <c r="MJ32" s="237"/>
      <c r="MM32" s="237"/>
      <c r="MO32" s="237"/>
      <c r="MV32" t="str">
        <f t="shared" si="216"/>
        <v>Hópbifreiðar &gt;5t</v>
      </c>
      <c r="MW32" s="23">
        <f t="shared" si="217"/>
        <v>21</v>
      </c>
      <c r="MX32" s="23">
        <f t="shared" si="217"/>
        <v>1</v>
      </c>
      <c r="MY32" s="23"/>
      <c r="MZ32" s="95">
        <f t="shared" si="218"/>
        <v>1.2E-2</v>
      </c>
      <c r="NA32" s="23"/>
      <c r="NF32" s="22">
        <f t="shared" si="206"/>
        <v>376.86854900000003</v>
      </c>
      <c r="NG32" s="95">
        <f t="shared" si="16"/>
        <v>8.8722376047555118E-2</v>
      </c>
      <c r="NZ32" s="237"/>
      <c r="OC32" s="237"/>
      <c r="OE32" s="237"/>
    </row>
    <row r="33" spans="1:395" ht="16.5" customHeight="1" thickBot="1" x14ac:dyDescent="0.5">
      <c r="A33" s="981"/>
      <c r="B33" s="159" t="s">
        <v>755</v>
      </c>
      <c r="C33" s="160">
        <v>43343.136815972022</v>
      </c>
      <c r="D33" s="161">
        <v>42356</v>
      </c>
      <c r="E33" s="162">
        <v>40267</v>
      </c>
      <c r="F33" s="163">
        <v>125966.13681597202</v>
      </c>
      <c r="G33" s="200">
        <v>1202780.616800548</v>
      </c>
      <c r="H33" s="1037"/>
      <c r="I33" s="180">
        <v>9.8573954883459783E-2</v>
      </c>
      <c r="J33" s="181">
        <v>8.2009942227596402E-2</v>
      </c>
      <c r="K33" s="182">
        <v>8.522267532756711E-2</v>
      </c>
      <c r="L33" s="183">
        <v>8.522267532756711E-2</v>
      </c>
      <c r="M33" s="292">
        <v>3.7962723298757828E-2</v>
      </c>
      <c r="N33" s="870"/>
      <c r="O33" s="206"/>
      <c r="P33" s="206"/>
      <c r="Q33" s="206"/>
      <c r="AK33" s="701" t="s">
        <v>722</v>
      </c>
      <c r="AL33" s="695">
        <v>1056</v>
      </c>
      <c r="AP33" s="747" t="s">
        <v>711</v>
      </c>
      <c r="AQ33" s="739">
        <v>508</v>
      </c>
      <c r="AR33" s="740">
        <v>553</v>
      </c>
      <c r="AS33" s="774">
        <f t="shared" si="219"/>
        <v>1.0885826771653544</v>
      </c>
      <c r="AT33" s="740">
        <v>162.9</v>
      </c>
      <c r="AU33" s="738">
        <v>59444</v>
      </c>
      <c r="AW33" s="621">
        <f>AQ33/$DV$38</f>
        <v>1.4544205222171325E-3</v>
      </c>
      <c r="AY33">
        <f t="shared" si="220"/>
        <v>30.197552000000002</v>
      </c>
      <c r="AZ33">
        <f t="shared" si="221"/>
        <v>30.204917999999999</v>
      </c>
      <c r="BA33" s="95">
        <f t="shared" si="203"/>
        <v>2.3133602758999228E-2</v>
      </c>
      <c r="BB33" s="95"/>
      <c r="BC33" s="95"/>
      <c r="CI33" s="701" t="s">
        <v>726</v>
      </c>
      <c r="CJ33" s="695">
        <v>1408</v>
      </c>
      <c r="CN33" s="747" t="s">
        <v>711</v>
      </c>
      <c r="CO33" s="739">
        <v>508</v>
      </c>
      <c r="CP33" s="740">
        <v>553</v>
      </c>
      <c r="CQ33" s="774">
        <f t="shared" si="222"/>
        <v>1.0885826771653544</v>
      </c>
      <c r="CR33" s="740">
        <v>162.9</v>
      </c>
      <c r="CS33" s="738">
        <v>59444</v>
      </c>
      <c r="CU33" s="621">
        <f>CO33/$DV$38</f>
        <v>1.4544205222171325E-3</v>
      </c>
      <c r="CW33">
        <f t="shared" si="223"/>
        <v>30.197552000000002</v>
      </c>
      <c r="CX33">
        <f t="shared" si="224"/>
        <v>30.204917999999999</v>
      </c>
      <c r="CY33" s="95">
        <f t="shared" si="18"/>
        <v>2.3133602758999228E-2</v>
      </c>
      <c r="CZ33" s="95"/>
      <c r="DA33" s="95"/>
      <c r="EJ33" s="565" t="s">
        <v>711</v>
      </c>
      <c r="EK33" s="567">
        <v>1949</v>
      </c>
      <c r="EL33" s="565">
        <v>1163</v>
      </c>
      <c r="EM33" s="566">
        <v>0.6</v>
      </c>
      <c r="EN33" s="565">
        <v>124.2</v>
      </c>
      <c r="EO33" s="572">
        <v>45333</v>
      </c>
      <c r="EQ33" s="621">
        <f t="shared" si="225"/>
        <v>5.5800503893724237E-3</v>
      </c>
      <c r="ES33">
        <f t="shared" si="128"/>
        <v>88.354016999999999</v>
      </c>
      <c r="ET33">
        <f t="shared" si="226"/>
        <v>88.354016999999999</v>
      </c>
      <c r="EU33" s="95">
        <f t="shared" si="6"/>
        <v>1.7779313666240824E-2</v>
      </c>
      <c r="EV33" s="95"/>
      <c r="EZ33" s="101">
        <f>SUM(EZ11:EZ18)</f>
        <v>0.99199885700789758</v>
      </c>
      <c r="FA33" s="101">
        <f>EZ13/EZ33</f>
        <v>9.4888473414759394E-2</v>
      </c>
      <c r="FO33" s="237"/>
      <c r="FT33" s="237"/>
      <c r="FV33" s="237"/>
      <c r="FW33"/>
      <c r="FX33"/>
      <c r="FY33"/>
      <c r="FZ33"/>
      <c r="GA33"/>
      <c r="GB33"/>
      <c r="GC33"/>
      <c r="GF33" s="564" t="s">
        <v>716</v>
      </c>
      <c r="GG33" s="562">
        <v>31887</v>
      </c>
      <c r="GH33" s="562">
        <v>17763</v>
      </c>
      <c r="GI33" s="563">
        <v>0.56000000000000005</v>
      </c>
      <c r="GJ33" s="564">
        <v>41.49</v>
      </c>
      <c r="GK33" s="571">
        <v>15143</v>
      </c>
      <c r="GM33" s="95">
        <f t="shared" si="207"/>
        <v>9.476950328262039E-2</v>
      </c>
      <c r="GO33" s="22">
        <f t="shared" si="208"/>
        <v>482.89194494999998</v>
      </c>
      <c r="GP33" s="22">
        <f>GP13+GP19</f>
        <v>407.12562700000001</v>
      </c>
      <c r="GQ33" s="95">
        <f t="shared" si="8"/>
        <v>8.2860381589602655E-2</v>
      </c>
      <c r="GR33" s="95">
        <f>GP33/$GP$38</f>
        <v>0.43661932389224573</v>
      </c>
      <c r="HG33" s="85">
        <f>HG11+HG14+HG15+HG18+HG19+HG21</f>
        <v>1340.8995725649843</v>
      </c>
      <c r="HH33" s="85">
        <f>HH11+HH14+HH15+HH18+HH19+HH21</f>
        <v>95172.99435626324</v>
      </c>
      <c r="HI33" s="85">
        <f>HI11+HI14+HI15+HI18+HI19+HI21</f>
        <v>9.8112422097467658</v>
      </c>
      <c r="HJ33" s="85">
        <f>HJ11+HJ14+HJ15+HJ18+HJ19+HJ21</f>
        <v>0.81792332678375279</v>
      </c>
      <c r="HK33" s="85">
        <f>HK11+HK14+HK15+HK18+HK19+HK21</f>
        <v>95664.458819733831</v>
      </c>
      <c r="HM33"/>
      <c r="HN33" s="237"/>
      <c r="HO33"/>
      <c r="HP33" s="237"/>
      <c r="HQ33" s="237"/>
      <c r="HR33" s="237"/>
      <c r="HS33" s="237"/>
      <c r="HT33" s="237"/>
      <c r="HU33" s="237"/>
      <c r="HV33" s="237"/>
      <c r="HX33" s="502" t="s">
        <v>716</v>
      </c>
      <c r="HY33" s="503">
        <v>30309</v>
      </c>
      <c r="HZ33" s="503">
        <v>16714</v>
      </c>
      <c r="IA33" s="504">
        <v>0.55000000000000004</v>
      </c>
      <c r="IB33" s="502">
        <v>35.94</v>
      </c>
      <c r="IC33" s="503">
        <v>13118</v>
      </c>
      <c r="IE33" s="95">
        <f t="shared" si="209"/>
        <v>9.6129326913927948E-2</v>
      </c>
      <c r="IG33" s="22">
        <f t="shared" si="210"/>
        <v>397.59649289999999</v>
      </c>
      <c r="IH33" s="22">
        <f>IH13+IH19</f>
        <v>334.79102800000004</v>
      </c>
      <c r="II33" s="95">
        <f t="shared" si="40"/>
        <v>8.0337484914835236E-2</v>
      </c>
      <c r="IQ33" t="s">
        <v>717</v>
      </c>
      <c r="IR33">
        <v>74.054734089485606</v>
      </c>
      <c r="IS33">
        <v>1.1457692289250001E-4</v>
      </c>
      <c r="IT33">
        <v>2.5659043229536902E-3</v>
      </c>
      <c r="IY33" s="85">
        <f>IY11+IY14+IY15+IY18+IY19+IY21</f>
        <v>1390.1896121938335</v>
      </c>
      <c r="IZ33" s="85">
        <f>IZ11+IZ14+IZ15+IZ18+IZ19+IZ21</f>
        <v>98671.452226932044</v>
      </c>
      <c r="JA33" s="85">
        <f>JA11+JA14+JA15+JA18+JA19+JA21</f>
        <v>10.171893020009607</v>
      </c>
      <c r="JB33" s="85">
        <f>JB11+JB14+JB15+JB18+JB19+JB21</f>
        <v>0.84798931682162881</v>
      </c>
      <c r="JC33" s="85">
        <f>JC11+JC14+JC15+JC18+JC19+JC21</f>
        <v>99180.98240045007</v>
      </c>
      <c r="JE33"/>
      <c r="JF33" s="237"/>
      <c r="JG33"/>
      <c r="JH33" s="237"/>
      <c r="JP33" s="417" t="s">
        <v>716</v>
      </c>
      <c r="JQ33" s="408">
        <v>29461</v>
      </c>
      <c r="JR33" s="408">
        <v>15234</v>
      </c>
      <c r="JS33" s="409">
        <v>0.52</v>
      </c>
      <c r="JT33" s="410">
        <v>36.14</v>
      </c>
      <c r="JU33" s="418">
        <v>13192</v>
      </c>
      <c r="JW33" s="95">
        <f t="shared" si="211"/>
        <v>9.3439773671557341E-2</v>
      </c>
      <c r="JY33" s="22">
        <f t="shared" si="212"/>
        <v>388.62299710000002</v>
      </c>
      <c r="JZ33" s="22">
        <f>JZ13+JZ19</f>
        <v>323.39868100000001</v>
      </c>
      <c r="KA33" s="95">
        <f t="shared" si="11"/>
        <v>7.7603742285217728E-2</v>
      </c>
      <c r="KP33" s="85">
        <f>KP11+KP14+KP15+KP18+KP19+KP21</f>
        <v>1328.7311802963866</v>
      </c>
      <c r="KQ33" s="85">
        <f>KQ11+KQ14+KQ15+KQ18+KQ19+KQ21</f>
        <v>96222.116123433982</v>
      </c>
      <c r="KR33" s="85">
        <f>KR11+KR14+KR15+KR18+KR19+KR21</f>
        <v>10.46844358473799</v>
      </c>
      <c r="KS33" s="85">
        <f>KS11+KS14+KS15+KS18+KS19+KS21</f>
        <v>1.2426431441703485</v>
      </c>
      <c r="KT33" s="85">
        <f>KT11+KT14+KT15+KT18+KT19+KT21</f>
        <v>96844.532977011782</v>
      </c>
      <c r="KW33" s="237"/>
      <c r="KY33" s="237"/>
      <c r="LF33" t="str">
        <f t="shared" si="213"/>
        <v>Sendibifreiðar</v>
      </c>
      <c r="LG33" s="23">
        <f t="shared" si="214"/>
        <v>448</v>
      </c>
      <c r="LH33" s="23">
        <f t="shared" si="214"/>
        <v>139</v>
      </c>
      <c r="LI33" s="23"/>
      <c r="LJ33" s="95">
        <f t="shared" si="215"/>
        <v>1.5480839006185425E-2</v>
      </c>
      <c r="LK33" s="23"/>
      <c r="LP33" s="22">
        <f t="shared" si="205"/>
        <v>83.163577000000004</v>
      </c>
      <c r="LQ33" s="95">
        <f t="shared" si="13"/>
        <v>1.957836537867692E-2</v>
      </c>
      <c r="MJ33" s="237"/>
      <c r="MM33" s="237"/>
      <c r="MO33" s="237"/>
      <c r="MV33" t="str">
        <f t="shared" si="216"/>
        <v>Sendibifreiðar</v>
      </c>
      <c r="MW33" s="23">
        <f t="shared" si="217"/>
        <v>376</v>
      </c>
      <c r="MX33" s="23">
        <f t="shared" si="217"/>
        <v>133</v>
      </c>
      <c r="MY33" s="23"/>
      <c r="MZ33" s="95">
        <f t="shared" si="218"/>
        <v>1.340033500837521E-2</v>
      </c>
      <c r="NA33" s="23"/>
      <c r="NF33" s="22">
        <f t="shared" si="206"/>
        <v>82.855469999999983</v>
      </c>
      <c r="NG33" s="95">
        <f t="shared" si="16"/>
        <v>1.9505830843254898E-2</v>
      </c>
      <c r="NZ33" s="237"/>
      <c r="OC33" s="237"/>
      <c r="OE33" s="237"/>
    </row>
    <row r="34" spans="1:395" ht="16.5" customHeight="1" thickBot="1" x14ac:dyDescent="0.5">
      <c r="A34" s="981"/>
      <c r="B34" s="293" t="s">
        <v>756</v>
      </c>
      <c r="C34" s="160">
        <v>43214</v>
      </c>
      <c r="D34" s="161">
        <v>41768</v>
      </c>
      <c r="E34" s="162">
        <v>38748.857885665217</v>
      </c>
      <c r="F34" s="163">
        <v>123730.85788566522</v>
      </c>
      <c r="G34" s="200">
        <v>1326511.4746862133</v>
      </c>
      <c r="H34" s="1037"/>
      <c r="I34" s="180">
        <v>8.9996468748423541E-2</v>
      </c>
      <c r="J34" s="181">
        <v>4.4415457417999959E-2</v>
      </c>
      <c r="K34" s="182">
        <v>5.0364674151218258E-2</v>
      </c>
      <c r="L34" s="183">
        <v>5.0364674151218258E-2</v>
      </c>
      <c r="M34" s="292">
        <v>3.9107121675610257E-2</v>
      </c>
      <c r="N34" s="870"/>
      <c r="O34" s="206"/>
      <c r="P34" s="206"/>
      <c r="Q34" s="206"/>
      <c r="AK34" s="701" t="s">
        <v>726</v>
      </c>
      <c r="AL34" s="695">
        <v>1521</v>
      </c>
      <c r="AP34" s="747" t="s">
        <v>716</v>
      </c>
      <c r="AQ34" s="739">
        <v>8085</v>
      </c>
      <c r="AR34" s="742">
        <v>5167</v>
      </c>
      <c r="AS34" s="774">
        <f t="shared" si="219"/>
        <v>0.63908472479901046</v>
      </c>
      <c r="AT34" s="740">
        <v>44.2</v>
      </c>
      <c r="AU34" s="738">
        <v>16144</v>
      </c>
      <c r="AW34" s="621">
        <f>AQ34/$DV$38</f>
        <v>2.3147617956939991E-2</v>
      </c>
      <c r="AY34">
        <f t="shared" si="220"/>
        <v>130.52423999999999</v>
      </c>
      <c r="AZ34">
        <f t="shared" si="221"/>
        <v>130.43530500000003</v>
      </c>
      <c r="BA34" s="95">
        <f t="shared" si="203"/>
        <v>9.9991413826533926E-2</v>
      </c>
      <c r="BB34" s="95"/>
      <c r="BC34" s="95"/>
      <c r="CI34" s="697" t="s">
        <v>763</v>
      </c>
      <c r="CJ34" s="695"/>
      <c r="CN34" s="747" t="s">
        <v>716</v>
      </c>
      <c r="CO34" s="739">
        <v>8085</v>
      </c>
      <c r="CP34" s="742">
        <v>5167</v>
      </c>
      <c r="CQ34" s="774">
        <f t="shared" si="222"/>
        <v>0.63908472479901046</v>
      </c>
      <c r="CR34" s="740">
        <v>44.2</v>
      </c>
      <c r="CS34" s="738">
        <v>16144</v>
      </c>
      <c r="CU34" s="621">
        <f>CO34/$DV$38</f>
        <v>2.3147617956939991E-2</v>
      </c>
      <c r="CW34">
        <f t="shared" si="223"/>
        <v>130.52423999999999</v>
      </c>
      <c r="CX34">
        <f t="shared" si="224"/>
        <v>130.43530500000003</v>
      </c>
      <c r="CY34" s="95">
        <f t="shared" si="18"/>
        <v>9.9991413826533926E-2</v>
      </c>
      <c r="CZ34" s="95"/>
      <c r="DA34" s="95"/>
      <c r="EJ34" s="564" t="s">
        <v>716</v>
      </c>
      <c r="EK34" s="562">
        <v>32465</v>
      </c>
      <c r="EL34" s="562">
        <v>19312</v>
      </c>
      <c r="EM34" s="563">
        <v>0.59</v>
      </c>
      <c r="EN34" s="564">
        <v>42.37</v>
      </c>
      <c r="EO34" s="571">
        <v>15465</v>
      </c>
      <c r="EQ34" s="621">
        <f t="shared" si="225"/>
        <v>9.2948350893266141E-2</v>
      </c>
      <c r="ES34">
        <f t="shared" si="128"/>
        <v>502.07122500000003</v>
      </c>
      <c r="ET34">
        <f t="shared" si="226"/>
        <v>502.07284824999994</v>
      </c>
      <c r="EU34" s="95">
        <f t="shared" si="6"/>
        <v>0.1010308540025834</v>
      </c>
      <c r="EV34" s="95"/>
      <c r="FK34" s="85">
        <f>FK11+FK15+FK16+FK19+FK20+FK22</f>
        <v>1327.8990789166749</v>
      </c>
      <c r="FL34" s="85">
        <f>FL11+FL15+FL16+FL19+FL20+FL22</f>
        <v>96053.583183280702</v>
      </c>
      <c r="FM34" s="85">
        <f>FM11+FM15+FM16+FM19+FM20+FM22</f>
        <v>9.5126918191345897</v>
      </c>
      <c r="FN34" s="85">
        <f>FN11+FN15+FN16+FN19+FN20+FN22</f>
        <v>0.63594435867946497</v>
      </c>
      <c r="FO34" s="85">
        <f>FO11+FO15+FO16+FO19+FO20+FO22</f>
        <v>96488.463809266526</v>
      </c>
      <c r="FT34" s="237"/>
      <c r="FV34" s="237"/>
      <c r="FW34"/>
      <c r="FX34"/>
      <c r="FY34"/>
      <c r="FZ34"/>
      <c r="GA34"/>
      <c r="GB34"/>
      <c r="GC34"/>
      <c r="GF34" s="565" t="s">
        <v>722</v>
      </c>
      <c r="GG34" s="567">
        <v>6364</v>
      </c>
      <c r="GH34" s="567">
        <v>3550</v>
      </c>
      <c r="GI34" s="566">
        <v>0.56000000000000005</v>
      </c>
      <c r="GJ34" s="565">
        <v>44.68</v>
      </c>
      <c r="GK34" s="572">
        <v>16307</v>
      </c>
      <c r="GM34" s="95">
        <f t="shared" si="207"/>
        <v>1.891407529371205E-2</v>
      </c>
      <c r="GO34" s="22">
        <f t="shared" si="208"/>
        <v>103.78538480000002</v>
      </c>
      <c r="GP34" s="22">
        <f>GP14+GP20</f>
        <v>96.765279000000007</v>
      </c>
      <c r="GQ34" s="95">
        <f t="shared" si="8"/>
        <v>1.9694186292439814E-2</v>
      </c>
      <c r="GR34" s="95">
        <f>GP34/$GP$38</f>
        <v>0.10377531624464537</v>
      </c>
      <c r="HG34" s="85">
        <f>HG12+HG17+HG16+HG20+HG22</f>
        <v>1887.8684411304471</v>
      </c>
      <c r="HH34" s="85">
        <f>HH12+HH17+HH16+HH20+HH22</f>
        <v>139805.59540384696</v>
      </c>
      <c r="HI34" s="85">
        <f>HI12+HI17+HI16+HI20+HI22</f>
        <v>0.2163061568105874</v>
      </c>
      <c r="HJ34" s="85">
        <f>HJ12+HJ17+HJ16+HJ20+HJ22</f>
        <v>4.8440897942644581</v>
      </c>
      <c r="HK34" s="85">
        <f>HK12+HK17+HK16+HK20+HK22</f>
        <v>141095.33577171777</v>
      </c>
      <c r="HM34"/>
      <c r="HN34" s="237"/>
      <c r="HO34"/>
      <c r="HP34" s="237"/>
      <c r="HQ34" s="237"/>
      <c r="HR34" s="237"/>
      <c r="HS34" s="237"/>
      <c r="HT34" s="237"/>
      <c r="HU34" s="237"/>
      <c r="HV34" s="237"/>
      <c r="HX34" s="505" t="s">
        <v>722</v>
      </c>
      <c r="HY34" s="507">
        <v>6222</v>
      </c>
      <c r="HZ34" s="507">
        <v>3180</v>
      </c>
      <c r="IA34" s="506">
        <v>0.51</v>
      </c>
      <c r="IB34" s="505">
        <v>38.26</v>
      </c>
      <c r="IC34" s="507">
        <v>13966</v>
      </c>
      <c r="IE34" s="95">
        <f t="shared" si="209"/>
        <v>1.9733962587299474E-2</v>
      </c>
      <c r="IG34" s="22">
        <f t="shared" si="210"/>
        <v>86.889607799999993</v>
      </c>
      <c r="IH34" s="22">
        <f>IH14+IH20</f>
        <v>79.791348999999997</v>
      </c>
      <c r="II34" s="95">
        <f t="shared" si="40"/>
        <v>1.9146977548698985E-2</v>
      </c>
      <c r="IJ34" s="101"/>
      <c r="IQ34" t="s">
        <v>723</v>
      </c>
      <c r="IR34">
        <v>70.9769741921898</v>
      </c>
      <c r="IS34">
        <v>7.3169105356480999E-3</v>
      </c>
      <c r="IT34">
        <v>6.0998104818480998E-4</v>
      </c>
      <c r="IY34" s="85">
        <f>IY12+IY17+IY16+IY20+IY22</f>
        <v>1940.7299622812766</v>
      </c>
      <c r="IZ34" s="85">
        <f>IZ12+IZ17+IZ16+IZ20+IZ22</f>
        <v>143720.24129623739</v>
      </c>
      <c r="JA34" s="85">
        <f>JA12+JA17+JA16+JA20+JA22</f>
        <v>0.22236286724346627</v>
      </c>
      <c r="JB34" s="85">
        <f>JB12+JB17+JB16+JB20+JB22</f>
        <v>4.979727399903279</v>
      </c>
      <c r="JC34" s="85">
        <f>JC12+JC17+JC16+JC20+JC22</f>
        <v>145046.09521749456</v>
      </c>
      <c r="JE34"/>
      <c r="JF34" s="237"/>
      <c r="JG34"/>
      <c r="JH34" s="237"/>
      <c r="JP34" s="419" t="s">
        <v>722</v>
      </c>
      <c r="JQ34" s="413">
        <v>6073</v>
      </c>
      <c r="JR34" s="413">
        <v>2918</v>
      </c>
      <c r="JS34" s="412">
        <v>0.48</v>
      </c>
      <c r="JT34" s="411">
        <v>38.24</v>
      </c>
      <c r="JU34" s="420">
        <v>13959</v>
      </c>
      <c r="JW34" s="95">
        <f t="shared" si="211"/>
        <v>1.9261387784099918E-2</v>
      </c>
      <c r="JY34" s="22">
        <f t="shared" si="212"/>
        <v>84.764504799999997</v>
      </c>
      <c r="JZ34" s="22">
        <f>JZ14+JZ20</f>
        <v>77.861462000000003</v>
      </c>
      <c r="KA34" s="95">
        <f t="shared" si="11"/>
        <v>1.8683875927738472E-2</v>
      </c>
      <c r="KP34" s="85">
        <f>KP12+KP17+KP16+KP20+KP22</f>
        <v>1787.5508380528222</v>
      </c>
      <c r="KQ34" s="85">
        <f>KQ12+KQ17+KQ16+KQ20+KQ22</f>
        <v>131148.38043727918</v>
      </c>
      <c r="KR34" s="85">
        <f>KR12+KR17+KR16+KR20+KR22</f>
        <v>0.11863579758594027</v>
      </c>
      <c r="KS34" s="85">
        <f>KS12+KS17+KS16+KS20+KS22</f>
        <v>4.5163840991127939</v>
      </c>
      <c r="KT34" s="85">
        <f>KT12+KT17+KT16+KT20+KT22</f>
        <v>132348.54402587647</v>
      </c>
      <c r="KW34" s="237"/>
      <c r="KY34" s="237"/>
      <c r="LF34" t="str">
        <f t="shared" si="213"/>
        <v>Vörubifreiðar ≤12t</v>
      </c>
      <c r="LG34" s="23">
        <f t="shared" si="214"/>
        <v>2</v>
      </c>
      <c r="LH34" s="23">
        <f t="shared" si="214"/>
        <v>0</v>
      </c>
      <c r="LI34" s="23"/>
      <c r="LJ34" s="95">
        <f t="shared" si="215"/>
        <v>3.3973161202649905E-4</v>
      </c>
      <c r="LK34" s="23"/>
      <c r="LP34" s="22">
        <f t="shared" si="205"/>
        <v>172.11524700000001</v>
      </c>
      <c r="LQ34" s="95">
        <f t="shared" si="13"/>
        <v>4.0519363338679219E-2</v>
      </c>
      <c r="MJ34" s="237"/>
      <c r="MM34" s="237"/>
      <c r="MO34" s="237"/>
      <c r="MV34" t="str">
        <f t="shared" si="216"/>
        <v>Vörubifreiðar ≤12t</v>
      </c>
      <c r="MW34" s="23">
        <f t="shared" si="217"/>
        <v>3</v>
      </c>
      <c r="MX34" s="23">
        <f t="shared" si="217"/>
        <v>0</v>
      </c>
      <c r="MY34" s="23"/>
      <c r="MZ34" s="95">
        <f t="shared" si="218"/>
        <v>5.2192066805845506E-4</v>
      </c>
      <c r="NA34" s="23"/>
      <c r="NF34" s="22">
        <f t="shared" si="206"/>
        <v>171.054135</v>
      </c>
      <c r="NG34" s="95">
        <f t="shared" si="16"/>
        <v>4.0269556401638755E-2</v>
      </c>
      <c r="NZ34" s="237"/>
      <c r="OC34" s="237"/>
      <c r="OE34" s="237"/>
    </row>
    <row r="35" spans="1:395" ht="16.5" customHeight="1" thickBot="1" x14ac:dyDescent="0.5">
      <c r="A35" s="1036"/>
      <c r="B35" s="294" t="s">
        <v>758</v>
      </c>
      <c r="C35" s="168">
        <v>42532</v>
      </c>
      <c r="D35" s="169">
        <v>42771</v>
      </c>
      <c r="E35" s="170">
        <v>38934</v>
      </c>
      <c r="F35" s="204">
        <v>124237</v>
      </c>
      <c r="G35" s="200">
        <v>1450748.4746862133</v>
      </c>
      <c r="H35" s="1037"/>
      <c r="I35" s="184">
        <v>5.8536585365853662E-2</v>
      </c>
      <c r="J35" s="185">
        <v>5.7989130434782606E-2</v>
      </c>
      <c r="K35" s="186">
        <v>3.7686364585508558E-2</v>
      </c>
      <c r="L35" s="187">
        <v>3.7686364585508558E-2</v>
      </c>
      <c r="M35" s="295">
        <v>3.8985300732207406E-2</v>
      </c>
      <c r="N35" s="870"/>
      <c r="O35" s="206"/>
      <c r="P35" s="206"/>
      <c r="Q35" s="206"/>
      <c r="AI35" s="101"/>
      <c r="AJ35" s="101"/>
      <c r="AK35" s="697" t="s">
        <v>763</v>
      </c>
      <c r="AL35" s="695"/>
      <c r="AO35" s="101"/>
      <c r="AP35" s="747" t="s">
        <v>722</v>
      </c>
      <c r="AQ35" s="739">
        <v>957</v>
      </c>
      <c r="AR35" s="740">
        <v>931</v>
      </c>
      <c r="AS35" s="774">
        <f t="shared" si="219"/>
        <v>0.97283176593521425</v>
      </c>
      <c r="AT35" s="740">
        <v>40.799999999999997</v>
      </c>
      <c r="AU35" s="738">
        <v>14900</v>
      </c>
      <c r="AV35" s="101"/>
      <c r="AW35" s="621">
        <f>AQ35/$DV$38</f>
        <v>2.7399221255153461E-3</v>
      </c>
      <c r="AY35">
        <f t="shared" si="220"/>
        <v>14.2593</v>
      </c>
      <c r="AZ35">
        <f t="shared" si="221"/>
        <v>14.251643999999999</v>
      </c>
      <c r="BA35" s="95">
        <f t="shared" si="203"/>
        <v>1.0923699438331878E-2</v>
      </c>
      <c r="BB35" s="95"/>
      <c r="BC35" s="95"/>
      <c r="BZ35" s="101"/>
      <c r="CA35" s="101"/>
      <c r="CB35" s="101"/>
      <c r="CC35" s="101"/>
      <c r="CD35" s="101"/>
      <c r="CE35" s="101"/>
      <c r="CF35" s="101"/>
      <c r="CG35" s="101"/>
      <c r="CH35" s="101"/>
      <c r="CI35" s="701" t="s">
        <v>285</v>
      </c>
      <c r="CJ35" s="695"/>
      <c r="CM35" s="101"/>
      <c r="CN35" s="747" t="s">
        <v>722</v>
      </c>
      <c r="CO35" s="739">
        <v>957</v>
      </c>
      <c r="CP35" s="740">
        <v>931</v>
      </c>
      <c r="CQ35" s="774">
        <f t="shared" si="222"/>
        <v>0.97283176593521425</v>
      </c>
      <c r="CR35" s="740">
        <v>40.799999999999997</v>
      </c>
      <c r="CS35" s="738">
        <v>14900</v>
      </c>
      <c r="CT35" s="101"/>
      <c r="CU35" s="621">
        <f>CO35/$DV$38</f>
        <v>2.7399221255153461E-3</v>
      </c>
      <c r="CW35">
        <f t="shared" si="223"/>
        <v>14.2593</v>
      </c>
      <c r="CX35">
        <f t="shared" si="224"/>
        <v>14.251643999999999</v>
      </c>
      <c r="CY35" s="95">
        <f t="shared" si="18"/>
        <v>1.0923699438331878E-2</v>
      </c>
      <c r="CZ35" s="95"/>
      <c r="DA35" s="95"/>
      <c r="DX35" s="101"/>
      <c r="DY35" s="101"/>
      <c r="DZ35" s="101"/>
      <c r="EA35" s="101"/>
      <c r="EB35" s="101"/>
      <c r="EC35" s="101"/>
      <c r="ED35" s="101"/>
      <c r="EE35" s="101"/>
      <c r="EF35" s="101"/>
      <c r="EG35" s="101"/>
      <c r="EH35" s="101"/>
      <c r="EI35" s="101"/>
      <c r="EJ35" s="565" t="s">
        <v>722</v>
      </c>
      <c r="EK35" s="567">
        <v>6516</v>
      </c>
      <c r="EL35" s="567">
        <v>3781</v>
      </c>
      <c r="EM35" s="566">
        <v>0.57999999999999996</v>
      </c>
      <c r="EN35" s="565">
        <v>45.24</v>
      </c>
      <c r="EO35" s="572">
        <v>16513</v>
      </c>
      <c r="EP35" s="101"/>
      <c r="EQ35" s="621">
        <f t="shared" si="225"/>
        <v>1.8655519926706367E-2</v>
      </c>
      <c r="ER35" s="101"/>
      <c r="ES35">
        <f t="shared" si="128"/>
        <v>107.598708</v>
      </c>
      <c r="ET35">
        <f t="shared" si="226"/>
        <v>107.59610160000001</v>
      </c>
      <c r="EU35" s="95">
        <f t="shared" si="6"/>
        <v>2.1651886858910511E-2</v>
      </c>
      <c r="EV35" s="95"/>
      <c r="EW35" s="101"/>
      <c r="FK35" s="85">
        <f>FK12+FK18+FK17+FK21+FK23</f>
        <v>1933.6680056938985</v>
      </c>
      <c r="FL35" s="85">
        <f>FL12+FL18+FL17+FL21+FL23</f>
        <v>142145.74002180275</v>
      </c>
      <c r="FM35" s="85">
        <f>FM12+FM18+FM17+FM21+FM23</f>
        <v>0.48619728707451293</v>
      </c>
      <c r="FN35" s="85">
        <f>FN12+FN18+FN17+FN21+FN23</f>
        <v>5.4186053017487419</v>
      </c>
      <c r="FO35" s="85">
        <f>FO12+FO18+FO17+FO21+FO23</f>
        <v>143595.28395080424</v>
      </c>
      <c r="FT35" s="237"/>
      <c r="FV35" s="237"/>
      <c r="FW35" s="101"/>
      <c r="FX35" s="101"/>
      <c r="FY35" s="101"/>
      <c r="FZ35" s="101"/>
      <c r="GA35" s="101"/>
      <c r="GB35" s="101"/>
      <c r="GC35" s="101"/>
      <c r="GD35" s="101"/>
      <c r="GF35" s="574" t="s">
        <v>726</v>
      </c>
      <c r="GG35" s="575">
        <v>7507</v>
      </c>
      <c r="GH35" s="575">
        <v>3992</v>
      </c>
      <c r="GI35" s="576">
        <v>0.53</v>
      </c>
      <c r="GJ35" s="574">
        <v>93.06</v>
      </c>
      <c r="GK35" s="577">
        <v>33968</v>
      </c>
      <c r="GM35" s="95">
        <f t="shared" si="207"/>
        <v>2.231111930073796E-2</v>
      </c>
      <c r="GO35" s="22">
        <f t="shared" si="208"/>
        <v>254.98951830000001</v>
      </c>
      <c r="GP35" s="22">
        <f>GP15+GP21</f>
        <v>254.15928</v>
      </c>
      <c r="GQ35" s="95">
        <f t="shared" si="8"/>
        <v>5.17278538335261E-2</v>
      </c>
      <c r="GR35" s="95">
        <f>GP35/$GP$38</f>
        <v>0.27257152494244724</v>
      </c>
      <c r="HG35" s="85">
        <f t="shared" ref="HG35:HK36" si="228">HG25</f>
        <v>6.291124735696334</v>
      </c>
      <c r="HH35" s="85">
        <f t="shared" si="228"/>
        <v>446.99685283570722</v>
      </c>
      <c r="HI35" s="85">
        <f t="shared" si="228"/>
        <v>3.7881458254300213E-2</v>
      </c>
      <c r="HJ35" s="85">
        <f t="shared" si="228"/>
        <v>7.6245871381474236E-3</v>
      </c>
      <c r="HK35" s="85">
        <f t="shared" si="228"/>
        <v>450.07804925843669</v>
      </c>
      <c r="HM35"/>
      <c r="HN35" s="237"/>
      <c r="HO35"/>
      <c r="HP35" s="237"/>
      <c r="HQ35" s="237"/>
      <c r="HR35" s="237"/>
      <c r="HS35" s="237"/>
      <c r="HT35" s="237"/>
      <c r="HU35" s="237"/>
      <c r="HV35" s="237"/>
      <c r="HX35" s="502" t="s">
        <v>726</v>
      </c>
      <c r="HY35" s="503">
        <v>7200</v>
      </c>
      <c r="HZ35" s="503">
        <v>3570</v>
      </c>
      <c r="IA35" s="504">
        <v>0.5</v>
      </c>
      <c r="IB35" s="502">
        <v>67.19</v>
      </c>
      <c r="IC35" s="503">
        <v>24525</v>
      </c>
      <c r="IE35" s="95">
        <f t="shared" si="209"/>
        <v>2.2835829416354259E-2</v>
      </c>
      <c r="IG35" s="22">
        <f t="shared" si="210"/>
        <v>176.57532</v>
      </c>
      <c r="IH35" s="22">
        <f>IH15+IH21</f>
        <v>175.49534</v>
      </c>
      <c r="II35" s="95">
        <f t="shared" si="40"/>
        <v>4.2112401619896093E-2</v>
      </c>
      <c r="IJ35" s="857"/>
      <c r="IQ35" t="s">
        <v>729</v>
      </c>
      <c r="IR35">
        <v>70.9769741921898</v>
      </c>
      <c r="IS35">
        <v>7.3169105356480999E-3</v>
      </c>
      <c r="IT35">
        <v>6.0998104818480998E-4</v>
      </c>
      <c r="IY35" s="85">
        <f t="shared" ref="IY35:JC36" si="229">IY25</f>
        <v>10.725678099542552</v>
      </c>
      <c r="IZ35" s="85">
        <f t="shared" si="229"/>
        <v>762.08063843034381</v>
      </c>
      <c r="JA35" s="85">
        <f t="shared" si="229"/>
        <v>6.4583734109018812E-2</v>
      </c>
      <c r="JB35" s="85">
        <f t="shared" si="229"/>
        <v>1.2999085333924782E-2</v>
      </c>
      <c r="JC35" s="85">
        <f t="shared" si="229"/>
        <v>767.33374059888638</v>
      </c>
      <c r="JE35"/>
      <c r="JF35" s="237"/>
      <c r="JG35"/>
      <c r="JH35" s="237"/>
      <c r="JP35" s="422" t="s">
        <v>726</v>
      </c>
      <c r="JQ35" s="423">
        <v>7040</v>
      </c>
      <c r="JR35" s="423">
        <v>3454</v>
      </c>
      <c r="JS35" s="424">
        <v>0.49</v>
      </c>
      <c r="JT35" s="425">
        <v>64.42</v>
      </c>
      <c r="JU35" s="426">
        <v>23513</v>
      </c>
      <c r="JW35" s="95">
        <f t="shared" si="211"/>
        <v>2.2328366540435275E-2</v>
      </c>
      <c r="JY35" s="22">
        <f t="shared" si="212"/>
        <v>165.53363200000001</v>
      </c>
      <c r="JZ35" s="22">
        <f>JZ15+JZ21</f>
        <v>164.75559100000001</v>
      </c>
      <c r="KA35" s="95">
        <f t="shared" si="11"/>
        <v>3.9535258413786592E-2</v>
      </c>
      <c r="KP35" s="85">
        <f t="shared" ref="KP35:KT36" si="230">KP25</f>
        <v>8.1222238146129033</v>
      </c>
      <c r="KQ35" s="85">
        <f t="shared" si="230"/>
        <v>588.97294582111533</v>
      </c>
      <c r="KR35" s="85">
        <f t="shared" si="230"/>
        <v>5.22812901948412E-2</v>
      </c>
      <c r="KS35" s="85">
        <f t="shared" si="230"/>
        <v>9.9269074033926444E-3</v>
      </c>
      <c r="KT35" s="85">
        <f t="shared" si="230"/>
        <v>593.06745240846988</v>
      </c>
      <c r="KW35" s="237"/>
      <c r="KY35" s="237"/>
      <c r="LF35" t="str">
        <f t="shared" si="213"/>
        <v>Vörubifreiðar &gt;12t</v>
      </c>
      <c r="LG35" s="23">
        <f t="shared" si="214"/>
        <v>29</v>
      </c>
      <c r="LH35" s="23">
        <f t="shared" si="214"/>
        <v>7</v>
      </c>
      <c r="LI35" s="23"/>
      <c r="LJ35" s="95">
        <f t="shared" si="215"/>
        <v>4.1660680936647029E-3</v>
      </c>
      <c r="LK35" s="23"/>
      <c r="LP35" s="22"/>
      <c r="LQ35" s="95"/>
      <c r="MJ35" s="237"/>
      <c r="MM35" s="237"/>
      <c r="MO35" s="237"/>
      <c r="MV35" t="str">
        <f t="shared" si="216"/>
        <v>Vörubifreiðar &gt;12t</v>
      </c>
      <c r="MW35" s="23">
        <f t="shared" si="217"/>
        <v>27</v>
      </c>
      <c r="MX35" s="23">
        <f t="shared" si="217"/>
        <v>7</v>
      </c>
      <c r="MY35" s="23"/>
      <c r="MZ35" s="95">
        <f t="shared" si="218"/>
        <v>4.0089086859688193E-3</v>
      </c>
      <c r="NA35" s="23"/>
      <c r="NF35" s="22"/>
      <c r="NG35" s="95"/>
      <c r="NZ35" s="237"/>
      <c r="OC35" s="237"/>
      <c r="OE35" s="237"/>
    </row>
    <row r="36" spans="1:395" ht="16.5" customHeight="1" thickBot="1" x14ac:dyDescent="0.5">
      <c r="A36" s="296" t="s">
        <v>760</v>
      </c>
      <c r="B36" s="188"/>
      <c r="C36" s="174">
        <v>40643.286940801925</v>
      </c>
      <c r="D36" s="174">
        <v>41092.764459243765</v>
      </c>
      <c r="E36" s="174">
        <v>39159.654823805431</v>
      </c>
      <c r="F36" s="175">
        <v>120895.70622385111</v>
      </c>
      <c r="G36" s="175"/>
      <c r="H36" s="1038"/>
      <c r="I36" s="189">
        <v>3.8034271765940542E-2</v>
      </c>
      <c r="J36" s="189">
        <v>3.4128618819366574E-2</v>
      </c>
      <c r="K36" s="190">
        <v>4.5129755541558403E-2</v>
      </c>
      <c r="L36" s="191"/>
      <c r="M36" s="190">
        <v>3.8985300732207406E-2</v>
      </c>
      <c r="N36" s="891"/>
      <c r="O36" s="872"/>
      <c r="P36" s="872"/>
      <c r="Q36" s="872"/>
      <c r="AK36" s="701" t="s">
        <v>285</v>
      </c>
      <c r="AL36" s="695"/>
      <c r="AP36" s="748" t="s">
        <v>726</v>
      </c>
      <c r="AQ36" s="743">
        <v>1469</v>
      </c>
      <c r="AR36" s="744">
        <v>1248</v>
      </c>
      <c r="AS36" s="774">
        <f t="shared" si="219"/>
        <v>0.84955752212389379</v>
      </c>
      <c r="AT36" s="745">
        <v>76.900000000000006</v>
      </c>
      <c r="AU36" s="738">
        <v>28052</v>
      </c>
      <c r="AW36" s="621">
        <f>AQ36/$DV$38</f>
        <v>4.2057947778286761E-3</v>
      </c>
      <c r="AX36" s="101"/>
      <c r="AY36">
        <f t="shared" si="220"/>
        <v>41.208387999999999</v>
      </c>
      <c r="AZ36">
        <f t="shared" si="221"/>
        <v>41.232626500000002</v>
      </c>
      <c r="BA36" s="95">
        <f t="shared" si="203"/>
        <v>3.1568733728174744E-2</v>
      </c>
      <c r="BB36" s="95"/>
      <c r="BC36" s="95"/>
      <c r="CI36" s="701" t="s">
        <v>726</v>
      </c>
      <c r="CJ36" s="695"/>
      <c r="CN36" s="748" t="s">
        <v>726</v>
      </c>
      <c r="CO36" s="743">
        <v>1469</v>
      </c>
      <c r="CP36" s="744">
        <v>1248</v>
      </c>
      <c r="CQ36" s="774">
        <f t="shared" si="222"/>
        <v>0.84955752212389379</v>
      </c>
      <c r="CR36" s="745">
        <v>76.900000000000006</v>
      </c>
      <c r="CS36" s="738">
        <v>28052</v>
      </c>
      <c r="CU36" s="621">
        <f>CO36/$DV$38</f>
        <v>4.2057947778286761E-3</v>
      </c>
      <c r="CV36" s="101"/>
      <c r="CW36">
        <f t="shared" si="223"/>
        <v>41.208387999999999</v>
      </c>
      <c r="CX36">
        <f t="shared" si="224"/>
        <v>41.232626500000002</v>
      </c>
      <c r="CY36" s="95">
        <f t="shared" si="18"/>
        <v>3.1568733728174744E-2</v>
      </c>
      <c r="CZ36" s="95"/>
      <c r="DA36" s="95"/>
      <c r="EJ36" s="574" t="s">
        <v>726</v>
      </c>
      <c r="EK36" s="575">
        <v>7808</v>
      </c>
      <c r="EL36" s="575">
        <v>4292</v>
      </c>
      <c r="EM36" s="576">
        <v>0.55000000000000004</v>
      </c>
      <c r="EN36" s="574">
        <v>78.930000000000007</v>
      </c>
      <c r="EO36" s="577">
        <v>28809</v>
      </c>
      <c r="EQ36" s="621">
        <f t="shared" si="225"/>
        <v>2.2354557947778287E-2</v>
      </c>
      <c r="ES36">
        <f t="shared" si="128"/>
        <v>224.94067200000001</v>
      </c>
      <c r="ET36">
        <f t="shared" si="226"/>
        <v>224.94418560000003</v>
      </c>
      <c r="EU36" s="95">
        <f t="shared" si="6"/>
        <v>4.5264390908033018E-2</v>
      </c>
      <c r="EV36" s="95"/>
      <c r="FK36" s="85">
        <f>FK13+FK19+FK18+FK22+FK24</f>
        <v>68.040016474101989</v>
      </c>
      <c r="FL36" s="85">
        <f t="shared" ref="FL36:FO37" si="231">FL26</f>
        <v>375.49469830532729</v>
      </c>
      <c r="FM36" s="85">
        <f t="shared" si="231"/>
        <v>2.8805105179302144E-2</v>
      </c>
      <c r="FN36" s="85">
        <f t="shared" si="231"/>
        <v>4.3429137714504793E-3</v>
      </c>
      <c r="FO36" s="85">
        <f t="shared" si="231"/>
        <v>377.45211339978209</v>
      </c>
      <c r="FT36" s="237"/>
      <c r="FV36" s="237"/>
      <c r="FW36"/>
      <c r="FX36"/>
      <c r="FY36"/>
      <c r="FZ36"/>
      <c r="GA36"/>
      <c r="GB36"/>
      <c r="GC36"/>
      <c r="GH36" s="23" cm="1">
        <f t="array" ref="GH36">SUM(GH9:GH14+GH16:GH21+GH23:GH28+GH30:GH35)</f>
        <v>349606</v>
      </c>
      <c r="GO36" s="22">
        <f>SUM(GO30:GO35)</f>
        <v>4969.8662727000001</v>
      </c>
      <c r="GP36" s="22">
        <f>SUM(GP30:GP35)</f>
        <v>4913.3930980000005</v>
      </c>
      <c r="GR36" s="101">
        <f>SUM(GR9:GR35)</f>
        <v>4.0005735504111426</v>
      </c>
      <c r="HG36" s="85">
        <f t="shared" si="228"/>
        <v>174.7720420018519</v>
      </c>
      <c r="HH36" s="85">
        <f t="shared" si="228"/>
        <v>12942.697096723587</v>
      </c>
      <c r="HI36" s="85">
        <f t="shared" si="228"/>
        <v>1.7642070770439635E-2</v>
      </c>
      <c r="HJ36" s="85">
        <f t="shared" si="228"/>
        <v>0.35778600765174917</v>
      </c>
      <c r="HK36" s="85">
        <f t="shared" si="228"/>
        <v>13038.004366732872</v>
      </c>
      <c r="HM36"/>
      <c r="HN36" s="237"/>
      <c r="HO36"/>
      <c r="HP36" s="237"/>
      <c r="HQ36" s="237"/>
      <c r="HR36" s="237"/>
      <c r="HS36" s="237"/>
      <c r="HT36" s="237"/>
      <c r="HU36" s="237"/>
      <c r="HV36" s="237"/>
      <c r="IG36" s="22">
        <f>SUM(IG30:IG35)</f>
        <v>4246.7542278499996</v>
      </c>
      <c r="IH36" s="22">
        <f>SUM(IH30:IH35)</f>
        <v>4219.5531420000007</v>
      </c>
      <c r="IQ36" t="s">
        <v>734</v>
      </c>
      <c r="IR36">
        <v>70.9769741921898</v>
      </c>
      <c r="IS36">
        <v>7.3169105356480999E-3</v>
      </c>
      <c r="IT36">
        <v>6.0998104818480998E-4</v>
      </c>
      <c r="IY36" s="85">
        <f t="shared" si="229"/>
        <v>184.86685453239349</v>
      </c>
      <c r="IZ36" s="85">
        <f t="shared" si="229"/>
        <v>13690.265754356054</v>
      </c>
      <c r="JA36" s="85">
        <f t="shared" si="229"/>
        <v>1.866107469714462E-2</v>
      </c>
      <c r="JB36" s="85">
        <f t="shared" si="229"/>
        <v>0.37845168525055561</v>
      </c>
      <c r="JC36" s="85">
        <f t="shared" si="229"/>
        <v>13791.077961038971</v>
      </c>
      <c r="JE36"/>
      <c r="JF36" s="237"/>
      <c r="JG36"/>
      <c r="JH36" s="237"/>
      <c r="JY36" s="22">
        <f>SUM(JY30:JY35)</f>
        <v>4154.1574691000005</v>
      </c>
      <c r="JZ36" s="22">
        <f>SUM(JZ30:JZ35)</f>
        <v>4167.3078059999989</v>
      </c>
      <c r="KP36" s="85">
        <f t="shared" si="230"/>
        <v>156.74245852942801</v>
      </c>
      <c r="KQ36" s="85">
        <f t="shared" si="230"/>
        <v>11499.811950199355</v>
      </c>
      <c r="KR36" s="85">
        <f t="shared" si="230"/>
        <v>5.7834042282616009E-2</v>
      </c>
      <c r="KS36" s="85">
        <f t="shared" si="230"/>
        <v>0.32828909308255116</v>
      </c>
      <c r="KT36" s="85">
        <f t="shared" si="230"/>
        <v>11588.427913050144</v>
      </c>
      <c r="KW36" s="237"/>
      <c r="KY36" s="237"/>
      <c r="LG36" s="23"/>
      <c r="LH36" s="23"/>
      <c r="LI36" s="23"/>
      <c r="LJ36" s="23"/>
      <c r="LK36" s="23"/>
      <c r="LP36" s="22">
        <f>SUM(LP29:LP34)</f>
        <v>4247.7283159999997</v>
      </c>
      <c r="MJ36" s="237"/>
      <c r="MM36" s="237"/>
      <c r="MO36" s="237"/>
      <c r="MW36" s="23"/>
      <c r="MX36" s="23"/>
      <c r="MY36" s="23"/>
      <c r="MZ36" s="23"/>
      <c r="NA36" s="23"/>
      <c r="NF36" s="22">
        <f>SUM(NF29:NF34)</f>
        <v>4201.3043930000003</v>
      </c>
      <c r="NZ36" s="237"/>
      <c r="OC36" s="237"/>
      <c r="OE36" s="237"/>
    </row>
    <row r="37" spans="1:395" ht="16.5" customHeight="1" x14ac:dyDescent="0.45">
      <c r="A37" s="981">
        <v>2007</v>
      </c>
      <c r="B37" s="288" t="s">
        <v>710</v>
      </c>
      <c r="C37" s="152">
        <v>40666</v>
      </c>
      <c r="D37" s="153">
        <v>39409</v>
      </c>
      <c r="E37" s="154">
        <v>37899</v>
      </c>
      <c r="F37" s="155">
        <v>117974</v>
      </c>
      <c r="G37" s="199">
        <v>117974</v>
      </c>
      <c r="H37" s="983" t="s">
        <v>764</v>
      </c>
      <c r="I37" s="178">
        <v>7.0467766985179925E-2</v>
      </c>
      <c r="J37" s="289">
        <v>9.2757049766449454E-2</v>
      </c>
      <c r="K37" s="290">
        <v>6.1795730280447936E-2</v>
      </c>
      <c r="L37" s="179">
        <v>6.1795730280447936E-2</v>
      </c>
      <c r="M37" s="291">
        <v>6.1795730280447936E-2</v>
      </c>
      <c r="N37" s="870"/>
      <c r="O37" s="206"/>
      <c r="P37" s="206"/>
      <c r="Q37" s="206"/>
      <c r="AK37" s="701" t="s">
        <v>726</v>
      </c>
      <c r="AL37" s="695"/>
      <c r="AY37">
        <f>SUM(AY31:AY36)</f>
        <v>1305.35448</v>
      </c>
      <c r="AZ37">
        <f>SUM(AZ31:AZ36)</f>
        <v>1305.3757434999998</v>
      </c>
      <c r="BA37" s="95">
        <f t="shared" si="203"/>
        <v>1</v>
      </c>
      <c r="BB37" s="95"/>
      <c r="BC37" s="95"/>
      <c r="CI37" s="697" t="s">
        <v>765</v>
      </c>
      <c r="CJ37" s="695"/>
      <c r="CW37">
        <f>SUM(CW31:CW36)</f>
        <v>1305.35448</v>
      </c>
      <c r="CX37">
        <f>SUM(CX31:CX36)</f>
        <v>1305.3757434999998</v>
      </c>
      <c r="CY37" s="95">
        <f t="shared" si="18"/>
        <v>1</v>
      </c>
      <c r="CZ37" s="95"/>
      <c r="DA37" s="95"/>
      <c r="ES37">
        <f>SUM(ES31:ES36)</f>
        <v>4969.4841239999996</v>
      </c>
      <c r="ET37">
        <f>SUM(ET31:ET36)</f>
        <v>4969.4866544500001</v>
      </c>
      <c r="EU37" s="95">
        <f t="shared" si="6"/>
        <v>1</v>
      </c>
      <c r="EV37" s="95"/>
      <c r="FK37" s="85">
        <f>FK14+FK20+FK19+FK23+FK25</f>
        <v>661.69328184275696</v>
      </c>
      <c r="FL37" s="85">
        <f t="shared" si="231"/>
        <v>13827.534195078932</v>
      </c>
      <c r="FM37" s="85">
        <f t="shared" si="231"/>
        <v>0.15499327150274542</v>
      </c>
      <c r="FN37" s="85">
        <f t="shared" si="231"/>
        <v>0.66712744283644221</v>
      </c>
      <c r="FO37" s="85">
        <f t="shared" si="231"/>
        <v>14008.662779032666</v>
      </c>
      <c r="FT37" s="237"/>
      <c r="FV37" s="237"/>
      <c r="FW37"/>
      <c r="FX37"/>
      <c r="FY37"/>
      <c r="FZ37"/>
      <c r="GA37"/>
      <c r="GB37"/>
      <c r="GC37"/>
      <c r="GG37" s="23">
        <f>SUM(GG30:GG35)</f>
        <v>336469</v>
      </c>
      <c r="HG37" s="85">
        <f>HG27+HG23</f>
        <v>6.342224788598271</v>
      </c>
      <c r="HH37" s="85">
        <f>HH27+HH23</f>
        <v>450.62207726096733</v>
      </c>
      <c r="HI37" s="85">
        <f>HI27+HI23</f>
        <v>9.7468688689441377E-2</v>
      </c>
      <c r="HJ37" s="85">
        <f>HJ27+HJ23</f>
        <v>5.2215368940299652E-3</v>
      </c>
      <c r="HK37" s="85">
        <f>HK27+HK23</f>
        <v>454.73490782118961</v>
      </c>
      <c r="HM37"/>
      <c r="HN37" s="237"/>
      <c r="HO37"/>
      <c r="HP37" s="237"/>
      <c r="HQ37" s="237"/>
      <c r="HR37" s="237"/>
      <c r="HS37" s="237"/>
      <c r="HT37" s="237"/>
      <c r="HU37" s="237"/>
      <c r="HV37" s="237"/>
      <c r="IH37" s="22">
        <f>IH36-IH30</f>
        <v>721.2721460000007</v>
      </c>
      <c r="IQ37" t="s">
        <v>739</v>
      </c>
      <c r="IR37">
        <v>74.054734089485606</v>
      </c>
      <c r="IS37">
        <v>1.1457692289250001E-4</v>
      </c>
      <c r="IT37">
        <v>2.5659043229536902E-3</v>
      </c>
      <c r="IY37" s="85">
        <f>IY27+IY23</f>
        <v>10.80761550344749</v>
      </c>
      <c r="IZ37" s="85">
        <f>IZ27+IZ23</f>
        <v>767.89302030994725</v>
      </c>
      <c r="JA37" s="85">
        <f>JA27+JA23</f>
        <v>0.16609378350550741</v>
      </c>
      <c r="JB37" s="85">
        <f>JB27+JB23</f>
        <v>8.8978812591430905E-3</v>
      </c>
      <c r="JC37" s="85">
        <f>JC27+JC23</f>
        <v>774.90158478177443</v>
      </c>
      <c r="JE37"/>
      <c r="JF37" s="237"/>
      <c r="JG37"/>
      <c r="JH37" s="237"/>
      <c r="JQ37" s="23">
        <f>SUM(JQ30:JQ35)</f>
        <v>315294</v>
      </c>
      <c r="KP37" s="85">
        <f>KP27+KP23</f>
        <v>8.2291513779776047</v>
      </c>
      <c r="KQ37" s="85">
        <f>KQ27+KQ23</f>
        <v>596.71288477390226</v>
      </c>
      <c r="KR37" s="85">
        <f>KR27+KR23</f>
        <v>0.13019052492666933</v>
      </c>
      <c r="KS37" s="85">
        <f>KS27+KS23</f>
        <v>6.9746388251510265E-3</v>
      </c>
      <c r="KT37" s="85">
        <f>KT27+KT23</f>
        <v>602.20649876051402</v>
      </c>
      <c r="KW37" s="237"/>
      <c r="KY37" s="237"/>
      <c r="LF37" s="114" t="s">
        <v>345</v>
      </c>
      <c r="LG37" s="23"/>
      <c r="LH37" s="23"/>
      <c r="LI37" s="23"/>
      <c r="LJ37" s="23"/>
      <c r="LK37" s="23"/>
      <c r="LP37" s="22">
        <f>SUM(LP9:LP23)</f>
        <v>4240.272234</v>
      </c>
      <c r="LZ37" s="101"/>
      <c r="MB37" s="101"/>
      <c r="MV37" s="114" t="s">
        <v>345</v>
      </c>
      <c r="MW37" s="23"/>
      <c r="MX37" s="23"/>
      <c r="MY37" s="23"/>
      <c r="MZ37" s="23"/>
      <c r="NA37" s="23"/>
      <c r="NF37" s="22">
        <f>SUM(NF9:NF23)</f>
        <v>4194.4306510000006</v>
      </c>
      <c r="NP37" s="101"/>
      <c r="NR37" s="101"/>
    </row>
    <row r="38" spans="1:395" ht="16.5" customHeight="1" x14ac:dyDescent="0.45">
      <c r="A38" s="981"/>
      <c r="B38" s="159" t="s">
        <v>715</v>
      </c>
      <c r="C38" s="160">
        <v>42636</v>
      </c>
      <c r="D38" s="161">
        <v>41580</v>
      </c>
      <c r="E38" s="162">
        <v>40896</v>
      </c>
      <c r="F38" s="163">
        <v>125112</v>
      </c>
      <c r="G38" s="200">
        <v>243086</v>
      </c>
      <c r="H38" s="984"/>
      <c r="I38" s="180">
        <v>4.2266604737575479E-2</v>
      </c>
      <c r="J38" s="181">
        <v>9.0530919175488653E-2</v>
      </c>
      <c r="K38" s="182">
        <v>5.0663845010455288E-2</v>
      </c>
      <c r="L38" s="183">
        <v>5.0663845010455288E-2</v>
      </c>
      <c r="M38" s="292">
        <v>5.6037048139121692E-2</v>
      </c>
      <c r="N38" s="870"/>
      <c r="O38" s="206"/>
      <c r="P38" s="206"/>
      <c r="Q38" s="206"/>
      <c r="U38" t="s">
        <v>719</v>
      </c>
      <c r="Z38" t="s">
        <v>720</v>
      </c>
      <c r="AC38" t="s">
        <v>766</v>
      </c>
      <c r="AF38">
        <f>Z50/AC50</f>
        <v>1.3858208955223881</v>
      </c>
      <c r="AK38" s="697" t="s">
        <v>765</v>
      </c>
      <c r="AL38" s="695"/>
      <c r="BA38" s="95">
        <f t="shared" si="203"/>
        <v>0</v>
      </c>
      <c r="BB38" s="95"/>
      <c r="BC38" s="95"/>
      <c r="BX38" s="23">
        <f>SUM(CM31:CM36)</f>
        <v>0</v>
      </c>
      <c r="CI38" s="701" t="s">
        <v>285</v>
      </c>
      <c r="CJ38" s="695"/>
      <c r="CY38" s="95">
        <f t="shared" si="18"/>
        <v>0</v>
      </c>
      <c r="CZ38" s="95"/>
      <c r="DA38" s="95"/>
      <c r="DV38" s="23">
        <f>SUM(EK31:EK36)</f>
        <v>349280</v>
      </c>
      <c r="EU38" s="85">
        <f>FK15+FK21+FK20+FK24+FK26</f>
        <v>94.921726743897594</v>
      </c>
      <c r="EV38" s="85">
        <f>SUM(EV9:EV37)</f>
        <v>1.9965837536962776</v>
      </c>
      <c r="EW38" s="85">
        <f>FL28+FL24</f>
        <v>375.32621112461419</v>
      </c>
      <c r="EX38" s="85">
        <f>FM28+FM24</f>
        <v>7.7211813799171428E-2</v>
      </c>
      <c r="EY38" s="85">
        <f>FN28+FN24</f>
        <v>4.1363471676493947E-3</v>
      </c>
      <c r="EZ38" s="85">
        <f>FO28+FO24</f>
        <v>378.58427391041806</v>
      </c>
      <c r="FC38" s="237"/>
      <c r="FE38" s="237"/>
      <c r="FF38" s="237"/>
      <c r="FG38" s="237"/>
      <c r="FR38"/>
      <c r="FU38"/>
      <c r="FW38"/>
      <c r="FX38"/>
      <c r="FY38"/>
      <c r="FZ38"/>
      <c r="GA38"/>
      <c r="GB38"/>
      <c r="GC38"/>
      <c r="GP38" s="22">
        <f>GP36-GP30</f>
        <v>932.44985900000029</v>
      </c>
      <c r="GQ38" s="85">
        <f>HG28+HG24</f>
        <v>600.51287361902655</v>
      </c>
      <c r="GR38" s="85"/>
      <c r="GS38" s="85">
        <f>HH28+HH24</f>
        <v>44470.821173169825</v>
      </c>
      <c r="GT38" s="85">
        <f>HI28+HI24</f>
        <v>0.86257554655109125</v>
      </c>
      <c r="GU38" s="85">
        <f>HJ28+HJ24</f>
        <v>1.8518455838375381</v>
      </c>
      <c r="GV38" s="85">
        <f>HK28+HK24</f>
        <v>44985.712368190201</v>
      </c>
      <c r="GY38" s="237"/>
      <c r="HA38" s="237"/>
      <c r="HB38" s="237"/>
      <c r="HC38" s="237"/>
      <c r="HD38" s="237"/>
      <c r="HE38" s="237"/>
      <c r="HF38" s="237"/>
      <c r="HG38" s="237"/>
      <c r="HJ38"/>
      <c r="HM38"/>
      <c r="HO38"/>
      <c r="IA38" t="s">
        <v>751</v>
      </c>
      <c r="IB38">
        <v>74.054734089485606</v>
      </c>
      <c r="IC38">
        <v>1.1457692289250001E-4</v>
      </c>
      <c r="ID38">
        <v>2.5659043229536902E-3</v>
      </c>
      <c r="II38" s="85">
        <f>IY28+IY24</f>
        <v>529.05821392232826</v>
      </c>
      <c r="IJ38" s="85">
        <f>IZ28+IZ24</f>
        <v>39179.265349876157</v>
      </c>
      <c r="IK38" s="85"/>
      <c r="IL38" s="85">
        <f>JA28+JA24</f>
        <v>0.75993820961932079</v>
      </c>
      <c r="IM38" s="85">
        <f>JB28+JB24</f>
        <v>1.6314956099785392</v>
      </c>
      <c r="IN38" s="85">
        <f>JC28+JC24</f>
        <v>39632.889956389809</v>
      </c>
      <c r="IQ38" s="237"/>
      <c r="IS38" s="237"/>
      <c r="JB38"/>
      <c r="JE38"/>
      <c r="JG38"/>
      <c r="KA38" s="85">
        <f>KP28+KP24</f>
        <v>475.62634328415822</v>
      </c>
      <c r="KB38" s="85">
        <f>KQ28+KQ24</f>
        <v>34895.506199390511</v>
      </c>
      <c r="KC38" s="85">
        <f>KR28+KR24</f>
        <v>0.9881111344095177</v>
      </c>
      <c r="KD38" s="85">
        <f>KS28+KS24</f>
        <v>1.122338619164547</v>
      </c>
      <c r="KE38" s="85">
        <f>KT28+KT24</f>
        <v>35220.593045232585</v>
      </c>
      <c r="KH38" s="237"/>
      <c r="KJ38" s="237"/>
      <c r="KR38" s="23"/>
      <c r="KS38" s="23"/>
      <c r="KT38" s="23"/>
      <c r="KU38" s="23"/>
      <c r="KV38" s="23"/>
      <c r="MH38" s="22"/>
    </row>
    <row r="39" spans="1:395" ht="16.5" customHeight="1" x14ac:dyDescent="0.45">
      <c r="A39" s="981"/>
      <c r="B39" s="159" t="s">
        <v>718</v>
      </c>
      <c r="C39" s="160">
        <v>44711</v>
      </c>
      <c r="D39" s="161">
        <v>43720</v>
      </c>
      <c r="E39" s="162">
        <v>42527</v>
      </c>
      <c r="F39" s="163">
        <v>130958</v>
      </c>
      <c r="G39" s="200">
        <v>374044</v>
      </c>
      <c r="H39" s="984"/>
      <c r="I39" s="180">
        <v>5.0787309048178617E-2</v>
      </c>
      <c r="J39" s="181">
        <v>8.8008800880088014E-2</v>
      </c>
      <c r="K39" s="182">
        <v>6.0551825786963276E-2</v>
      </c>
      <c r="L39" s="183">
        <v>6.0551825786963276E-2</v>
      </c>
      <c r="M39" s="292">
        <v>5.7613354897813718E-2</v>
      </c>
      <c r="N39" s="870"/>
      <c r="O39" s="206"/>
      <c r="P39" s="206"/>
      <c r="Q39" s="206"/>
      <c r="X39">
        <f>V43/X43</f>
        <v>0.73642400000000008</v>
      </c>
      <c r="AK39" s="701" t="s">
        <v>285</v>
      </c>
      <c r="AL39" s="695"/>
      <c r="CI39" s="697" t="s">
        <v>767</v>
      </c>
      <c r="CJ39" s="695"/>
      <c r="GV39" s="237"/>
      <c r="GY39" s="237"/>
      <c r="HA39" s="237"/>
      <c r="HB39" s="237"/>
      <c r="HC39" s="237"/>
      <c r="HD39" s="237"/>
      <c r="HE39" s="237"/>
      <c r="HF39" s="237"/>
      <c r="HG39" s="237"/>
      <c r="HJ39"/>
      <c r="HM39"/>
      <c r="HO39"/>
      <c r="IA39" t="s">
        <v>753</v>
      </c>
      <c r="IB39">
        <v>70.9769741921898</v>
      </c>
      <c r="IC39">
        <v>7.3169105356480999E-3</v>
      </c>
      <c r="ID39">
        <v>6.0998104818480998E-4</v>
      </c>
      <c r="IN39" s="237"/>
      <c r="IQ39" s="237"/>
      <c r="IS39" s="237"/>
      <c r="JB39"/>
      <c r="JE39"/>
      <c r="JG39"/>
      <c r="KE39" s="237"/>
      <c r="KH39" s="237"/>
      <c r="KJ39" s="237"/>
    </row>
    <row r="40" spans="1:395" ht="16.5" customHeight="1" x14ac:dyDescent="0.45">
      <c r="A40" s="981"/>
      <c r="B40" s="159" t="s">
        <v>725</v>
      </c>
      <c r="C40" s="160">
        <v>41126</v>
      </c>
      <c r="D40" s="161">
        <v>42156</v>
      </c>
      <c r="E40" s="162">
        <v>42383</v>
      </c>
      <c r="F40" s="163">
        <v>125665</v>
      </c>
      <c r="G40" s="200">
        <v>499709</v>
      </c>
      <c r="H40" s="984"/>
      <c r="I40" s="180">
        <v>7.1352280720035424E-2</v>
      </c>
      <c r="J40" s="181">
        <v>0.1281375602225239</v>
      </c>
      <c r="K40" s="182">
        <v>8.7773209262064444E-2</v>
      </c>
      <c r="L40" s="183">
        <v>8.7773209262064444E-2</v>
      </c>
      <c r="M40" s="292">
        <v>6.5039333493892793E-2</v>
      </c>
      <c r="N40" s="870"/>
      <c r="O40" s="206"/>
      <c r="P40" s="206"/>
      <c r="Q40" s="206"/>
      <c r="S40" s="606">
        <v>2019</v>
      </c>
      <c r="V40">
        <f>Y50/V50</f>
        <v>0.88264369439344714</v>
      </c>
      <c r="AA40" t="s">
        <v>731</v>
      </c>
      <c r="AK40" s="697" t="s">
        <v>767</v>
      </c>
      <c r="AL40" s="695"/>
      <c r="CI40" s="701" t="s">
        <v>285</v>
      </c>
      <c r="CJ40" s="695"/>
      <c r="ES40">
        <f>ES37-ES31</f>
        <v>949.82380399999965</v>
      </c>
      <c r="GS40" s="237"/>
      <c r="GU40" s="237"/>
      <c r="GV40" s="237"/>
      <c r="GX40" s="237"/>
      <c r="GY40" s="237"/>
      <c r="GZ40" s="436">
        <v>2022</v>
      </c>
      <c r="HD40" s="237"/>
      <c r="HJ40"/>
      <c r="HM40"/>
      <c r="HO40"/>
      <c r="HW40" t="s">
        <v>728</v>
      </c>
      <c r="HX40" t="s">
        <v>675</v>
      </c>
      <c r="HY40">
        <v>71.051977446800905</v>
      </c>
      <c r="HZ40">
        <v>6.0214126798913805E-3</v>
      </c>
      <c r="IA40">
        <v>1.2119593011540399E-3</v>
      </c>
      <c r="IJ40" s="237"/>
      <c r="IK40" s="237"/>
      <c r="IN40" s="237"/>
      <c r="IP40" s="237"/>
      <c r="JB40"/>
      <c r="JE40"/>
      <c r="JG40"/>
      <c r="KB40" s="237"/>
      <c r="KE40" s="237"/>
      <c r="KG40" s="237"/>
    </row>
    <row r="41" spans="1:395" ht="16.5" customHeight="1" thickBot="1" x14ac:dyDescent="0.5">
      <c r="A41" s="981"/>
      <c r="B41" s="159" t="s">
        <v>730</v>
      </c>
      <c r="C41" s="160">
        <v>43780</v>
      </c>
      <c r="D41" s="161">
        <v>44517</v>
      </c>
      <c r="E41" s="162">
        <v>45850</v>
      </c>
      <c r="F41" s="163">
        <v>134147</v>
      </c>
      <c r="G41" s="200">
        <v>633856</v>
      </c>
      <c r="H41" s="984"/>
      <c r="I41" s="180">
        <v>4.1785646297353894E-2</v>
      </c>
      <c r="J41" s="181">
        <v>0.12413268933728884</v>
      </c>
      <c r="K41" s="182">
        <v>7.0401519262072609E-2</v>
      </c>
      <c r="L41" s="183">
        <v>7.0401519262072609E-2</v>
      </c>
      <c r="M41" s="292">
        <v>6.6169680597863545E-2</v>
      </c>
      <c r="N41" s="870"/>
      <c r="O41" s="206"/>
      <c r="P41" s="206"/>
      <c r="Q41" s="206"/>
      <c r="W41" s="116">
        <v>0.16</v>
      </c>
      <c r="X41" s="101">
        <v>1.9400000000000001E-2</v>
      </c>
      <c r="Y41" s="116">
        <v>0.65</v>
      </c>
      <c r="AA41">
        <v>4.97</v>
      </c>
      <c r="AB41" t="s">
        <v>736</v>
      </c>
      <c r="AF41" s="116">
        <v>0.65</v>
      </c>
      <c r="AK41" s="701" t="s">
        <v>285</v>
      </c>
      <c r="AL41" s="695"/>
      <c r="CI41" s="701" t="s">
        <v>716</v>
      </c>
      <c r="CJ41" s="695"/>
      <c r="GX41" t="s">
        <v>717</v>
      </c>
      <c r="GY41">
        <v>74.054734089485805</v>
      </c>
      <c r="GZ41">
        <v>1.0094332347649E-4</v>
      </c>
      <c r="HA41">
        <v>2.0471581355555601E-3</v>
      </c>
    </row>
    <row r="42" spans="1:395" ht="16.5" customHeight="1" x14ac:dyDescent="0.45">
      <c r="A42" s="981"/>
      <c r="B42" s="159" t="s">
        <v>735</v>
      </c>
      <c r="C42" s="160">
        <v>42691</v>
      </c>
      <c r="D42" s="161">
        <v>44919</v>
      </c>
      <c r="E42" s="162">
        <v>47313</v>
      </c>
      <c r="F42" s="163">
        <v>134923</v>
      </c>
      <c r="G42" s="200">
        <v>768779</v>
      </c>
      <c r="H42" s="984"/>
      <c r="I42" s="180">
        <v>8.3225495420060386E-2</v>
      </c>
      <c r="J42" s="181">
        <v>0.16068493486740426</v>
      </c>
      <c r="K42" s="182">
        <v>0.10868886405469369</v>
      </c>
      <c r="L42" s="183">
        <v>0.10868886405469369</v>
      </c>
      <c r="M42" s="292">
        <v>7.3394367318102338E-2</v>
      </c>
      <c r="N42" s="870"/>
      <c r="O42" s="206"/>
      <c r="P42" s="206"/>
      <c r="Q42" s="206"/>
      <c r="U42" t="s">
        <v>741</v>
      </c>
      <c r="V42" t="s">
        <v>742</v>
      </c>
      <c r="W42" s="16" t="s">
        <v>743</v>
      </c>
      <c r="X42" s="16" t="s">
        <v>744</v>
      </c>
      <c r="Y42" s="16" t="s">
        <v>745</v>
      </c>
      <c r="Z42" s="16" t="s">
        <v>746</v>
      </c>
      <c r="AA42" s="16" t="s">
        <v>747</v>
      </c>
      <c r="AD42" t="s">
        <v>747</v>
      </c>
      <c r="AE42" s="16" t="s">
        <v>748</v>
      </c>
      <c r="AF42" t="s">
        <v>749</v>
      </c>
      <c r="AG42" t="s">
        <v>768</v>
      </c>
      <c r="AK42" s="701" t="s">
        <v>716</v>
      </c>
      <c r="AL42" s="695"/>
      <c r="AP42" s="734">
        <v>2025</v>
      </c>
      <c r="AQ42" s="749" t="s">
        <v>664</v>
      </c>
      <c r="AR42" s="749"/>
      <c r="AS42" s="749"/>
      <c r="AT42" s="749" t="s">
        <v>667</v>
      </c>
      <c r="AU42" s="750" t="s">
        <v>668</v>
      </c>
      <c r="AY42">
        <f>AF56</f>
        <v>1016.3341573026447</v>
      </c>
      <c r="AZ42" t="s">
        <v>769</v>
      </c>
      <c r="BA42">
        <f>AY42+AY80</f>
        <v>1252.7388623026445</v>
      </c>
      <c r="BE42">
        <f>BF42*0.9</f>
        <v>0.55898037029143521</v>
      </c>
      <c r="BF42" s="101">
        <f>(BF46+BF50+BF51)/($EZ$11+$EZ$12+$EZ$15+$EZ$16)</f>
        <v>0.62108930032381693</v>
      </c>
      <c r="BU42" s="237"/>
      <c r="BW42" s="237"/>
      <c r="BX42" s="237"/>
      <c r="BZ42" s="237"/>
      <c r="CA42" s="237"/>
      <c r="CB42" s="237"/>
      <c r="CC42" s="436">
        <v>2025</v>
      </c>
      <c r="CI42" s="697" t="s">
        <v>770</v>
      </c>
      <c r="CJ42" s="695"/>
      <c r="CN42" s="734">
        <v>2024</v>
      </c>
      <c r="CO42" s="749" t="s">
        <v>664</v>
      </c>
      <c r="CP42" s="749"/>
      <c r="CQ42" s="749"/>
      <c r="CR42" s="749" t="s">
        <v>667</v>
      </c>
      <c r="CS42" s="750" t="s">
        <v>668</v>
      </c>
      <c r="DB42" s="22">
        <f>DB45+DB44</f>
        <v>1250.8764576785156</v>
      </c>
      <c r="DC42">
        <f>DD42*0.9</f>
        <v>0.56260305320510551</v>
      </c>
      <c r="DD42" s="101">
        <f>(DD46+DD50+DD51)/($EZ$11+$EZ$12+$EZ$15+$EZ$16)</f>
        <v>0.62511450356122833</v>
      </c>
      <c r="DS42" s="237"/>
      <c r="DU42" s="237"/>
      <c r="DV42" s="237"/>
      <c r="DX42" s="237"/>
      <c r="DY42" s="237"/>
      <c r="DZ42" s="237"/>
      <c r="EA42" s="436">
        <v>2024</v>
      </c>
      <c r="GW42" t="s">
        <v>733</v>
      </c>
      <c r="GX42" t="s">
        <v>675</v>
      </c>
      <c r="GY42">
        <v>71.051977446800905</v>
      </c>
      <c r="GZ42">
        <v>6.0214126798913805E-3</v>
      </c>
      <c r="HA42">
        <v>1.2119593011540399E-3</v>
      </c>
    </row>
    <row r="43" spans="1:395" ht="16.5" customHeight="1" thickBot="1" x14ac:dyDescent="0.5">
      <c r="A43" s="981"/>
      <c r="B43" s="159" t="s">
        <v>740</v>
      </c>
      <c r="C43" s="160">
        <v>39540</v>
      </c>
      <c r="D43" s="161">
        <v>44232.379760577489</v>
      </c>
      <c r="E43" s="162">
        <v>46367</v>
      </c>
      <c r="F43" s="163">
        <v>130139.37976057749</v>
      </c>
      <c r="G43" s="200">
        <v>898918.37976057746</v>
      </c>
      <c r="H43" s="984"/>
      <c r="I43" s="180">
        <v>0.10480874011567801</v>
      </c>
      <c r="J43" s="181">
        <v>0.16024822961239146</v>
      </c>
      <c r="K43" s="182">
        <v>0.1269918143371076</v>
      </c>
      <c r="L43" s="183">
        <v>0.1269918143371076</v>
      </c>
      <c r="M43" s="292">
        <v>8.083605842645003E-2</v>
      </c>
      <c r="N43" s="870"/>
      <c r="O43" s="206"/>
      <c r="P43" s="206"/>
      <c r="Q43" s="206"/>
      <c r="S43" s="115">
        <v>2012</v>
      </c>
      <c r="U43" s="85">
        <v>4.235182</v>
      </c>
      <c r="V43" s="438">
        <f t="shared" ref="V43:V51" si="232">U43*365*0.65</f>
        <v>1004.7969295</v>
      </c>
      <c r="W43" s="83">
        <f t="shared" ref="W43:W51" si="233">U43/0.16</f>
        <v>26.469887499999999</v>
      </c>
      <c r="X43" s="83">
        <f>W43/0.0194</f>
        <v>1364.4271907216494</v>
      </c>
      <c r="Y43" s="438">
        <f>X43*$Y$16</f>
        <v>886.87767396907213</v>
      </c>
      <c r="Z43" s="16">
        <f t="shared" ref="Z43:Z48" si="234">Z44/(1+T44)</f>
        <v>978611.36711768457</v>
      </c>
      <c r="AA43">
        <f>Z43/10^6*$AA$16</f>
        <v>4.8636984945748925</v>
      </c>
      <c r="AB43" s="237">
        <f>AA43/$W$16/$X$16*$Y$16</f>
        <v>1018.4935636190979</v>
      </c>
      <c r="AC43" s="16">
        <f t="shared" ref="AC43:AC49" si="235">AC44/(1+T44)</f>
        <v>706160.06027878157</v>
      </c>
      <c r="AD43">
        <f t="shared" ref="AD43:AD56" si="236">AC43/10^6*$AC$92</f>
        <v>3.5934226550321191</v>
      </c>
      <c r="AE43" s="16">
        <f t="shared" ref="AE43:AE54" si="237">AD43*315</f>
        <v>1131.9281363351174</v>
      </c>
      <c r="AF43" s="237">
        <f t="shared" ref="AF43:AF54" si="238">AE43*$AF$16</f>
        <v>735.75328861782634</v>
      </c>
      <c r="AG43" s="16">
        <f t="shared" ref="AG43:AG52" si="239">AG44/(1+T44)</f>
        <v>900.38113362060278</v>
      </c>
      <c r="AH43" s="16">
        <f t="shared" ref="AH43:AH52" si="240">AH44/(1+T44)</f>
        <v>164.62784500277635</v>
      </c>
      <c r="AI43">
        <f>AH43+AF43</f>
        <v>900.38113362060267</v>
      </c>
      <c r="AK43" s="697" t="s">
        <v>770</v>
      </c>
      <c r="AL43" s="695"/>
      <c r="AP43" s="978" t="s">
        <v>675</v>
      </c>
      <c r="AQ43" s="979"/>
      <c r="AR43" s="979"/>
      <c r="AS43" s="979"/>
      <c r="AT43" s="979"/>
      <c r="AU43" s="980"/>
      <c r="BE43">
        <f>BF43*0.9</f>
        <v>0.27360703251062013</v>
      </c>
      <c r="BF43" s="101">
        <f>(BF47)/($EZ$11+$EZ$12+$EZ$15+$EZ$16)</f>
        <v>0.30400781390068904</v>
      </c>
      <c r="BO43" s="16" t="s">
        <v>676</v>
      </c>
      <c r="BS43">
        <v>29.8</v>
      </c>
      <c r="BT43">
        <v>273</v>
      </c>
      <c r="BU43" s="237"/>
      <c r="BX43" s="237"/>
      <c r="BY43" t="s">
        <v>677</v>
      </c>
      <c r="BZ43" s="114"/>
      <c r="CA43" s="237"/>
      <c r="CB43" s="237"/>
      <c r="CC43" t="s">
        <v>771</v>
      </c>
      <c r="CD43" s="22">
        <f>AY80</f>
        <v>236.40470499999972</v>
      </c>
      <c r="CE43" t="s">
        <v>340</v>
      </c>
      <c r="CF43" t="s">
        <v>772</v>
      </c>
      <c r="CI43" s="701" t="s">
        <v>285</v>
      </c>
      <c r="CJ43" s="695"/>
      <c r="CN43" s="978" t="s">
        <v>675</v>
      </c>
      <c r="CO43" s="979"/>
      <c r="CP43" s="979"/>
      <c r="CQ43" s="979"/>
      <c r="CR43" s="979"/>
      <c r="CS43" s="980"/>
      <c r="DC43">
        <f>DD43*0.9</f>
        <v>0.29566925462951837</v>
      </c>
      <c r="DD43" s="101">
        <f>(DD47)/($EZ$11+$EZ$12+$EZ$15+$EZ$16)</f>
        <v>0.32852139403279818</v>
      </c>
      <c r="DM43" s="16" t="s">
        <v>676</v>
      </c>
      <c r="DQ43">
        <v>29.8</v>
      </c>
      <c r="DR43">
        <v>273</v>
      </c>
      <c r="DS43" s="237"/>
      <c r="DV43" s="237"/>
      <c r="DW43" t="s">
        <v>677</v>
      </c>
      <c r="DX43" s="114"/>
      <c r="DY43" s="237"/>
      <c r="DZ43" s="237"/>
      <c r="EA43" t="s">
        <v>771</v>
      </c>
      <c r="EB43" s="22">
        <f>CW80</f>
        <v>231.3586720000001</v>
      </c>
      <c r="EC43" t="s">
        <v>340</v>
      </c>
      <c r="ED43" t="s">
        <v>772</v>
      </c>
      <c r="GX43" t="s">
        <v>717</v>
      </c>
      <c r="GY43">
        <v>74.054734089485805</v>
      </c>
      <c r="GZ43">
        <v>1.0094332347649E-4</v>
      </c>
      <c r="HA43">
        <v>2.0471581355555601E-3</v>
      </c>
    </row>
    <row r="44" spans="1:395" ht="16.5" customHeight="1" thickBot="1" x14ac:dyDescent="0.5">
      <c r="A44" s="981"/>
      <c r="B44" s="159" t="s">
        <v>752</v>
      </c>
      <c r="C44" s="160">
        <v>43072</v>
      </c>
      <c r="D44" s="161">
        <v>45828</v>
      </c>
      <c r="E44" s="162">
        <v>46593</v>
      </c>
      <c r="F44" s="163">
        <v>135493</v>
      </c>
      <c r="G44" s="200">
        <v>1034411.3797605775</v>
      </c>
      <c r="H44" s="984"/>
      <c r="I44" s="180">
        <v>0.10807542898304649</v>
      </c>
      <c r="J44" s="181">
        <v>0.1508706928492034</v>
      </c>
      <c r="K44" s="182">
        <v>0.13237170108093732</v>
      </c>
      <c r="L44" s="183">
        <v>0.13237170108093732</v>
      </c>
      <c r="M44" s="292">
        <v>8.7317905757384517E-2</v>
      </c>
      <c r="N44" s="870"/>
      <c r="O44" s="206"/>
      <c r="P44" s="206"/>
      <c r="Q44" s="206"/>
      <c r="S44" s="115">
        <v>2013</v>
      </c>
      <c r="T44" s="107">
        <f>$M$127</f>
        <v>2.8204394465260352E-2</v>
      </c>
      <c r="U44" s="85">
        <f>U43*(1+T44)</f>
        <v>4.3546327437601704</v>
      </c>
      <c r="V44" s="438">
        <f t="shared" si="232"/>
        <v>1033.1366184571004</v>
      </c>
      <c r="W44" s="83">
        <f t="shared" si="233"/>
        <v>27.216454648501063</v>
      </c>
      <c r="X44" s="83">
        <f t="shared" ref="X44:X56" si="241">W44/0.0194</f>
        <v>1402.9100334278899</v>
      </c>
      <c r="Y44" s="438">
        <f t="shared" ref="Y44:Y56" si="242">X44*$Y$16</f>
        <v>911.8915217281284</v>
      </c>
      <c r="Z44" s="16">
        <f t="shared" si="234"/>
        <v>1006212.5081440595</v>
      </c>
      <c r="AA44">
        <f t="shared" ref="AA44:AA54" si="243">Z44/10^6*$AA$16</f>
        <v>5.000876165475975</v>
      </c>
      <c r="AB44" s="237">
        <f t="shared" ref="AB44:AB49" si="244">AA44/$W$16/$X$16*$Y$16</f>
        <v>1047.2195578477397</v>
      </c>
      <c r="AC44" s="16">
        <f t="shared" si="235"/>
        <v>726076.8771744963</v>
      </c>
      <c r="AD44">
        <f t="shared" si="236"/>
        <v>3.6947729650750483</v>
      </c>
      <c r="AE44" s="16">
        <f t="shared" si="237"/>
        <v>1163.8534839986403</v>
      </c>
      <c r="AF44" s="237">
        <f t="shared" si="238"/>
        <v>756.50476459911624</v>
      </c>
      <c r="AG44" s="16">
        <f t="shared" si="239"/>
        <v>925.7758382823165</v>
      </c>
      <c r="AH44" s="16">
        <f t="shared" si="240"/>
        <v>169.2710736832004</v>
      </c>
      <c r="AI44">
        <f t="shared" ref="AI44:AI56" si="245">AH44+AF44</f>
        <v>925.77583828231661</v>
      </c>
      <c r="AK44" s="701" t="s">
        <v>285</v>
      </c>
      <c r="AL44" s="695"/>
      <c r="AP44" s="746" t="s">
        <v>285</v>
      </c>
      <c r="AQ44" s="735">
        <f t="shared" ref="AQ44:AQ49" si="246">_xlfn.XLOOKUP(AP44,$AK$11:$AK$16,$AL$11:$AL$16,0,0,1)</f>
        <v>36334</v>
      </c>
      <c r="AR44" s="736"/>
      <c r="AS44" s="773">
        <f t="shared" ref="AS44:AS49" si="247">AR44/AQ44</f>
        <v>0</v>
      </c>
      <c r="AT44" s="737">
        <v>29.3</v>
      </c>
      <c r="AU44" s="738">
        <v>10769</v>
      </c>
      <c r="AW44" s="95">
        <f t="shared" ref="AW44:AW77" si="248">AQ44/$AQ$79</f>
        <v>0.36612990991354116</v>
      </c>
      <c r="AX44" s="95"/>
      <c r="AY44">
        <f>AQ44*AU44/1000000</f>
        <v>391.280846</v>
      </c>
      <c r="BA44" s="862">
        <f t="shared" ref="BA44:BA77" si="249">AY44/$AY$79</f>
        <v>0.2473407918165825</v>
      </c>
      <c r="BB44" s="862">
        <f>AY44/$AY$81</f>
        <v>0.29079716078299894</v>
      </c>
      <c r="BC44" s="862"/>
      <c r="BE44" s="22">
        <f>CD43</f>
        <v>236.40470499999972</v>
      </c>
      <c r="BF44" t="s">
        <v>340</v>
      </c>
      <c r="BH44" t="s">
        <v>689</v>
      </c>
      <c r="BI44" t="s">
        <v>690</v>
      </c>
      <c r="BJ44" t="s">
        <v>691</v>
      </c>
      <c r="BK44" t="s">
        <v>692</v>
      </c>
      <c r="BL44" t="s">
        <v>693</v>
      </c>
      <c r="BM44" t="s">
        <v>694</v>
      </c>
      <c r="BN44" t="s">
        <v>695</v>
      </c>
      <c r="BO44" t="s">
        <v>696</v>
      </c>
      <c r="BP44" t="s">
        <v>697</v>
      </c>
      <c r="BQ44" t="s">
        <v>426</v>
      </c>
      <c r="BR44" t="s">
        <v>695</v>
      </c>
      <c r="BS44" t="s">
        <v>696</v>
      </c>
      <c r="BT44" t="s">
        <v>697</v>
      </c>
      <c r="BU44" s="237"/>
      <c r="BV44" t="s">
        <v>698</v>
      </c>
      <c r="BW44" t="s">
        <v>699</v>
      </c>
      <c r="BX44" s="237" t="s">
        <v>700</v>
      </c>
      <c r="BY44" t="s">
        <v>701</v>
      </c>
      <c r="BZ44" s="237" t="s">
        <v>702</v>
      </c>
      <c r="CA44" s="237"/>
      <c r="CB44" s="237"/>
      <c r="CC44" s="237" t="s">
        <v>680</v>
      </c>
      <c r="CD44" s="22">
        <f>IF($S$15=2012,VLOOKUP(CC42,$S$43:$V$56,4),VLOOKUP(CC42,$S$43:$AG$56,15))</f>
        <v>1252.7388623026445</v>
      </c>
      <c r="CE44" s="16" t="s">
        <v>340</v>
      </c>
      <c r="CI44" s="697" t="s">
        <v>727</v>
      </c>
      <c r="CJ44" s="695"/>
      <c r="CN44" s="746" t="s">
        <v>285</v>
      </c>
      <c r="CO44" s="735">
        <f t="shared" ref="CO44:CO49" si="250">_xlfn.XLOOKUP(CN44,$CI$11:$CI$16,$CJ$11:$CJ$16,0,0,1)</f>
        <v>35011</v>
      </c>
      <c r="CP44" s="736"/>
      <c r="CQ44" s="773">
        <f t="shared" ref="CQ44:CQ49" si="251">CP44/CO44</f>
        <v>0</v>
      </c>
      <c r="CR44" s="737">
        <v>29.3</v>
      </c>
      <c r="CS44" s="738">
        <v>10683</v>
      </c>
      <c r="CU44" s="95">
        <f t="shared" ref="CU44:CU77" si="252">CO44/$CO$82</f>
        <v>0.39976478379520203</v>
      </c>
      <c r="CV44" s="95"/>
      <c r="CW44">
        <f>CO44*CS44/1000000</f>
        <v>374.022513</v>
      </c>
      <c r="CY44" s="95">
        <f>CW44/$CW$79</f>
        <v>0.27230210295516516</v>
      </c>
      <c r="CZ44" s="95">
        <f>CW44/$CW$81</f>
        <v>0.32745841037350171</v>
      </c>
      <c r="DA44" s="95"/>
      <c r="DB44" s="22">
        <f>EB43</f>
        <v>231.3586720000001</v>
      </c>
      <c r="DF44" t="s">
        <v>689</v>
      </c>
      <c r="DG44" t="s">
        <v>690</v>
      </c>
      <c r="DH44" t="s">
        <v>691</v>
      </c>
      <c r="DI44" t="s">
        <v>692</v>
      </c>
      <c r="DJ44" t="s">
        <v>693</v>
      </c>
      <c r="DK44" t="s">
        <v>694</v>
      </c>
      <c r="DL44" t="s">
        <v>695</v>
      </c>
      <c r="DM44" t="s">
        <v>696</v>
      </c>
      <c r="DN44" t="s">
        <v>697</v>
      </c>
      <c r="DO44" t="s">
        <v>426</v>
      </c>
      <c r="DP44" t="s">
        <v>695</v>
      </c>
      <c r="DQ44" t="s">
        <v>696</v>
      </c>
      <c r="DR44" t="s">
        <v>697</v>
      </c>
      <c r="DS44" s="237"/>
      <c r="DT44" t="s">
        <v>698</v>
      </c>
      <c r="DU44" t="s">
        <v>699</v>
      </c>
      <c r="DV44" s="237" t="s">
        <v>700</v>
      </c>
      <c r="DW44" t="s">
        <v>701</v>
      </c>
      <c r="DX44" s="237" t="s">
        <v>702</v>
      </c>
      <c r="DY44" s="237"/>
      <c r="DZ44" s="237"/>
      <c r="EA44" s="237" t="s">
        <v>680</v>
      </c>
      <c r="EB44" s="22">
        <f>IF($S$15=2012,VLOOKUP(EA42,$S$43:$V$57,4),VLOOKUP(EA42,$S$43:$AG$57,15))</f>
        <v>1250.8764576785156</v>
      </c>
      <c r="EC44" s="16" t="s">
        <v>340</v>
      </c>
      <c r="GW44" t="s">
        <v>737</v>
      </c>
      <c r="GX44" t="s">
        <v>675</v>
      </c>
      <c r="GY44">
        <v>71.051104664576499</v>
      </c>
      <c r="GZ44">
        <v>1.53682172957139E-2</v>
      </c>
      <c r="HA44">
        <v>8.2329735512008E-4</v>
      </c>
    </row>
    <row r="45" spans="1:395" ht="16.5" customHeight="1" thickBot="1" x14ac:dyDescent="0.5">
      <c r="A45" s="981"/>
      <c r="B45" s="159" t="s">
        <v>754</v>
      </c>
      <c r="C45" s="160">
        <v>44536</v>
      </c>
      <c r="D45" s="161">
        <v>46730</v>
      </c>
      <c r="E45" s="162">
        <v>46157</v>
      </c>
      <c r="F45" s="163">
        <v>137423</v>
      </c>
      <c r="G45" s="200">
        <v>1171834.3797605773</v>
      </c>
      <c r="H45" s="984"/>
      <c r="I45" s="180">
        <v>4.2941322794365501E-2</v>
      </c>
      <c r="J45" s="181">
        <v>0.12224950764667267</v>
      </c>
      <c r="K45" s="182">
        <v>9.5245667049713489E-2</v>
      </c>
      <c r="L45" s="183">
        <v>9.5245667049713489E-2</v>
      </c>
      <c r="M45" s="292">
        <v>8.8241662368212515E-2</v>
      </c>
      <c r="N45" s="870"/>
      <c r="O45" s="206"/>
      <c r="P45" s="206"/>
      <c r="Q45" s="206"/>
      <c r="S45" s="115">
        <v>2014</v>
      </c>
      <c r="T45" s="107">
        <f>$M$140</f>
        <v>2.9891451882241293E-2</v>
      </c>
      <c r="U45" s="85">
        <f t="shared" ref="U45:U47" si="253">U44*(1+T45)</f>
        <v>4.48479903888511</v>
      </c>
      <c r="V45" s="438">
        <f t="shared" si="232"/>
        <v>1064.0185719754925</v>
      </c>
      <c r="W45" s="83">
        <f t="shared" si="233"/>
        <v>28.029993993031937</v>
      </c>
      <c r="X45" s="83">
        <f t="shared" si="241"/>
        <v>1444.8450511872131</v>
      </c>
      <c r="Y45" s="438">
        <f t="shared" si="242"/>
        <v>939.14928327168855</v>
      </c>
      <c r="Z45" s="16">
        <f t="shared" si="234"/>
        <v>1036289.6609145569</v>
      </c>
      <c r="AA45">
        <f t="shared" si="243"/>
        <v>5.150359614745347</v>
      </c>
      <c r="AB45" s="237">
        <f t="shared" si="244"/>
        <v>1078.5224708712874</v>
      </c>
      <c r="AC45" s="16">
        <f t="shared" si="235"/>
        <v>747780.36921136582</v>
      </c>
      <c r="AD45">
        <f t="shared" si="236"/>
        <v>3.8052150933763951</v>
      </c>
      <c r="AE45" s="16">
        <f t="shared" si="237"/>
        <v>1198.6427544135645</v>
      </c>
      <c r="AF45" s="237">
        <f t="shared" si="238"/>
        <v>779.11779036881694</v>
      </c>
      <c r="AG45" s="16">
        <f t="shared" si="239"/>
        <v>953.44862220607399</v>
      </c>
      <c r="AH45" s="16">
        <f t="shared" si="240"/>
        <v>174.33083183725711</v>
      </c>
      <c r="AI45">
        <f t="shared" si="245"/>
        <v>953.44862220607411</v>
      </c>
      <c r="AK45" s="697" t="s">
        <v>727</v>
      </c>
      <c r="AL45" s="695"/>
      <c r="AP45" s="747" t="s">
        <v>709</v>
      </c>
      <c r="AQ45" s="735">
        <f t="shared" si="246"/>
        <v>6</v>
      </c>
      <c r="AR45" s="740"/>
      <c r="AS45" s="773">
        <f t="shared" si="247"/>
        <v>0</v>
      </c>
      <c r="AT45" s="740">
        <v>17.2</v>
      </c>
      <c r="AU45" s="738">
        <v>5085</v>
      </c>
      <c r="AW45" s="95">
        <f t="shared" si="248"/>
        <v>6.0460710614885424E-5</v>
      </c>
      <c r="AX45" s="95"/>
      <c r="AY45">
        <f t="shared" ref="AY45:AY60" si="254">AQ45*AU45/1000000</f>
        <v>3.0509999999999999E-2</v>
      </c>
      <c r="BA45" s="863">
        <f t="shared" si="249"/>
        <v>1.9286319878596696E-5</v>
      </c>
      <c r="BB45" s="863">
        <f>AY45/$AY$80</f>
        <v>1.2905834509511997E-4</v>
      </c>
      <c r="BC45" s="863"/>
      <c r="BE45" s="22">
        <f>CD44-CD43</f>
        <v>1016.3341573026448</v>
      </c>
      <c r="BF45" t="s">
        <v>340</v>
      </c>
      <c r="BU45" s="606"/>
      <c r="BX45" s="237"/>
      <c r="BZ45" s="237"/>
      <c r="CA45" s="237"/>
      <c r="CB45" s="237"/>
      <c r="CI45" s="701" t="s">
        <v>285</v>
      </c>
      <c r="CJ45" s="695">
        <v>707</v>
      </c>
      <c r="CN45" s="747" t="s">
        <v>709</v>
      </c>
      <c r="CO45" s="735">
        <f t="shared" si="250"/>
        <v>6</v>
      </c>
      <c r="CP45" s="740"/>
      <c r="CQ45" s="773">
        <f t="shared" si="251"/>
        <v>0</v>
      </c>
      <c r="CR45" s="740">
        <v>17.2</v>
      </c>
      <c r="CS45" s="738">
        <v>6263</v>
      </c>
      <c r="CU45" s="95">
        <f t="shared" si="252"/>
        <v>6.8509574212996261E-5</v>
      </c>
      <c r="CV45" s="95"/>
      <c r="CW45">
        <f t="shared" ref="CW45:CW77" si="255">CO45*CS45/1000000</f>
        <v>3.7578E-2</v>
      </c>
      <c r="CY45" s="95">
        <f t="shared" ref="CY45:CY76" si="256">CW45/$CW$79</f>
        <v>2.7358161792921798E-5</v>
      </c>
      <c r="CZ45" s="95">
        <f>CW45/$CW$80</f>
        <v>1.6242313147440604E-4</v>
      </c>
      <c r="DA45" s="95"/>
      <c r="DB45" s="22">
        <f>EB44-EB43</f>
        <v>1019.5177856785156</v>
      </c>
      <c r="DS45" s="606"/>
      <c r="DV45" s="237"/>
      <c r="DX45" s="237"/>
      <c r="DY45" s="237"/>
      <c r="DZ45" s="237"/>
      <c r="GX45" t="s">
        <v>717</v>
      </c>
      <c r="GY45">
        <v>74.054734089485507</v>
      </c>
      <c r="GZ45">
        <v>1.4363980931045299E-3</v>
      </c>
      <c r="HA45">
        <v>3.0837733297494202E-3</v>
      </c>
    </row>
    <row r="46" spans="1:395" ht="16.5" customHeight="1" thickBot="1" x14ac:dyDescent="0.5">
      <c r="A46" s="981"/>
      <c r="B46" s="159" t="s">
        <v>755</v>
      </c>
      <c r="C46" s="160">
        <v>45561</v>
      </c>
      <c r="D46" s="161">
        <v>47695</v>
      </c>
      <c r="E46" s="162">
        <v>46533</v>
      </c>
      <c r="F46" s="163">
        <v>139789</v>
      </c>
      <c r="G46" s="200">
        <v>1311623.3797605773</v>
      </c>
      <c r="H46" s="984"/>
      <c r="I46" s="180">
        <v>5.1169881714945263E-2</v>
      </c>
      <c r="J46" s="181">
        <v>0.15561129460848835</v>
      </c>
      <c r="K46" s="182">
        <v>0.10973475517648246</v>
      </c>
      <c r="L46" s="183">
        <v>0.10973475517648246</v>
      </c>
      <c r="M46" s="292">
        <v>9.0492614729322796E-2</v>
      </c>
      <c r="N46" s="870"/>
      <c r="O46" s="206"/>
      <c r="P46" s="206"/>
      <c r="Q46" s="206"/>
      <c r="S46" s="115">
        <v>2015</v>
      </c>
      <c r="T46" s="107">
        <f>$M$153</f>
        <v>4.227000115618762E-2</v>
      </c>
      <c r="U46" s="85">
        <f t="shared" si="253"/>
        <v>4.6743714994440531</v>
      </c>
      <c r="V46" s="438">
        <f t="shared" si="232"/>
        <v>1108.9946382431017</v>
      </c>
      <c r="W46" s="83">
        <f t="shared" si="233"/>
        <v>29.214821871525331</v>
      </c>
      <c r="X46" s="83">
        <f t="shared" si="241"/>
        <v>1505.9186531714088</v>
      </c>
      <c r="Y46" s="438">
        <f t="shared" si="242"/>
        <v>978.84712456141574</v>
      </c>
      <c r="Z46" s="16">
        <f t="shared" si="234"/>
        <v>1080093.6260795605</v>
      </c>
      <c r="AA46">
        <f t="shared" si="243"/>
        <v>5.3680653216154148</v>
      </c>
      <c r="AB46" s="237">
        <f t="shared" si="244"/>
        <v>1124.1116169619909</v>
      </c>
      <c r="AC46" s="16">
        <f t="shared" si="235"/>
        <v>779389.04628250469</v>
      </c>
      <c r="AD46">
        <f t="shared" si="236"/>
        <v>3.9660615397729582</v>
      </c>
      <c r="AE46" s="16">
        <f t="shared" si="237"/>
        <v>1249.3093850284818</v>
      </c>
      <c r="AF46" s="237">
        <f t="shared" si="238"/>
        <v>812.05110026851321</v>
      </c>
      <c r="AG46" s="16">
        <f t="shared" si="239"/>
        <v>993.75089656909029</v>
      </c>
      <c r="AH46" s="16">
        <f t="shared" si="240"/>
        <v>181.69979630057711</v>
      </c>
      <c r="AI46">
        <f t="shared" si="245"/>
        <v>993.75089656909029</v>
      </c>
      <c r="AK46" s="701" t="s">
        <v>285</v>
      </c>
      <c r="AL46" s="695">
        <v>704</v>
      </c>
      <c r="AP46" s="747" t="s">
        <v>711</v>
      </c>
      <c r="AQ46" s="735">
        <f t="shared" si="246"/>
        <v>3</v>
      </c>
      <c r="AR46" s="740"/>
      <c r="AS46" s="773">
        <f t="shared" si="247"/>
        <v>0</v>
      </c>
      <c r="AT46" s="739" t="s">
        <v>409</v>
      </c>
      <c r="AU46" s="741">
        <v>0</v>
      </c>
      <c r="AW46" s="95">
        <f t="shared" si="248"/>
        <v>3.0230355307442712E-5</v>
      </c>
      <c r="AX46" s="95"/>
      <c r="AY46">
        <f t="shared" si="254"/>
        <v>0</v>
      </c>
      <c r="BA46" s="864">
        <f t="shared" si="249"/>
        <v>0</v>
      </c>
      <c r="BB46" s="863">
        <f t="shared" ref="BB46:BB49" si="257">AY46/$AY$80</f>
        <v>0</v>
      </c>
      <c r="BC46" s="864"/>
      <c r="BD46" t="s">
        <v>712</v>
      </c>
      <c r="BE46" t="s">
        <v>675</v>
      </c>
      <c r="BF46" s="101">
        <f>BB44</f>
        <v>0.29079716078299894</v>
      </c>
      <c r="BG46" s="22">
        <f t="shared" ref="BG46:BG54" si="258">BF46*$BE$45</f>
        <v>295.54708735039094</v>
      </c>
      <c r="BH46">
        <v>8</v>
      </c>
      <c r="BI46">
        <f>BH46/100</f>
        <v>0.08</v>
      </c>
      <c r="BJ46">
        <v>0.75</v>
      </c>
      <c r="BK46">
        <f>BJ46*BI46</f>
        <v>0.06</v>
      </c>
      <c r="BL46">
        <v>44.3</v>
      </c>
      <c r="BM46">
        <f>BL46*BK46</f>
        <v>2.6579999999999999</v>
      </c>
      <c r="BN46" s="847">
        <f>$BG$81</f>
        <v>73.340256807427139</v>
      </c>
      <c r="BO46" s="852">
        <f>$BH$81/1000</f>
        <v>5.89588162119752E-3</v>
      </c>
      <c r="BP46" s="852">
        <f>$BI$81/1000</f>
        <v>5.9086290854477614E-4</v>
      </c>
      <c r="BQ46" s="22">
        <f t="shared" ref="BQ46:BQ73" si="259">BM46*BG46</f>
        <v>785.5641581773391</v>
      </c>
      <c r="BR46" s="22">
        <f t="shared" ref="BR46:BR73" si="260">$BQ46*BN46</f>
        <v>57613.477099436364</v>
      </c>
      <c r="BS46" s="22">
        <f t="shared" ref="BS46:BS73" si="261">$BQ46*BO46</f>
        <v>4.6315932824692752</v>
      </c>
      <c r="BT46" s="22">
        <f t="shared" ref="BT46:BT73" si="262">$BQ46*BP46</f>
        <v>0.46416072334919117</v>
      </c>
      <c r="BU46" s="437">
        <f>BR46+BS46*$BS$43+BT46*$BT$43</f>
        <v>57878.214456728281</v>
      </c>
      <c r="BV46">
        <v>2.34</v>
      </c>
      <c r="BW46">
        <f>BV46*BI46*BG46*1000000</f>
        <v>55326414.751993187</v>
      </c>
      <c r="BX46" s="237">
        <f>BW46/1000</f>
        <v>55326.414751993187</v>
      </c>
      <c r="BY46">
        <v>207</v>
      </c>
      <c r="BZ46" s="237">
        <f>BY46/10^6*BG46*10^6</f>
        <v>61178.247081530921</v>
      </c>
      <c r="CA46" s="237"/>
      <c r="CB46" s="237"/>
      <c r="CD46" s="16" t="s">
        <v>342</v>
      </c>
      <c r="CE46" s="16" t="s">
        <v>713</v>
      </c>
      <c r="CF46" s="16" t="s">
        <v>714</v>
      </c>
      <c r="CI46" s="701" t="s">
        <v>711</v>
      </c>
      <c r="CJ46" s="695">
        <v>4</v>
      </c>
      <c r="CN46" s="747" t="s">
        <v>711</v>
      </c>
      <c r="CO46" s="735">
        <f t="shared" si="250"/>
        <v>0</v>
      </c>
      <c r="CP46" s="740"/>
      <c r="CQ46" s="773" t="e">
        <f t="shared" si="251"/>
        <v>#DIV/0!</v>
      </c>
      <c r="CR46" s="739" t="s">
        <v>409</v>
      </c>
      <c r="CS46" s="741">
        <v>0</v>
      </c>
      <c r="CU46" s="95">
        <f t="shared" si="252"/>
        <v>0</v>
      </c>
      <c r="CV46" s="95"/>
      <c r="CW46">
        <f t="shared" si="255"/>
        <v>0</v>
      </c>
      <c r="CY46" s="95">
        <f t="shared" si="256"/>
        <v>0</v>
      </c>
      <c r="CZ46" s="95">
        <f t="shared" ref="CZ46:CZ50" si="263">CW46/$CW$80</f>
        <v>0</v>
      </c>
      <c r="DA46" s="95"/>
      <c r="DB46" t="s">
        <v>712</v>
      </c>
      <c r="DC46" t="s">
        <v>675</v>
      </c>
      <c r="DD46" s="101">
        <f>CZ44</f>
        <v>0.32745841037350171</v>
      </c>
      <c r="DE46" s="22">
        <f t="shared" ref="DE46:DE54" si="264">DD46*$DB$45</f>
        <v>333.84967344579911</v>
      </c>
      <c r="DF46">
        <v>8</v>
      </c>
      <c r="DG46">
        <f>DF46/100</f>
        <v>0.08</v>
      </c>
      <c r="DH46">
        <v>0.75</v>
      </c>
      <c r="DI46">
        <f>DH46*DG46</f>
        <v>0.06</v>
      </c>
      <c r="DJ46">
        <v>44.3</v>
      </c>
      <c r="DK46">
        <f>DJ46*DI46</f>
        <v>2.6579999999999999</v>
      </c>
      <c r="DL46" s="847">
        <v>73.231096434849775</v>
      </c>
      <c r="DM46" s="852">
        <v>4.5695578598240177E-3</v>
      </c>
      <c r="DN46" s="852">
        <v>4.4568227585513781E-4</v>
      </c>
      <c r="DO46" s="22">
        <f t="shared" ref="DO46:DO73" si="265">DK46*DE46</f>
        <v>887.37243201893398</v>
      </c>
      <c r="DP46" s="22">
        <f>$DO46*DL46</f>
        <v>64983.256142805731</v>
      </c>
      <c r="DQ46" s="22">
        <f>$DO46*DM46</f>
        <v>4.0548996713232732</v>
      </c>
      <c r="DR46" s="22">
        <f>$DO46*DN46</f>
        <v>0.39548616503330708</v>
      </c>
      <c r="DS46" s="437">
        <f>DP46+DQ46*$DQ$43+DR46*$DR$43</f>
        <v>65212.059876065257</v>
      </c>
      <c r="DT46">
        <v>2.34</v>
      </c>
      <c r="DU46">
        <f>DT46*DG46*DE46*1000000</f>
        <v>62496658.869053595</v>
      </c>
      <c r="DV46" s="237">
        <f>DU46/1000</f>
        <v>62496.658869053594</v>
      </c>
      <c r="DW46">
        <v>207</v>
      </c>
      <c r="DX46" s="237">
        <f>DW46/10^6*DE46*10^6</f>
        <v>69106.882403280411</v>
      </c>
      <c r="DY46" s="237"/>
      <c r="DZ46" s="237"/>
      <c r="EB46" s="16" t="s">
        <v>342</v>
      </c>
      <c r="EC46" s="16" t="s">
        <v>713</v>
      </c>
      <c r="ED46" s="16" t="s">
        <v>714</v>
      </c>
      <c r="GW46" t="s">
        <v>722</v>
      </c>
      <c r="GX46" t="s">
        <v>675</v>
      </c>
      <c r="GY46">
        <v>71.051977446800905</v>
      </c>
      <c r="GZ46">
        <v>6.0214126798913805E-3</v>
      </c>
      <c r="HA46">
        <v>1.2119593011540399E-3</v>
      </c>
    </row>
    <row r="47" spans="1:395" ht="16.5" customHeight="1" thickBot="1" x14ac:dyDescent="0.5">
      <c r="A47" s="981"/>
      <c r="B47" s="293" t="s">
        <v>756</v>
      </c>
      <c r="C47" s="160">
        <v>45586</v>
      </c>
      <c r="D47" s="161">
        <v>48466</v>
      </c>
      <c r="E47" s="162">
        <v>45560</v>
      </c>
      <c r="F47" s="163">
        <v>139612</v>
      </c>
      <c r="G47" s="200">
        <v>1451235.3797605773</v>
      </c>
      <c r="H47" s="984"/>
      <c r="I47" s="180">
        <v>5.4889619104919699E-2</v>
      </c>
      <c r="J47" s="181">
        <v>0.17577659022705036</v>
      </c>
      <c r="K47" s="182">
        <v>0.12835231554775062</v>
      </c>
      <c r="L47" s="183">
        <v>0.12835231554775062</v>
      </c>
      <c r="M47" s="292">
        <v>9.4023992595968719E-2</v>
      </c>
      <c r="N47" s="870"/>
      <c r="O47" s="206"/>
      <c r="P47" s="206"/>
      <c r="Q47" s="206"/>
      <c r="S47" s="115">
        <v>2016</v>
      </c>
      <c r="T47" s="107">
        <f>$M$166</f>
        <v>7.2047840846281241E-2</v>
      </c>
      <c r="U47" s="85">
        <f t="shared" si="253"/>
        <v>5.0111498732923909</v>
      </c>
      <c r="V47" s="438">
        <f t="shared" si="232"/>
        <v>1188.8953074386197</v>
      </c>
      <c r="W47" s="83">
        <f t="shared" si="233"/>
        <v>31.319686708077441</v>
      </c>
      <c r="X47" s="83">
        <f t="shared" si="241"/>
        <v>1614.4168406225485</v>
      </c>
      <c r="Y47" s="438">
        <f t="shared" si="242"/>
        <v>1049.3709464046565</v>
      </c>
      <c r="Z47" s="16">
        <f t="shared" si="234"/>
        <v>1157912.0397504235</v>
      </c>
      <c r="AA47">
        <f t="shared" si="243"/>
        <v>5.7548228375596047</v>
      </c>
      <c r="AB47" s="237">
        <f t="shared" si="244"/>
        <v>1205.1014318343246</v>
      </c>
      <c r="AC47" s="16">
        <f t="shared" si="235"/>
        <v>835542.34424640145</v>
      </c>
      <c r="AD47">
        <f t="shared" si="236"/>
        <v>4.2518077103770775</v>
      </c>
      <c r="AE47" s="16">
        <f t="shared" si="237"/>
        <v>1339.3194287687795</v>
      </c>
      <c r="AF47" s="237">
        <f t="shared" si="238"/>
        <v>870.5576286997067</v>
      </c>
      <c r="AG47" s="16">
        <f t="shared" si="239"/>
        <v>1065.3485030059494</v>
      </c>
      <c r="AH47" s="16">
        <f t="shared" si="240"/>
        <v>194.79087430624281</v>
      </c>
      <c r="AI47">
        <f t="shared" si="245"/>
        <v>1065.3485030059496</v>
      </c>
      <c r="AK47" s="701" t="s">
        <v>711</v>
      </c>
      <c r="AL47" s="695">
        <v>4</v>
      </c>
      <c r="AP47" s="747" t="s">
        <v>716</v>
      </c>
      <c r="AQ47" s="735">
        <f t="shared" si="246"/>
        <v>1149</v>
      </c>
      <c r="AR47" s="740"/>
      <c r="AS47" s="773">
        <f t="shared" si="247"/>
        <v>0</v>
      </c>
      <c r="AT47" s="740">
        <v>25.6</v>
      </c>
      <c r="AU47" s="738">
        <v>13847</v>
      </c>
      <c r="AW47" s="95">
        <f t="shared" si="248"/>
        <v>1.1578226082750559E-2</v>
      </c>
      <c r="AX47" s="95"/>
      <c r="AY47">
        <f t="shared" si="254"/>
        <v>15.910202999999999</v>
      </c>
      <c r="BA47" s="865">
        <f t="shared" si="249"/>
        <v>1.0057334132789537E-2</v>
      </c>
      <c r="BB47" s="863">
        <f t="shared" si="257"/>
        <v>6.7300703681003382E-2</v>
      </c>
      <c r="BC47" s="865"/>
      <c r="BE47" t="s">
        <v>717</v>
      </c>
      <c r="BF47" s="101">
        <f>BB51</f>
        <v>0.27137366327274731</v>
      </c>
      <c r="BG47" s="22">
        <f t="shared" si="258"/>
        <v>275.80632337643931</v>
      </c>
      <c r="BH47">
        <v>10.5</v>
      </c>
      <c r="BI47">
        <f>BH47/100</f>
        <v>0.105</v>
      </c>
      <c r="BJ47">
        <v>0.86499999999999999</v>
      </c>
      <c r="BK47">
        <f>BJ47*BI47</f>
        <v>9.0824999999999989E-2</v>
      </c>
      <c r="BL47">
        <v>43</v>
      </c>
      <c r="BM47">
        <f t="shared" ref="BM47:BM73" si="266">BL47*BK47</f>
        <v>3.9054749999999996</v>
      </c>
      <c r="BN47" s="847">
        <f>$BG$82</f>
        <v>73.961370985694614</v>
      </c>
      <c r="BO47" s="852">
        <f>$BH$82/1000</f>
        <v>1.2069660652303537E-3</v>
      </c>
      <c r="BP47" s="852">
        <f>$BI$82/1000</f>
        <v>2.7234591213219014E-3</v>
      </c>
      <c r="BQ47" s="22">
        <f t="shared" si="259"/>
        <v>1077.1547007885993</v>
      </c>
      <c r="BR47" s="22">
        <f t="shared" si="260"/>
        <v>79667.838434010468</v>
      </c>
      <c r="BS47" s="22">
        <f t="shared" si="261"/>
        <v>1.3000891708551947</v>
      </c>
      <c r="BT47" s="22">
        <f t="shared" si="262"/>
        <v>2.9335867949374741</v>
      </c>
      <c r="BU47" s="437">
        <f>BR47+BS47*$BS$43+BT47*$BT$43</f>
        <v>80507.450286319887</v>
      </c>
      <c r="BV47">
        <v>2.72</v>
      </c>
      <c r="BW47">
        <f>BV47*BI47*BG47*1000000</f>
        <v>78770285.956311077</v>
      </c>
      <c r="BX47" s="237">
        <f t="shared" ref="BX47:BX73" si="267">BW47/1000</f>
        <v>78770.285956311083</v>
      </c>
      <c r="BY47">
        <v>188</v>
      </c>
      <c r="BZ47" s="237">
        <f t="shared" ref="BZ47" si="268">BY47/10^6*BG47*10^6</f>
        <v>51851.588794770585</v>
      </c>
      <c r="CA47" s="237"/>
      <c r="CB47" s="237"/>
      <c r="CI47" s="701" t="s">
        <v>716</v>
      </c>
      <c r="CJ47" s="695">
        <v>105</v>
      </c>
      <c r="CN47" s="747" t="s">
        <v>716</v>
      </c>
      <c r="CO47" s="735">
        <f t="shared" si="250"/>
        <v>1012</v>
      </c>
      <c r="CP47" s="740"/>
      <c r="CQ47" s="773">
        <f t="shared" si="251"/>
        <v>0</v>
      </c>
      <c r="CR47" s="740">
        <v>25.6</v>
      </c>
      <c r="CS47" s="738">
        <v>9355</v>
      </c>
      <c r="CU47" s="95">
        <f t="shared" si="252"/>
        <v>1.1555281517258703E-2</v>
      </c>
      <c r="CV47" s="95"/>
      <c r="CW47">
        <f t="shared" si="255"/>
        <v>9.4672599999999996</v>
      </c>
      <c r="CY47" s="95">
        <f t="shared" si="256"/>
        <v>6.8925123959672355E-3</v>
      </c>
      <c r="CZ47" s="95">
        <f t="shared" si="263"/>
        <v>4.0920272917195841E-2</v>
      </c>
      <c r="DA47" s="95"/>
      <c r="DC47" t="s">
        <v>717</v>
      </c>
      <c r="DD47" s="101">
        <f>CZ51</f>
        <v>0.29325579832389975</v>
      </c>
      <c r="DE47" s="22">
        <f t="shared" si="264"/>
        <v>298.97950214456762</v>
      </c>
      <c r="DF47">
        <v>10.5</v>
      </c>
      <c r="DG47">
        <f>DF47/100</f>
        <v>0.105</v>
      </c>
      <c r="DH47">
        <v>0.86499999999999999</v>
      </c>
      <c r="DI47">
        <f>DH47*DG47</f>
        <v>9.0824999999999989E-2</v>
      </c>
      <c r="DJ47">
        <v>43</v>
      </c>
      <c r="DK47">
        <f t="shared" ref="DK47:DK58" si="269">DJ47*DI47</f>
        <v>3.9054749999999996</v>
      </c>
      <c r="DL47" s="847">
        <v>73.883575529983716</v>
      </c>
      <c r="DM47" s="852">
        <v>1.1024651844300431E-4</v>
      </c>
      <c r="DN47" s="852">
        <v>2.53299651715476E-3</v>
      </c>
      <c r="DO47" s="22">
        <f t="shared" si="265"/>
        <v>1167.656971138055</v>
      </c>
      <c r="DP47" s="22">
        <f>$DO47*DL47</f>
        <v>86270.672020190512</v>
      </c>
      <c r="DQ47" s="22">
        <f t="shared" ref="DQ47:DQ58" si="270">$DO47*DM47</f>
        <v>0.12873011580367413</v>
      </c>
      <c r="DR47" s="22">
        <f t="shared" ref="DR47:DR58" si="271">$DO47*DN47</f>
        <v>2.9576710411241693</v>
      </c>
      <c r="DS47" s="437">
        <f t="shared" ref="DS47:DS73" si="272">DP47+DQ47*$DQ$43+DR47*$DR$43</f>
        <v>87081.952371868363</v>
      </c>
      <c r="DT47">
        <v>2.72</v>
      </c>
      <c r="DU47">
        <f>DT47*DG47*DE47*1000000</f>
        <v>85388545.812488511</v>
      </c>
      <c r="DV47" s="237">
        <f t="shared" ref="DV47:DV58" si="273">DU47/1000</f>
        <v>85388.545812488504</v>
      </c>
      <c r="DW47">
        <v>188</v>
      </c>
      <c r="DX47" s="237">
        <f t="shared" ref="DX47:DX58" si="274">DW47/10^6*DE47*10^6</f>
        <v>56208.146403178704</v>
      </c>
      <c r="DY47" s="237"/>
      <c r="DZ47" s="237"/>
      <c r="GX47" t="s">
        <v>717</v>
      </c>
      <c r="GY47">
        <v>74.054734089485805</v>
      </c>
      <c r="GZ47">
        <v>1.0094332347649E-4</v>
      </c>
      <c r="HA47">
        <v>2.0471581355555601E-3</v>
      </c>
    </row>
    <row r="48" spans="1:395" ht="16.5" customHeight="1" thickBot="1" x14ac:dyDescent="0.5">
      <c r="A48" s="987"/>
      <c r="B48" s="297" t="s">
        <v>758</v>
      </c>
      <c r="C48" s="168">
        <v>41950</v>
      </c>
      <c r="D48" s="169">
        <v>46794</v>
      </c>
      <c r="E48" s="170">
        <v>42143</v>
      </c>
      <c r="F48" s="204">
        <v>130887</v>
      </c>
      <c r="G48" s="200">
        <v>1582122.3797605773</v>
      </c>
      <c r="H48" s="984"/>
      <c r="I48" s="298">
        <v>-1.3683814539640741E-2</v>
      </c>
      <c r="J48" s="299">
        <v>8.2421533877844552E-2</v>
      </c>
      <c r="K48" s="300">
        <v>5.3526727142477748E-2</v>
      </c>
      <c r="L48" s="187">
        <v>5.3526727142477748E-2</v>
      </c>
      <c r="M48" s="301">
        <v>9.0555949130175284E-2</v>
      </c>
      <c r="N48" s="870"/>
      <c r="O48" s="206"/>
      <c r="P48" s="206"/>
      <c r="Q48" s="206"/>
      <c r="S48" s="115">
        <v>2017</v>
      </c>
      <c r="T48" s="107">
        <f>$M$179</f>
        <v>8.0027290299421239E-2</v>
      </c>
      <c r="U48" s="85">
        <f>U47*(1+T48)</f>
        <v>5.4121786189362693</v>
      </c>
      <c r="V48" s="438">
        <f t="shared" si="232"/>
        <v>1284.0393773426299</v>
      </c>
      <c r="W48" s="83">
        <f t="shared" si="233"/>
        <v>33.826116368351684</v>
      </c>
      <c r="X48" s="83">
        <f t="shared" si="241"/>
        <v>1743.6142457913238</v>
      </c>
      <c r="Y48" s="438">
        <f t="shared" si="242"/>
        <v>1133.3492597643606</v>
      </c>
      <c r="Z48" s="16">
        <f t="shared" si="234"/>
        <v>1250576.6026967256</v>
      </c>
      <c r="AA48">
        <f t="shared" si="243"/>
        <v>6.2153657154027258</v>
      </c>
      <c r="AB48" s="237">
        <f t="shared" si="244"/>
        <v>1301.5424339599779</v>
      </c>
      <c r="AC48" s="16">
        <f t="shared" si="235"/>
        <v>902408.53398686717</v>
      </c>
      <c r="AD48">
        <f t="shared" si="236"/>
        <v>4.5920683603127408</v>
      </c>
      <c r="AE48" s="16">
        <f t="shared" si="237"/>
        <v>1446.5015334985133</v>
      </c>
      <c r="AF48" s="237">
        <f t="shared" si="238"/>
        <v>940.22599677403366</v>
      </c>
      <c r="AG48" s="16">
        <f t="shared" si="239"/>
        <v>1150.6054569260602</v>
      </c>
      <c r="AH48" s="16">
        <f t="shared" si="240"/>
        <v>210.37946015202658</v>
      </c>
      <c r="AI48">
        <f t="shared" si="245"/>
        <v>1150.6054569260602</v>
      </c>
      <c r="AK48" s="701" t="s">
        <v>716</v>
      </c>
      <c r="AL48" s="695">
        <v>97</v>
      </c>
      <c r="AP48" s="747" t="s">
        <v>722</v>
      </c>
      <c r="AQ48" s="735">
        <f t="shared" si="246"/>
        <v>39</v>
      </c>
      <c r="AR48" s="740"/>
      <c r="AS48" s="773">
        <f t="shared" si="247"/>
        <v>0</v>
      </c>
      <c r="AT48" s="740">
        <v>7.2</v>
      </c>
      <c r="AU48" s="738">
        <v>2984</v>
      </c>
      <c r="AW48" s="95">
        <f t="shared" si="248"/>
        <v>3.929946189967553E-4</v>
      </c>
      <c r="AX48" s="95"/>
      <c r="AY48">
        <f t="shared" si="254"/>
        <v>0.11637599999999999</v>
      </c>
      <c r="BA48" s="95">
        <f t="shared" si="249"/>
        <v>7.3564888960720061E-5</v>
      </c>
      <c r="BB48" s="863">
        <f t="shared" si="257"/>
        <v>4.9227446636478805E-4</v>
      </c>
      <c r="BC48" s="95"/>
      <c r="BE48" t="s">
        <v>723</v>
      </c>
      <c r="BF48" s="101">
        <f>BB58</f>
        <v>0.1680469310286187</v>
      </c>
      <c r="BG48" s="22">
        <f t="shared" si="258"/>
        <v>170.79183603426685</v>
      </c>
      <c r="BH48">
        <v>0</v>
      </c>
      <c r="BI48">
        <f>BH48/100</f>
        <v>0</v>
      </c>
      <c r="BK48">
        <f>BJ48*BI48</f>
        <v>0</v>
      </c>
      <c r="BL48">
        <v>0</v>
      </c>
      <c r="BM48">
        <f t="shared" si="266"/>
        <v>0</v>
      </c>
      <c r="BN48" s="847">
        <f>$BG$81</f>
        <v>73.340256807427139</v>
      </c>
      <c r="BO48" s="852">
        <f>$BH$81/1000</f>
        <v>5.89588162119752E-3</v>
      </c>
      <c r="BP48" s="852">
        <f>$BI$81/1000</f>
        <v>5.9086290854477614E-4</v>
      </c>
      <c r="BQ48" s="22">
        <f t="shared" si="259"/>
        <v>0</v>
      </c>
      <c r="BR48" s="22">
        <f t="shared" si="260"/>
        <v>0</v>
      </c>
      <c r="BS48" s="22">
        <f t="shared" si="261"/>
        <v>0</v>
      </c>
      <c r="BT48" s="22">
        <f t="shared" si="262"/>
        <v>0</v>
      </c>
      <c r="BU48" s="437">
        <f t="shared" ref="BU48:BU73" si="275">BR48+BS48*$BS$43+BT48*$BT$43</f>
        <v>0</v>
      </c>
      <c r="BV48">
        <v>2.34</v>
      </c>
      <c r="BW48">
        <f t="shared" ref="BW48:BW73" si="276">BV48*BI48*BG48*1000000</f>
        <v>0</v>
      </c>
      <c r="BX48" s="237">
        <f t="shared" si="267"/>
        <v>0</v>
      </c>
      <c r="BY48">
        <v>1.6</v>
      </c>
      <c r="BZ48" s="237">
        <f>BY48/10^6*BG48*10^6</f>
        <v>273.26693765482696</v>
      </c>
      <c r="CA48" s="237"/>
      <c r="CB48" s="237"/>
      <c r="CC48" t="s">
        <v>285</v>
      </c>
      <c r="CD48" s="22">
        <f>SUM(BU46:BU54)</f>
        <v>168292.77399932733</v>
      </c>
      <c r="CE48" s="22">
        <f>SUM(BX46:BX54)</f>
        <v>182669.44244445142</v>
      </c>
      <c r="CF48">
        <f>SUM(BZ46:BZ54)</f>
        <v>150022.09541492595</v>
      </c>
      <c r="CI48" s="701" t="s">
        <v>722</v>
      </c>
      <c r="CJ48" s="695">
        <v>4</v>
      </c>
      <c r="CN48" s="747" t="s">
        <v>722</v>
      </c>
      <c r="CO48" s="735">
        <f t="shared" si="250"/>
        <v>34</v>
      </c>
      <c r="CP48" s="740"/>
      <c r="CQ48" s="773">
        <f t="shared" si="251"/>
        <v>0</v>
      </c>
      <c r="CR48" s="740">
        <v>7.2</v>
      </c>
      <c r="CS48" s="738">
        <v>2620</v>
      </c>
      <c r="CU48" s="95">
        <f t="shared" si="252"/>
        <v>3.8822092054031216E-4</v>
      </c>
      <c r="CV48" s="95"/>
      <c r="CW48">
        <f t="shared" si="255"/>
        <v>8.9080000000000006E-2</v>
      </c>
      <c r="CY48" s="95">
        <f t="shared" si="256"/>
        <v>6.4853506107655375E-5</v>
      </c>
      <c r="CZ48" s="95">
        <f t="shared" si="263"/>
        <v>3.8502987257810662E-4</v>
      </c>
      <c r="DA48" s="95"/>
      <c r="DC48" t="s">
        <v>723</v>
      </c>
      <c r="DD48" s="101">
        <f>CZ58</f>
        <v>0.14085572220543333</v>
      </c>
      <c r="DE48" s="22">
        <f t="shared" si="264"/>
        <v>143.6049140030315</v>
      </c>
      <c r="DF48">
        <v>0</v>
      </c>
      <c r="DG48">
        <f>DF48/100</f>
        <v>0</v>
      </c>
      <c r="DI48">
        <f>DH48*DG48</f>
        <v>0</v>
      </c>
      <c r="DJ48">
        <v>0</v>
      </c>
      <c r="DK48">
        <f t="shared" si="269"/>
        <v>0</v>
      </c>
      <c r="DL48" s="847">
        <v>73.231096434849775</v>
      </c>
      <c r="DM48" s="852">
        <v>4.5695578598240177E-3</v>
      </c>
      <c r="DN48" s="852">
        <v>4.4568227585513781E-4</v>
      </c>
      <c r="DO48" s="22">
        <f t="shared" si="265"/>
        <v>0</v>
      </c>
      <c r="DP48" s="22">
        <f>$DO48*DL48</f>
        <v>0</v>
      </c>
      <c r="DQ48" s="22">
        <f t="shared" si="270"/>
        <v>0</v>
      </c>
      <c r="DR48" s="22">
        <f t="shared" si="271"/>
        <v>0</v>
      </c>
      <c r="DS48" s="437">
        <f t="shared" si="272"/>
        <v>0</v>
      </c>
      <c r="DT48">
        <v>2.34</v>
      </c>
      <c r="DU48">
        <f t="shared" ref="DU48:DU58" si="277">DT48*DG48*DE48*1000000</f>
        <v>0</v>
      </c>
      <c r="DV48" s="237">
        <f t="shared" si="273"/>
        <v>0</v>
      </c>
      <c r="DW48">
        <v>1.6</v>
      </c>
      <c r="DX48" s="237">
        <f>DW48/10^6*DE48*10^6</f>
        <v>229.7678624048504</v>
      </c>
      <c r="DY48" s="237"/>
      <c r="DZ48" s="237"/>
      <c r="EA48" t="s">
        <v>285</v>
      </c>
      <c r="EB48" s="22">
        <f>SUM(DS46:DS54)</f>
        <v>178623.4057922067</v>
      </c>
      <c r="EC48" s="22">
        <f>SUM(DV46:DV54)</f>
        <v>190161.63262873265</v>
      </c>
      <c r="ED48">
        <f>SUM(DX46:DX54)</f>
        <v>157763.70430074123</v>
      </c>
      <c r="GW48" t="s">
        <v>726</v>
      </c>
      <c r="GX48" t="s">
        <v>675</v>
      </c>
      <c r="GY48">
        <v>71.051104664576499</v>
      </c>
      <c r="GZ48">
        <v>1.53682172957139E-2</v>
      </c>
      <c r="HA48">
        <v>8.2329735512008E-4</v>
      </c>
    </row>
    <row r="49" spans="1:232" ht="16.5" customHeight="1" thickBot="1" x14ac:dyDescent="0.5">
      <c r="A49" s="296" t="s">
        <v>760</v>
      </c>
      <c r="B49" s="188"/>
      <c r="C49" s="174">
        <v>42987.916666666664</v>
      </c>
      <c r="D49" s="174">
        <v>44670.531646714786</v>
      </c>
      <c r="E49" s="174">
        <v>44185.083333333336</v>
      </c>
      <c r="F49" s="175">
        <v>131843.53164671478</v>
      </c>
      <c r="G49" s="175"/>
      <c r="H49" s="985"/>
      <c r="I49" s="189">
        <v>5.768799480415443E-2</v>
      </c>
      <c r="J49" s="189">
        <v>8.7065624193268576E-2</v>
      </c>
      <c r="K49" s="190">
        <v>0.1283317877069976</v>
      </c>
      <c r="L49" s="191"/>
      <c r="M49" s="190">
        <v>9.0555949130175284E-2</v>
      </c>
      <c r="N49" s="891"/>
      <c r="O49" s="872"/>
      <c r="P49" s="872"/>
      <c r="Q49" s="872"/>
      <c r="S49" s="115">
        <v>2018</v>
      </c>
      <c r="T49" s="107">
        <f>$M$192</f>
        <v>2.8042488962377606E-2</v>
      </c>
      <c r="U49" s="85">
        <f t="shared" ref="U49:U56" si="278">U48*(1+T49)</f>
        <v>5.563949578120206</v>
      </c>
      <c r="V49" s="438">
        <f t="shared" si="232"/>
        <v>1320.0470374090189</v>
      </c>
      <c r="W49" s="83">
        <f t="shared" si="233"/>
        <v>34.774684863251288</v>
      </c>
      <c r="X49" s="83">
        <f t="shared" si="241"/>
        <v>1792.5095290335714</v>
      </c>
      <c r="Y49" s="438">
        <f t="shared" si="242"/>
        <v>1165.1311938718216</v>
      </c>
      <c r="Z49" s="16">
        <f>Z50/(1+T50)</f>
        <v>1285645.8832744563</v>
      </c>
      <c r="AA49">
        <f t="shared" si="243"/>
        <v>6.3896600398740464</v>
      </c>
      <c r="AB49" s="237">
        <f t="shared" si="244"/>
        <v>1338.0409232983668</v>
      </c>
      <c r="AC49" s="16">
        <f t="shared" si="235"/>
        <v>927714.31534074922</v>
      </c>
      <c r="AD49">
        <f t="shared" si="236"/>
        <v>4.7208413866212942</v>
      </c>
      <c r="AE49" s="16">
        <f t="shared" si="237"/>
        <v>1487.0650367857077</v>
      </c>
      <c r="AF49" s="237">
        <f t="shared" si="238"/>
        <v>966.59227391070999</v>
      </c>
      <c r="AG49" s="16">
        <f t="shared" si="239"/>
        <v>1182.8712977519608</v>
      </c>
      <c r="AH49" s="16">
        <f t="shared" si="240"/>
        <v>216.27902384125073</v>
      </c>
      <c r="AI49">
        <f t="shared" si="245"/>
        <v>1182.8712977519608</v>
      </c>
      <c r="AK49" s="701" t="s">
        <v>722</v>
      </c>
      <c r="AL49" s="695">
        <v>4</v>
      </c>
      <c r="AP49" s="747" t="s">
        <v>726</v>
      </c>
      <c r="AQ49" s="735">
        <f t="shared" si="246"/>
        <v>2</v>
      </c>
      <c r="AR49" s="740"/>
      <c r="AS49" s="773">
        <f t="shared" si="247"/>
        <v>0</v>
      </c>
      <c r="AT49" s="739" t="s">
        <v>409</v>
      </c>
      <c r="AU49" s="739">
        <v>0</v>
      </c>
      <c r="AW49" s="95">
        <f t="shared" si="248"/>
        <v>2.0153570204961808E-5</v>
      </c>
      <c r="AX49" s="95"/>
      <c r="AY49">
        <f t="shared" si="254"/>
        <v>0</v>
      </c>
      <c r="BA49" s="95">
        <f t="shared" si="249"/>
        <v>0</v>
      </c>
      <c r="BB49" s="863">
        <f t="shared" si="257"/>
        <v>0</v>
      </c>
      <c r="BC49" s="95"/>
      <c r="BE49" s="16" t="s">
        <v>727</v>
      </c>
      <c r="BF49" s="101">
        <f>BB72*AQ91/(AQ91+AQ92)</f>
        <v>8.9350584043448443E-4</v>
      </c>
      <c r="BG49" s="22">
        <f t="shared" si="258"/>
        <v>0.90810050538297316</v>
      </c>
      <c r="BH49">
        <v>0</v>
      </c>
      <c r="BI49">
        <f>BH49/100</f>
        <v>0</v>
      </c>
      <c r="BJ49">
        <v>0</v>
      </c>
      <c r="BK49">
        <f>BJ49*BI49</f>
        <v>0</v>
      </c>
      <c r="BL49">
        <v>0</v>
      </c>
      <c r="BM49">
        <f t="shared" si="266"/>
        <v>0</v>
      </c>
      <c r="BN49" s="847">
        <f>$BG$81</f>
        <v>73.340256807427139</v>
      </c>
      <c r="BO49" s="852">
        <f>$BH$81/1000</f>
        <v>5.89588162119752E-3</v>
      </c>
      <c r="BP49" s="852">
        <f>$BI$81/1000</f>
        <v>5.9086290854477614E-4</v>
      </c>
      <c r="BQ49" s="22">
        <f t="shared" si="259"/>
        <v>0</v>
      </c>
      <c r="BR49" s="22">
        <f t="shared" si="260"/>
        <v>0</v>
      </c>
      <c r="BS49" s="22">
        <f t="shared" si="261"/>
        <v>0</v>
      </c>
      <c r="BT49" s="22">
        <f t="shared" si="262"/>
        <v>0</v>
      </c>
      <c r="BU49" s="437">
        <f t="shared" si="275"/>
        <v>0</v>
      </c>
      <c r="BV49" s="16">
        <v>2.34</v>
      </c>
      <c r="BW49" s="16">
        <f t="shared" si="276"/>
        <v>0</v>
      </c>
      <c r="BX49" s="16">
        <f t="shared" si="267"/>
        <v>0</v>
      </c>
      <c r="BY49" s="752">
        <v>2.6</v>
      </c>
      <c r="BZ49" s="16">
        <f t="shared" ref="BZ49:BZ73" si="279">BY49/10^6*BG49*10^6</f>
        <v>2.3610613139957302</v>
      </c>
      <c r="CA49" s="16"/>
      <c r="CB49" s="237"/>
      <c r="CC49" t="s">
        <v>728</v>
      </c>
      <c r="CD49" s="22">
        <f>SUM(BU55:BU56)</f>
        <v>536.71895970290893</v>
      </c>
      <c r="CE49" s="22">
        <f>SUM(BX55:BX56)</f>
        <v>520.99398989999997</v>
      </c>
      <c r="CF49" s="22">
        <f>SUM(BZ55:BZ56)</f>
        <v>399.87984599999999</v>
      </c>
      <c r="CI49" s="701" t="s">
        <v>726</v>
      </c>
      <c r="CJ49" s="695">
        <v>25</v>
      </c>
      <c r="CN49" s="747" t="s">
        <v>726</v>
      </c>
      <c r="CO49" s="735">
        <f t="shared" si="250"/>
        <v>2</v>
      </c>
      <c r="CP49" s="740"/>
      <c r="CQ49" s="773">
        <f t="shared" si="251"/>
        <v>0</v>
      </c>
      <c r="CR49" s="739" t="s">
        <v>409</v>
      </c>
      <c r="CS49" s="739">
        <v>0</v>
      </c>
      <c r="CU49" s="95">
        <f t="shared" si="252"/>
        <v>2.2836524737665422E-5</v>
      </c>
      <c r="CV49" s="95"/>
      <c r="CW49">
        <f t="shared" si="255"/>
        <v>0</v>
      </c>
      <c r="CY49" s="95">
        <f t="shared" si="256"/>
        <v>0</v>
      </c>
      <c r="CZ49" s="95">
        <f t="shared" si="263"/>
        <v>0</v>
      </c>
      <c r="DA49" s="95"/>
      <c r="DC49" s="16" t="s">
        <v>727</v>
      </c>
      <c r="DD49" s="101">
        <f>CZ72*CO94/(CO94+CO95)</f>
        <v>1.14233202314346E-3</v>
      </c>
      <c r="DE49" s="22">
        <f t="shared" si="264"/>
        <v>1.1646278147448792</v>
      </c>
      <c r="DF49">
        <v>0</v>
      </c>
      <c r="DG49">
        <f>DF49/100</f>
        <v>0</v>
      </c>
      <c r="DH49">
        <v>0</v>
      </c>
      <c r="DI49">
        <f>DH49*DG49</f>
        <v>0</v>
      </c>
      <c r="DJ49">
        <v>0</v>
      </c>
      <c r="DK49">
        <f t="shared" si="269"/>
        <v>0</v>
      </c>
      <c r="DL49" s="847">
        <v>73.231096434849775</v>
      </c>
      <c r="DM49" s="852">
        <v>4.5695578598240177E-3</v>
      </c>
      <c r="DN49" s="852">
        <v>4.4568227585513781E-4</v>
      </c>
      <c r="DO49" s="22">
        <f t="shared" si="265"/>
        <v>0</v>
      </c>
      <c r="DP49" s="22">
        <f t="shared" ref="DP49:DP58" si="280">$DO49*DL49</f>
        <v>0</v>
      </c>
      <c r="DQ49" s="22">
        <f t="shared" si="270"/>
        <v>0</v>
      </c>
      <c r="DR49" s="22">
        <f t="shared" si="271"/>
        <v>0</v>
      </c>
      <c r="DS49" s="437">
        <f t="shared" si="272"/>
        <v>0</v>
      </c>
      <c r="DT49" s="16">
        <v>2.34</v>
      </c>
      <c r="DU49" s="16">
        <f t="shared" si="277"/>
        <v>0</v>
      </c>
      <c r="DV49" s="16">
        <f t="shared" si="273"/>
        <v>0</v>
      </c>
      <c r="DW49" s="752">
        <v>2.6</v>
      </c>
      <c r="DX49" s="16">
        <f t="shared" si="274"/>
        <v>3.028032318336686</v>
      </c>
      <c r="DY49" s="16"/>
      <c r="DZ49" s="237"/>
      <c r="EA49" t="s">
        <v>728</v>
      </c>
      <c r="EB49" s="22">
        <f>SUM(DS55:DS56)</f>
        <v>774.50140175198021</v>
      </c>
      <c r="EC49" s="22">
        <f>SUM(DV55:DV56)</f>
        <v>753.46173120000003</v>
      </c>
      <c r="ED49" s="22">
        <f>SUM(DX55:DX56)</f>
        <v>578.04130199999997</v>
      </c>
      <c r="GX49" t="s">
        <v>717</v>
      </c>
      <c r="GY49">
        <v>74.054734089485507</v>
      </c>
      <c r="GZ49">
        <v>1.4363980931045299E-3</v>
      </c>
      <c r="HA49">
        <v>3.0837733297494202E-3</v>
      </c>
    </row>
    <row r="50" spans="1:232" ht="17.399999999999999" thickBot="1" x14ac:dyDescent="0.5">
      <c r="A50" s="986">
        <v>2008</v>
      </c>
      <c r="B50" s="151" t="s">
        <v>710</v>
      </c>
      <c r="C50" s="152">
        <v>42079</v>
      </c>
      <c r="D50" s="153">
        <v>43928</v>
      </c>
      <c r="E50" s="154">
        <v>41438</v>
      </c>
      <c r="F50" s="155">
        <v>127445</v>
      </c>
      <c r="G50" s="199">
        <v>127445</v>
      </c>
      <c r="H50" s="983" t="s">
        <v>773</v>
      </c>
      <c r="I50" s="178">
        <v>3.4746471253627106E-2</v>
      </c>
      <c r="J50" s="289">
        <v>9.337977255336552E-2</v>
      </c>
      <c r="K50" s="290">
        <v>8.0280400766270521E-2</v>
      </c>
      <c r="L50" s="179">
        <v>8.0280400766270521E-2</v>
      </c>
      <c r="M50" s="291">
        <v>8.0280400766270521E-2</v>
      </c>
      <c r="N50" s="870"/>
      <c r="O50" s="206"/>
      <c r="P50" s="206"/>
      <c r="Q50" s="206"/>
      <c r="S50" s="115">
        <v>2019</v>
      </c>
      <c r="T50" s="107">
        <f>$M$205</f>
        <v>1.1087125087072547E-2</v>
      </c>
      <c r="U50" s="85">
        <f t="shared" si="278"/>
        <v>5.6256377830709896</v>
      </c>
      <c r="V50" s="438">
        <f t="shared" si="232"/>
        <v>1334.6825640335924</v>
      </c>
      <c r="W50" s="83">
        <f t="shared" si="233"/>
        <v>35.160236144193682</v>
      </c>
      <c r="X50" s="83">
        <f t="shared" si="241"/>
        <v>1812.383306401736</v>
      </c>
      <c r="Y50" s="438">
        <f t="shared" si="242"/>
        <v>1178.0491491611285</v>
      </c>
      <c r="Z50">
        <f>1155600+96100+48200</f>
        <v>1299900</v>
      </c>
      <c r="AA50">
        <f t="shared" si="243"/>
        <v>6.4605030000000001</v>
      </c>
      <c r="AB50" s="237">
        <f>AA50/$W$16/$X$16*$Y$16</f>
        <v>1352.8759503865979</v>
      </c>
      <c r="AC50" s="16">
        <f>938000</f>
        <v>938000</v>
      </c>
      <c r="AD50">
        <f t="shared" si="236"/>
        <v>4.7731819455909932</v>
      </c>
      <c r="AE50" s="16">
        <f t="shared" si="237"/>
        <v>1503.5523128611628</v>
      </c>
      <c r="AF50" s="237">
        <f t="shared" si="238"/>
        <v>977.30900335975582</v>
      </c>
      <c r="AG50" s="16">
        <f t="shared" si="239"/>
        <v>1195.9859397920447</v>
      </c>
      <c r="AH50" s="16">
        <f t="shared" si="240"/>
        <v>218.67693643228861</v>
      </c>
      <c r="AI50">
        <f t="shared" si="245"/>
        <v>1195.9859397920445</v>
      </c>
      <c r="AK50" s="701" t="s">
        <v>726</v>
      </c>
      <c r="AL50" s="695">
        <v>24</v>
      </c>
      <c r="AP50" s="968" t="s">
        <v>732</v>
      </c>
      <c r="AQ50" s="969"/>
      <c r="AR50" s="969"/>
      <c r="AS50" s="969"/>
      <c r="AT50" s="969"/>
      <c r="AU50" s="970"/>
      <c r="AV50" s="23">
        <f>SUM(AQ44:AQ49)</f>
        <v>37533</v>
      </c>
      <c r="AW50" s="95">
        <f t="shared" si="248"/>
        <v>0</v>
      </c>
      <c r="AY50">
        <f t="shared" si="254"/>
        <v>0</v>
      </c>
      <c r="BA50" s="95">
        <f t="shared" si="249"/>
        <v>0</v>
      </c>
      <c r="BB50" s="95"/>
      <c r="BC50" s="95"/>
      <c r="BE50" t="s">
        <v>729</v>
      </c>
      <c r="BF50" s="101">
        <f>BB65</f>
        <v>9.0284593992435561E-2</v>
      </c>
      <c r="BG50" s="22">
        <f t="shared" si="258"/>
        <v>91.759316752713431</v>
      </c>
      <c r="BH50">
        <v>4.5</v>
      </c>
      <c r="BI50">
        <f t="shared" ref="BI50:BI73" si="281">BH50/100</f>
        <v>4.4999999999999998E-2</v>
      </c>
      <c r="BJ50">
        <v>0.75</v>
      </c>
      <c r="BK50">
        <f t="shared" ref="BK50:BK73" si="282">BJ50*BI50</f>
        <v>3.3750000000000002E-2</v>
      </c>
      <c r="BL50">
        <v>44.3</v>
      </c>
      <c r="BM50">
        <f t="shared" si="266"/>
        <v>1.495125</v>
      </c>
      <c r="BN50" s="847">
        <f>$BG$81</f>
        <v>73.340256807427139</v>
      </c>
      <c r="BO50" s="852">
        <f>$BH$81/1000</f>
        <v>5.89588162119752E-3</v>
      </c>
      <c r="BP50" s="852">
        <f>$BI$81/1000</f>
        <v>5.9086290854477614E-4</v>
      </c>
      <c r="BQ50" s="22">
        <f t="shared" si="259"/>
        <v>137.19164845990068</v>
      </c>
      <c r="BR50" s="22">
        <f t="shared" si="260"/>
        <v>10061.670729883381</v>
      </c>
      <c r="BS50" s="22">
        <f t="shared" si="261"/>
        <v>0.80886571873651947</v>
      </c>
      <c r="BT50" s="22">
        <f t="shared" si="262"/>
        <v>8.1061456437069371E-2</v>
      </c>
      <c r="BU50" s="437">
        <f t="shared" si="275"/>
        <v>10107.90470590905</v>
      </c>
      <c r="BV50">
        <v>3.34</v>
      </c>
      <c r="BW50">
        <f t="shared" si="276"/>
        <v>13791425.307932828</v>
      </c>
      <c r="BX50" s="237">
        <f t="shared" si="267"/>
        <v>13791.425307932828</v>
      </c>
      <c r="BY50">
        <v>137</v>
      </c>
      <c r="BZ50" s="237">
        <f t="shared" si="279"/>
        <v>12571.02639512174</v>
      </c>
      <c r="CA50" s="237"/>
      <c r="CB50" s="237"/>
      <c r="CC50" s="16" t="s">
        <v>733</v>
      </c>
      <c r="CD50" s="22">
        <f>SUM(BU57:BU64)</f>
        <v>42165.909360223741</v>
      </c>
      <c r="CE50" s="22">
        <f>SUM(BX57:BX64)</f>
        <v>41204.088532549111</v>
      </c>
      <c r="CF50" s="22">
        <f>SUM(BZ57:BZ58)</f>
        <v>28785.437310000001</v>
      </c>
      <c r="CI50" s="697" t="s">
        <v>774</v>
      </c>
      <c r="CJ50" s="695"/>
      <c r="CN50" s="968" t="s">
        <v>732</v>
      </c>
      <c r="CO50" s="969"/>
      <c r="CP50" s="969"/>
      <c r="CQ50" s="969"/>
      <c r="CR50" s="969"/>
      <c r="CS50" s="970"/>
      <c r="CT50" s="23">
        <f>SUM(CO44:CO49)</f>
        <v>36065</v>
      </c>
      <c r="CU50" s="95">
        <f t="shared" si="252"/>
        <v>0</v>
      </c>
      <c r="CW50">
        <f t="shared" si="255"/>
        <v>0</v>
      </c>
      <c r="CY50" s="95">
        <f t="shared" si="256"/>
        <v>0</v>
      </c>
      <c r="CZ50" s="95">
        <f t="shared" si="263"/>
        <v>0</v>
      </c>
      <c r="DA50" s="95"/>
      <c r="DC50" t="s">
        <v>729</v>
      </c>
      <c r="DD50" s="101">
        <f>CZ65</f>
        <v>8.961351450669533E-2</v>
      </c>
      <c r="DE50" s="22">
        <f t="shared" si="264"/>
        <v>91.362571876735558</v>
      </c>
      <c r="DF50">
        <v>4.5</v>
      </c>
      <c r="DG50">
        <f t="shared" ref="DG50:DG59" si="283">DF50/100</f>
        <v>4.4999999999999998E-2</v>
      </c>
      <c r="DH50">
        <v>0.75</v>
      </c>
      <c r="DI50">
        <f t="shared" ref="DI50:DI59" si="284">DH50*DG50</f>
        <v>3.3750000000000002E-2</v>
      </c>
      <c r="DJ50">
        <v>44.3</v>
      </c>
      <c r="DK50">
        <f t="shared" si="269"/>
        <v>1.495125</v>
      </c>
      <c r="DL50" s="847">
        <v>73.231096434849775</v>
      </c>
      <c r="DM50" s="852">
        <v>4.5695578598240177E-3</v>
      </c>
      <c r="DN50" s="852">
        <v>4.4568227585513781E-4</v>
      </c>
      <c r="DO50" s="22">
        <f t="shared" si="265"/>
        <v>136.59846527720424</v>
      </c>
      <c r="DP50" s="22">
        <f t="shared" si="280"/>
        <v>10003.255383567423</v>
      </c>
      <c r="DQ50" s="22">
        <f t="shared" si="270"/>
        <v>0.62419459064734684</v>
      </c>
      <c r="DR50" s="22">
        <f t="shared" si="271"/>
        <v>6.0879514883063403E-2</v>
      </c>
      <c r="DS50" s="437">
        <f t="shared" si="272"/>
        <v>10038.476489931789</v>
      </c>
      <c r="DT50">
        <v>3.34</v>
      </c>
      <c r="DU50">
        <f t="shared" si="277"/>
        <v>13731794.553073354</v>
      </c>
      <c r="DV50" s="237">
        <f t="shared" si="273"/>
        <v>13731.794553073354</v>
      </c>
      <c r="DW50">
        <v>137</v>
      </c>
      <c r="DX50" s="237">
        <f t="shared" si="274"/>
        <v>12516.67234711277</v>
      </c>
      <c r="DY50" s="237"/>
      <c r="DZ50" s="237"/>
      <c r="EA50" s="16" t="s">
        <v>733</v>
      </c>
      <c r="EB50" s="22">
        <f>SUM(DS57:DS64)</f>
        <v>44282.442988110459</v>
      </c>
      <c r="EC50" s="22">
        <f>SUM(DV57:DV64)</f>
        <v>43403.328799584124</v>
      </c>
      <c r="ED50" s="22">
        <f>SUM(DX57:DX58)</f>
        <v>29890.515639999998</v>
      </c>
    </row>
    <row r="51" spans="1:232" ht="17.399999999999999" thickBot="1" x14ac:dyDescent="0.5">
      <c r="A51" s="981"/>
      <c r="B51" s="159" t="s">
        <v>715</v>
      </c>
      <c r="C51" s="160">
        <v>42211</v>
      </c>
      <c r="D51" s="161">
        <v>45714</v>
      </c>
      <c r="E51" s="162">
        <v>43597</v>
      </c>
      <c r="F51" s="163">
        <v>131522</v>
      </c>
      <c r="G51" s="200">
        <v>258967</v>
      </c>
      <c r="H51" s="984"/>
      <c r="I51" s="180">
        <v>-9.9681020733652318E-3</v>
      </c>
      <c r="J51" s="181">
        <v>6.6045579029733958E-2</v>
      </c>
      <c r="K51" s="182">
        <v>5.1234094251550566E-2</v>
      </c>
      <c r="L51" s="183">
        <v>5.1234094251550566E-2</v>
      </c>
      <c r="M51" s="292">
        <v>6.5330788280690832E-2</v>
      </c>
      <c r="N51" s="870"/>
      <c r="O51" s="206"/>
      <c r="P51" s="206"/>
      <c r="Q51" s="206"/>
      <c r="S51" s="115">
        <v>2020</v>
      </c>
      <c r="T51" s="107">
        <f>$Q$218</f>
        <v>-0.111282641023181</v>
      </c>
      <c r="U51" s="85">
        <f t="shared" si="278"/>
        <v>4.9996019531310569</v>
      </c>
      <c r="V51" s="438">
        <f t="shared" si="232"/>
        <v>1186.1555633803432</v>
      </c>
      <c r="W51" s="83">
        <f t="shared" si="233"/>
        <v>31.247512207069104</v>
      </c>
      <c r="X51" s="83">
        <f t="shared" si="241"/>
        <v>1610.696505519026</v>
      </c>
      <c r="Y51" s="438">
        <f t="shared" si="242"/>
        <v>1046.9527285873669</v>
      </c>
      <c r="Z51">
        <f>Z50*(1+T51)</f>
        <v>1155243.694933967</v>
      </c>
      <c r="AA51">
        <f t="shared" si="243"/>
        <v>5.7415611638218156</v>
      </c>
      <c r="AB51" s="237">
        <f t="shared" ref="AB51:AB54" si="285">AA51/$W$16/$X$16*$Y$16</f>
        <v>1202.3243416508312</v>
      </c>
      <c r="AC51" s="16">
        <f t="shared" ref="AC51:AC56" si="286">AC50*(1+T51)</f>
        <v>833616.88272025622</v>
      </c>
      <c r="AD51">
        <f t="shared" si="236"/>
        <v>4.242009652601463</v>
      </c>
      <c r="AE51" s="16">
        <f t="shared" si="237"/>
        <v>1336.2330405694609</v>
      </c>
      <c r="AF51" s="237">
        <f t="shared" si="238"/>
        <v>868.55147637014954</v>
      </c>
      <c r="AG51" s="16">
        <f t="shared" si="239"/>
        <v>1062.8934657853949</v>
      </c>
      <c r="AH51" s="16">
        <f t="shared" si="240"/>
        <v>194.34198941524528</v>
      </c>
      <c r="AI51">
        <f t="shared" si="245"/>
        <v>1062.8934657853947</v>
      </c>
      <c r="AK51" s="697" t="s">
        <v>774</v>
      </c>
      <c r="AL51" s="695"/>
      <c r="AP51" s="746" t="s">
        <v>285</v>
      </c>
      <c r="AQ51" s="735">
        <f t="shared" ref="AQ51:AQ56" si="287">_xlfn.XLOOKUP(AP51,$AK$29:$AK$34,$AL$29:$AL$34,0,0,1)</f>
        <v>25108</v>
      </c>
      <c r="AR51" s="736"/>
      <c r="AS51" s="774">
        <f t="shared" ref="AS51:AS56" si="288">AR51/AQ51</f>
        <v>0</v>
      </c>
      <c r="AT51" s="737">
        <v>39.700000000000003</v>
      </c>
      <c r="AU51" s="738">
        <v>14543</v>
      </c>
      <c r="AW51" s="95">
        <f t="shared" si="248"/>
        <v>0.25300792035309055</v>
      </c>
      <c r="AX51" s="95"/>
      <c r="AY51">
        <f t="shared" si="254"/>
        <v>365.145644</v>
      </c>
      <c r="BA51" s="862">
        <f t="shared" si="249"/>
        <v>0.23081991781252678</v>
      </c>
      <c r="BB51" s="862">
        <f>AY51/$AY$81</f>
        <v>0.27137366327274731</v>
      </c>
      <c r="BC51" s="862"/>
      <c r="BE51" t="s">
        <v>734</v>
      </c>
      <c r="BF51" s="101">
        <f>BB68</f>
        <v>0.1733358323443541</v>
      </c>
      <c r="BG51" s="22">
        <f t="shared" si="258"/>
        <v>176.16712709605164</v>
      </c>
      <c r="BH51">
        <v>4.5</v>
      </c>
      <c r="BI51">
        <f t="shared" si="281"/>
        <v>4.4999999999999998E-2</v>
      </c>
      <c r="BJ51">
        <v>0.75</v>
      </c>
      <c r="BK51">
        <f t="shared" si="282"/>
        <v>3.3750000000000002E-2</v>
      </c>
      <c r="BL51">
        <v>44.3</v>
      </c>
      <c r="BM51">
        <f t="shared" si="266"/>
        <v>1.495125</v>
      </c>
      <c r="BN51" s="847">
        <f>$BG$81</f>
        <v>73.340256807427139</v>
      </c>
      <c r="BO51" s="852">
        <f>$BH$81/1000</f>
        <v>5.89588162119752E-3</v>
      </c>
      <c r="BP51" s="852">
        <f>$BI$81/1000</f>
        <v>5.9086290854477614E-4</v>
      </c>
      <c r="BQ51" s="22">
        <f t="shared" si="259"/>
        <v>263.39187589948421</v>
      </c>
      <c r="BR51" s="22">
        <f t="shared" si="260"/>
        <v>19317.227819458152</v>
      </c>
      <c r="BS51" s="22">
        <f t="shared" si="261"/>
        <v>1.552927320288507</v>
      </c>
      <c r="BT51" s="22">
        <f t="shared" si="262"/>
        <v>0.15562848988103395</v>
      </c>
      <c r="BU51" s="437">
        <f t="shared" si="275"/>
        <v>19405.991631340272</v>
      </c>
      <c r="BV51">
        <v>4.34</v>
      </c>
      <c r="BW51">
        <f t="shared" si="276"/>
        <v>34405439.921858877</v>
      </c>
      <c r="BX51" s="237">
        <f t="shared" si="267"/>
        <v>34405.439921858881</v>
      </c>
      <c r="BY51">
        <v>137</v>
      </c>
      <c r="BZ51" s="237">
        <f t="shared" si="279"/>
        <v>24134.896412159072</v>
      </c>
      <c r="CA51" s="237"/>
      <c r="CB51" s="237"/>
      <c r="CC51" t="s">
        <v>737</v>
      </c>
      <c r="CD51" s="22">
        <f>SUM(BU64:BU65)</f>
        <v>20104.37195578223</v>
      </c>
      <c r="CE51" s="22">
        <f>SUM(BX64:BX65)</f>
        <v>19143.189297152003</v>
      </c>
      <c r="CF51" s="22">
        <f>SUM(BZ64:BZ65)</f>
        <v>25405.560448</v>
      </c>
      <c r="CI51" s="701" t="s">
        <v>285</v>
      </c>
      <c r="CJ51" s="695"/>
      <c r="CN51" s="746" t="s">
        <v>285</v>
      </c>
      <c r="CO51" s="735">
        <f t="shared" ref="CO51:CO56" si="289">_xlfn.XLOOKUP(CN51,$CI$28:$CI$33,$CJ$28:$CJ$33,0,0,1)</f>
        <v>23110</v>
      </c>
      <c r="CP51" s="736"/>
      <c r="CQ51" s="774">
        <f t="shared" ref="CQ51:CQ56" si="290">CP51/CO51</f>
        <v>0</v>
      </c>
      <c r="CR51" s="737">
        <v>39.700000000000003</v>
      </c>
      <c r="CS51" s="738">
        <v>14494</v>
      </c>
      <c r="CU51" s="95">
        <f t="shared" si="252"/>
        <v>0.26387604334372394</v>
      </c>
      <c r="CV51" s="95"/>
      <c r="CW51">
        <f t="shared" si="255"/>
        <v>334.95634000000001</v>
      </c>
      <c r="CY51" s="95">
        <f t="shared" si="256"/>
        <v>0.24386049665455647</v>
      </c>
      <c r="CZ51" s="95">
        <f>CW51/$CW$81</f>
        <v>0.29325579832389975</v>
      </c>
      <c r="DA51" s="95"/>
      <c r="DC51" t="s">
        <v>734</v>
      </c>
      <c r="DD51" s="101">
        <f>CZ68</f>
        <v>0.14093877431765967</v>
      </c>
      <c r="DE51" s="22">
        <f t="shared" si="264"/>
        <v>143.68958710858442</v>
      </c>
      <c r="DF51">
        <v>4.5</v>
      </c>
      <c r="DG51">
        <f t="shared" si="283"/>
        <v>4.4999999999999998E-2</v>
      </c>
      <c r="DH51">
        <v>0.75</v>
      </c>
      <c r="DI51">
        <f t="shared" si="284"/>
        <v>3.3750000000000002E-2</v>
      </c>
      <c r="DJ51">
        <v>44.3</v>
      </c>
      <c r="DK51">
        <f t="shared" si="269"/>
        <v>1.495125</v>
      </c>
      <c r="DL51" s="847">
        <v>73.231096434849775</v>
      </c>
      <c r="DM51" s="852">
        <v>4.5695578598240177E-3</v>
      </c>
      <c r="DN51" s="852">
        <v>4.4568227585513781E-4</v>
      </c>
      <c r="DO51" s="22">
        <f t="shared" si="265"/>
        <v>214.83389392572229</v>
      </c>
      <c r="DP51" s="22">
        <f t="shared" si="280"/>
        <v>15732.521603548856</v>
      </c>
      <c r="DQ51" s="22">
        <f t="shared" si="270"/>
        <v>0.98169590854488364</v>
      </c>
      <c r="DR51" s="22">
        <f t="shared" si="271"/>
        <v>9.5747658775637179E-2</v>
      </c>
      <c r="DS51" s="437">
        <f t="shared" si="272"/>
        <v>15787.915252469242</v>
      </c>
      <c r="DT51">
        <v>4.34</v>
      </c>
      <c r="DU51">
        <f t="shared" si="277"/>
        <v>28062576.362306532</v>
      </c>
      <c r="DV51" s="237">
        <f t="shared" si="273"/>
        <v>28062.576362306532</v>
      </c>
      <c r="DW51">
        <v>137</v>
      </c>
      <c r="DX51" s="237">
        <f t="shared" si="274"/>
        <v>19685.473433876065</v>
      </c>
      <c r="DY51" s="237"/>
      <c r="DZ51" s="237"/>
      <c r="EA51" t="s">
        <v>737</v>
      </c>
      <c r="EB51" s="22">
        <f>SUM(DS64:DS65)</f>
        <v>19802.721183634985</v>
      </c>
      <c r="EC51" s="22">
        <f>SUM(DV64:DV65)</f>
        <v>19330.984192127999</v>
      </c>
      <c r="ED51" s="22">
        <f>SUM(DX64:DX65)</f>
        <v>25654.789271999998</v>
      </c>
    </row>
    <row r="52" spans="1:232" ht="17.399999999999999" thickBot="1" x14ac:dyDescent="0.5">
      <c r="A52" s="981"/>
      <c r="B52" s="159" t="s">
        <v>718</v>
      </c>
      <c r="C52" s="160">
        <v>42884.551201761278</v>
      </c>
      <c r="D52" s="161">
        <v>44927</v>
      </c>
      <c r="E52" s="162">
        <v>43751</v>
      </c>
      <c r="F52" s="163">
        <v>131562.55120176129</v>
      </c>
      <c r="G52" s="200">
        <v>390529.55120176129</v>
      </c>
      <c r="H52" s="984"/>
      <c r="I52" s="180">
        <v>-4.0850099488687834E-2</v>
      </c>
      <c r="J52" s="181">
        <v>2.8781715145672161E-2</v>
      </c>
      <c r="K52" s="182">
        <v>4.6163747290068891E-3</v>
      </c>
      <c r="L52" s="183">
        <v>4.6163747290068891E-3</v>
      </c>
      <c r="M52" s="292">
        <v>4.4073828752128952E-2</v>
      </c>
      <c r="N52" s="870"/>
      <c r="O52" s="206"/>
      <c r="P52" s="206"/>
      <c r="Q52" s="206"/>
      <c r="S52" s="115">
        <v>2021</v>
      </c>
      <c r="T52" s="107">
        <f>$Q$231</f>
        <v>8.9446275547067716E-2</v>
      </c>
      <c r="U52" s="85">
        <f t="shared" si="278"/>
        <v>5.4467977270564756</v>
      </c>
      <c r="V52" s="438">
        <f>U52*365*0.65</f>
        <v>1292.2527607441489</v>
      </c>
      <c r="W52" s="83">
        <f>U52/0.16</f>
        <v>34.042485794102973</v>
      </c>
      <c r="X52" s="83">
        <f t="shared" si="241"/>
        <v>1754.7673089743801</v>
      </c>
      <c r="Y52" s="438">
        <f t="shared" si="242"/>
        <v>1140.5987508333471</v>
      </c>
      <c r="Z52">
        <f t="shared" ref="Z52:Z56" si="291">Z51*(1+T52)</f>
        <v>1258575.9407950433</v>
      </c>
      <c r="AA52">
        <f t="shared" si="243"/>
        <v>6.255122425751364</v>
      </c>
      <c r="AB52" s="237">
        <f t="shared" si="285"/>
        <v>1309.8677760110781</v>
      </c>
      <c r="AC52" s="16">
        <f t="shared" si="286"/>
        <v>908180.80811273993</v>
      </c>
      <c r="AD52">
        <f t="shared" si="236"/>
        <v>4.6214416168613743</v>
      </c>
      <c r="AE52" s="16">
        <f t="shared" si="237"/>
        <v>1455.754109311333</v>
      </c>
      <c r="AF52" s="237">
        <f t="shared" si="238"/>
        <v>946.24017105236646</v>
      </c>
      <c r="AG52" s="16">
        <f t="shared" si="239"/>
        <v>1157.9653276032132</v>
      </c>
      <c r="AH52" s="16">
        <f t="shared" si="240"/>
        <v>211.72515655084663</v>
      </c>
      <c r="AI52">
        <f t="shared" si="245"/>
        <v>1157.9653276032132</v>
      </c>
      <c r="AK52" s="701" t="s">
        <v>285</v>
      </c>
      <c r="AL52" s="695"/>
      <c r="AP52" s="747" t="s">
        <v>709</v>
      </c>
      <c r="AQ52" s="735">
        <f t="shared" si="287"/>
        <v>147</v>
      </c>
      <c r="AR52" s="740"/>
      <c r="AS52" s="774">
        <f t="shared" si="288"/>
        <v>0</v>
      </c>
      <c r="AT52" s="740">
        <v>54.7</v>
      </c>
      <c r="AU52" s="738">
        <v>14241</v>
      </c>
      <c r="AW52" s="95">
        <f t="shared" si="248"/>
        <v>1.4812874100646929E-3</v>
      </c>
      <c r="AX52" s="95"/>
      <c r="AY52">
        <f t="shared" si="254"/>
        <v>2.0934270000000001</v>
      </c>
      <c r="BA52" s="863">
        <f t="shared" si="249"/>
        <v>1.3233203134870879E-3</v>
      </c>
      <c r="BB52" s="863">
        <f>AY52/$AY$80</f>
        <v>8.8552679186313255E-3</v>
      </c>
      <c r="BC52" s="863"/>
      <c r="BE52" t="s">
        <v>739</v>
      </c>
      <c r="BF52" s="101">
        <f>0</f>
        <v>0</v>
      </c>
      <c r="BG52" s="22">
        <f t="shared" si="258"/>
        <v>0</v>
      </c>
      <c r="BH52">
        <v>4.5</v>
      </c>
      <c r="BI52">
        <f t="shared" si="281"/>
        <v>4.4999999999999998E-2</v>
      </c>
      <c r="BJ52">
        <v>0.86499999999999999</v>
      </c>
      <c r="BK52">
        <f t="shared" si="282"/>
        <v>3.8925000000000001E-2</v>
      </c>
      <c r="BL52">
        <v>43</v>
      </c>
      <c r="BM52">
        <f t="shared" si="266"/>
        <v>1.673775</v>
      </c>
      <c r="BN52" s="847">
        <f>$BG$82</f>
        <v>73.961370985694614</v>
      </c>
      <c r="BO52" s="852">
        <f>$BH$82/1000</f>
        <v>1.2069660652303537E-3</v>
      </c>
      <c r="BP52" s="852">
        <f>$BI$82/1000</f>
        <v>2.7234591213219014E-3</v>
      </c>
      <c r="BQ52" s="22">
        <f t="shared" si="259"/>
        <v>0</v>
      </c>
      <c r="BR52" s="22">
        <f t="shared" si="260"/>
        <v>0</v>
      </c>
      <c r="BS52" s="22">
        <f t="shared" si="261"/>
        <v>0</v>
      </c>
      <c r="BT52" s="22">
        <f t="shared" si="262"/>
        <v>0</v>
      </c>
      <c r="BU52" s="437">
        <f t="shared" si="275"/>
        <v>0</v>
      </c>
      <c r="BV52">
        <v>5.34</v>
      </c>
      <c r="BW52">
        <f t="shared" si="276"/>
        <v>0</v>
      </c>
      <c r="BX52" s="237">
        <f t="shared" si="267"/>
        <v>0</v>
      </c>
      <c r="BY52">
        <v>137</v>
      </c>
      <c r="BZ52" s="237">
        <f t="shared" si="279"/>
        <v>0</v>
      </c>
      <c r="CA52" s="237"/>
      <c r="CB52" s="237"/>
      <c r="CC52" t="s">
        <v>722</v>
      </c>
      <c r="CD52" s="22">
        <f>SUM(BU68:BU69)</f>
        <v>10334.41186159786</v>
      </c>
      <c r="CE52" s="22">
        <f>SUM(BX68:BX69)</f>
        <v>10142.000152511999</v>
      </c>
      <c r="CF52" s="22">
        <f>SUM(BZ68:BZ69)</f>
        <v>11404.054584</v>
      </c>
      <c r="CI52" s="697" t="s">
        <v>775</v>
      </c>
      <c r="CJ52" s="695"/>
      <c r="CN52" s="747" t="s">
        <v>709</v>
      </c>
      <c r="CO52" s="735">
        <f t="shared" si="289"/>
        <v>152</v>
      </c>
      <c r="CP52" s="740"/>
      <c r="CQ52" s="774">
        <f t="shared" si="290"/>
        <v>0</v>
      </c>
      <c r="CR52" s="740">
        <v>54.7</v>
      </c>
      <c r="CS52" s="738">
        <v>19956</v>
      </c>
      <c r="CU52" s="95">
        <f t="shared" si="252"/>
        <v>1.7355758800625721E-3</v>
      </c>
      <c r="CV52" s="95"/>
      <c r="CW52">
        <f t="shared" si="255"/>
        <v>3.033312</v>
      </c>
      <c r="CY52" s="95">
        <f t="shared" si="256"/>
        <v>2.208362352025419E-3</v>
      </c>
      <c r="CZ52" s="95">
        <f t="shared" ref="CZ52:CZ57" si="292">CW52/$CW$80</f>
        <v>1.3110863637737334E-2</v>
      </c>
      <c r="DA52" s="95"/>
      <c r="DC52" t="s">
        <v>739</v>
      </c>
      <c r="DD52" s="101">
        <f>0</f>
        <v>0</v>
      </c>
      <c r="DE52" s="22">
        <f t="shared" si="264"/>
        <v>0</v>
      </c>
      <c r="DF52">
        <v>4.5</v>
      </c>
      <c r="DG52">
        <f t="shared" si="283"/>
        <v>4.4999999999999998E-2</v>
      </c>
      <c r="DH52">
        <v>0.86499999999999999</v>
      </c>
      <c r="DI52">
        <f t="shared" si="284"/>
        <v>3.8925000000000001E-2</v>
      </c>
      <c r="DJ52">
        <v>43</v>
      </c>
      <c r="DK52">
        <f t="shared" si="269"/>
        <v>1.673775</v>
      </c>
      <c r="DL52" s="847">
        <v>73.883575529983716</v>
      </c>
      <c r="DM52" s="852">
        <v>1.1024651844300431E-4</v>
      </c>
      <c r="DN52" s="852">
        <v>2.53299651715476E-3</v>
      </c>
      <c r="DO52" s="22">
        <f t="shared" si="265"/>
        <v>0</v>
      </c>
      <c r="DP52" s="22">
        <f t="shared" si="280"/>
        <v>0</v>
      </c>
      <c r="DQ52" s="22">
        <f t="shared" si="270"/>
        <v>0</v>
      </c>
      <c r="DR52" s="22">
        <f t="shared" si="271"/>
        <v>0</v>
      </c>
      <c r="DS52" s="437">
        <f t="shared" si="272"/>
        <v>0</v>
      </c>
      <c r="DT52">
        <v>5.34</v>
      </c>
      <c r="DU52">
        <f t="shared" si="277"/>
        <v>0</v>
      </c>
      <c r="DV52" s="237">
        <f t="shared" si="273"/>
        <v>0</v>
      </c>
      <c r="DW52">
        <v>137</v>
      </c>
      <c r="DX52" s="237">
        <f t="shared" si="274"/>
        <v>0</v>
      </c>
      <c r="DY52" s="237"/>
      <c r="DZ52" s="237"/>
      <c r="EA52" t="s">
        <v>722</v>
      </c>
      <c r="EB52" s="22">
        <f>SUM(DS68:DS69)</f>
        <v>8191.4112259834974</v>
      </c>
      <c r="EC52" s="22">
        <f>SUM(DV68:DV69)</f>
        <v>8047.2599505280004</v>
      </c>
      <c r="ED52" s="22">
        <f>SUM(DX68:DX69)</f>
        <v>9049.13652</v>
      </c>
    </row>
    <row r="53" spans="1:232" ht="17.399999999999999" thickBot="1" x14ac:dyDescent="0.5">
      <c r="A53" s="981"/>
      <c r="B53" s="159" t="s">
        <v>725</v>
      </c>
      <c r="C53" s="160">
        <v>45303</v>
      </c>
      <c r="D53" s="161">
        <v>48229</v>
      </c>
      <c r="E53" s="162">
        <v>47282</v>
      </c>
      <c r="F53" s="163">
        <v>140814</v>
      </c>
      <c r="G53" s="200">
        <v>531343.55120176123</v>
      </c>
      <c r="H53" s="984"/>
      <c r="I53" s="180">
        <v>0.10156591936974177</v>
      </c>
      <c r="J53" s="181">
        <v>0.11558879739518203</v>
      </c>
      <c r="K53" s="182">
        <v>0.12055067043329482</v>
      </c>
      <c r="L53" s="183">
        <v>0.12055067043329482</v>
      </c>
      <c r="M53" s="292">
        <v>6.3305946464364826E-2</v>
      </c>
      <c r="N53" s="870"/>
      <c r="O53" s="206"/>
      <c r="P53" s="206"/>
      <c r="Q53" s="206"/>
      <c r="S53" s="115">
        <v>2022</v>
      </c>
      <c r="T53" s="107">
        <f>$Q$244</f>
        <v>7.8026353697711187E-3</v>
      </c>
      <c r="U53" s="85">
        <f t="shared" si="278"/>
        <v>5.4892971036535956</v>
      </c>
      <c r="V53" s="438">
        <f>U53*365*0.65</f>
        <v>1302.3357378418157</v>
      </c>
      <c r="W53" s="83">
        <f>U53/0.16</f>
        <v>34.308106897834975</v>
      </c>
      <c r="X53" s="83">
        <f t="shared" si="241"/>
        <v>1768.4591184451017</v>
      </c>
      <c r="Y53" s="438">
        <f t="shared" si="242"/>
        <v>1149.4984269893162</v>
      </c>
      <c r="Z53">
        <f t="shared" si="291"/>
        <v>1268396.1499462335</v>
      </c>
      <c r="AA53">
        <f t="shared" si="243"/>
        <v>6.3039288652327805</v>
      </c>
      <c r="AB53" s="237">
        <f t="shared" si="285"/>
        <v>1320.0881966499057</v>
      </c>
      <c r="AC53" s="16">
        <f t="shared" si="286"/>
        <v>915267.01180826768</v>
      </c>
      <c r="AD53">
        <f t="shared" si="236"/>
        <v>4.6575010406804287</v>
      </c>
      <c r="AE53" s="16">
        <f t="shared" si="237"/>
        <v>1467.1128278143351</v>
      </c>
      <c r="AF53" s="237">
        <f t="shared" si="238"/>
        <v>953.62333807931782</v>
      </c>
      <c r="AG53" s="16">
        <f>AG54/(1+T54)</f>
        <v>1167.0005088253386</v>
      </c>
      <c r="AH53" s="16">
        <f>AH54/(1+T54)</f>
        <v>213.3771707460206</v>
      </c>
      <c r="AI53">
        <f t="shared" si="245"/>
        <v>1167.0005088253383</v>
      </c>
      <c r="AK53" s="697" t="s">
        <v>775</v>
      </c>
      <c r="AL53" s="695"/>
      <c r="AP53" s="747" t="s">
        <v>711</v>
      </c>
      <c r="AQ53" s="735">
        <f t="shared" si="287"/>
        <v>584</v>
      </c>
      <c r="AR53" s="740"/>
      <c r="AS53" s="774">
        <f t="shared" si="288"/>
        <v>0</v>
      </c>
      <c r="AT53" s="740">
        <v>165.9</v>
      </c>
      <c r="AU53" s="738">
        <v>56792</v>
      </c>
      <c r="AV53" s="237"/>
      <c r="AW53" s="95">
        <f t="shared" si="248"/>
        <v>5.8848424998488484E-3</v>
      </c>
      <c r="AX53" s="95"/>
      <c r="AY53">
        <f>AQ53*AU53/1000000</f>
        <v>33.166528</v>
      </c>
      <c r="BA53" s="864">
        <f>AY53/$AY$79</f>
        <v>2.0965593846949654E-2</v>
      </c>
      <c r="BB53" s="863">
        <f t="shared" ref="BB53:BB56" si="293">AY53/$AY$80</f>
        <v>0.14029554953231593</v>
      </c>
      <c r="BC53" s="864"/>
      <c r="BE53" t="s">
        <v>751</v>
      </c>
      <c r="BF53" s="101">
        <v>0</v>
      </c>
      <c r="BG53" s="22">
        <f t="shared" si="258"/>
        <v>0</v>
      </c>
      <c r="BH53">
        <v>4.5</v>
      </c>
      <c r="BI53">
        <f t="shared" si="281"/>
        <v>4.4999999999999998E-2</v>
      </c>
      <c r="BJ53">
        <v>0.86499999999999999</v>
      </c>
      <c r="BK53">
        <f t="shared" si="282"/>
        <v>3.8925000000000001E-2</v>
      </c>
      <c r="BL53">
        <v>43</v>
      </c>
      <c r="BM53">
        <f t="shared" si="266"/>
        <v>1.673775</v>
      </c>
      <c r="BN53" s="847">
        <f>$BG$82</f>
        <v>73.961370985694614</v>
      </c>
      <c r="BO53" s="852">
        <f>$BH$82/1000</f>
        <v>1.2069660652303537E-3</v>
      </c>
      <c r="BP53" s="852">
        <f>$BI$82/1000</f>
        <v>2.7234591213219014E-3</v>
      </c>
      <c r="BQ53" s="22">
        <f t="shared" si="259"/>
        <v>0</v>
      </c>
      <c r="BR53" s="22">
        <f t="shared" si="260"/>
        <v>0</v>
      </c>
      <c r="BS53" s="22">
        <f t="shared" si="261"/>
        <v>0</v>
      </c>
      <c r="BT53" s="22">
        <f t="shared" si="262"/>
        <v>0</v>
      </c>
      <c r="BU53" s="437">
        <f t="shared" si="275"/>
        <v>0</v>
      </c>
      <c r="BV53">
        <v>6.34</v>
      </c>
      <c r="BW53">
        <f t="shared" si="276"/>
        <v>0</v>
      </c>
      <c r="BX53" s="237">
        <f t="shared" si="267"/>
        <v>0</v>
      </c>
      <c r="BY53">
        <v>137</v>
      </c>
      <c r="BZ53" s="237">
        <f t="shared" si="279"/>
        <v>0</v>
      </c>
      <c r="CA53" s="237"/>
      <c r="CB53" s="237"/>
      <c r="CC53" t="s">
        <v>726</v>
      </c>
      <c r="CD53" s="22">
        <f>SUM(BU71:BU72)</f>
        <v>25914.605906983594</v>
      </c>
      <c r="CE53" s="22">
        <f>SUM(BX71:BX72)</f>
        <v>24675.529057920001</v>
      </c>
      <c r="CF53" s="22">
        <f>SUM(BZ71:BZ72)</f>
        <v>27771.094883999998</v>
      </c>
      <c r="CI53" s="701" t="s">
        <v>285</v>
      </c>
      <c r="CJ53" s="695"/>
      <c r="CN53" s="747" t="s">
        <v>711</v>
      </c>
      <c r="CO53" s="735">
        <f t="shared" si="289"/>
        <v>553</v>
      </c>
      <c r="CP53" s="740"/>
      <c r="CQ53" s="774">
        <f t="shared" si="290"/>
        <v>0</v>
      </c>
      <c r="CR53" s="740">
        <v>165.9</v>
      </c>
      <c r="CS53" s="738">
        <v>60564</v>
      </c>
      <c r="CT53" s="237"/>
      <c r="CU53" s="95">
        <f t="shared" si="252"/>
        <v>6.3142990899644896E-3</v>
      </c>
      <c r="CV53" s="95"/>
      <c r="CW53">
        <f t="shared" si="255"/>
        <v>33.491892</v>
      </c>
      <c r="CY53" s="95">
        <f t="shared" si="256"/>
        <v>2.438332535225566E-2</v>
      </c>
      <c r="CZ53" s="95">
        <f t="shared" si="292"/>
        <v>0.14476177491198594</v>
      </c>
      <c r="DA53" s="95"/>
      <c r="DC53" t="s">
        <v>751</v>
      </c>
      <c r="DD53" s="101">
        <v>0</v>
      </c>
      <c r="DE53" s="22">
        <f t="shared" si="264"/>
        <v>0</v>
      </c>
      <c r="DF53">
        <v>4.5</v>
      </c>
      <c r="DG53">
        <f t="shared" si="283"/>
        <v>4.4999999999999998E-2</v>
      </c>
      <c r="DH53">
        <v>0.86499999999999999</v>
      </c>
      <c r="DI53">
        <f t="shared" si="284"/>
        <v>3.8925000000000001E-2</v>
      </c>
      <c r="DJ53">
        <v>43</v>
      </c>
      <c r="DK53">
        <f t="shared" si="269"/>
        <v>1.673775</v>
      </c>
      <c r="DL53" s="847">
        <v>73.883575529983716</v>
      </c>
      <c r="DM53" s="852">
        <v>1.1024651844300431E-4</v>
      </c>
      <c r="DN53" s="852">
        <v>2.53299651715476E-3</v>
      </c>
      <c r="DO53" s="22">
        <f t="shared" si="265"/>
        <v>0</v>
      </c>
      <c r="DP53" s="22">
        <f t="shared" si="280"/>
        <v>0</v>
      </c>
      <c r="DQ53" s="22">
        <f t="shared" si="270"/>
        <v>0</v>
      </c>
      <c r="DR53" s="22">
        <f t="shared" si="271"/>
        <v>0</v>
      </c>
      <c r="DS53" s="437">
        <f t="shared" si="272"/>
        <v>0</v>
      </c>
      <c r="DT53">
        <v>6.34</v>
      </c>
      <c r="DU53">
        <f t="shared" si="277"/>
        <v>0</v>
      </c>
      <c r="DV53" s="237">
        <f t="shared" si="273"/>
        <v>0</v>
      </c>
      <c r="DW53">
        <v>137</v>
      </c>
      <c r="DX53" s="237">
        <f t="shared" si="274"/>
        <v>0</v>
      </c>
      <c r="DY53" s="237"/>
      <c r="DZ53" s="237"/>
      <c r="EA53" t="s">
        <v>726</v>
      </c>
      <c r="EB53" s="22">
        <f>SUM(DS71:DS72)</f>
        <v>23437.285218772558</v>
      </c>
      <c r="EC53" s="22">
        <f>SUM(DV71:DV72)</f>
        <v>22877.716547263997</v>
      </c>
      <c r="ED53" s="22">
        <f>SUM(DX71:DX72)</f>
        <v>25750.564119999999</v>
      </c>
      <c r="EE53" s="237"/>
    </row>
    <row r="54" spans="1:232" ht="17.399999999999999" thickBot="1" x14ac:dyDescent="0.5">
      <c r="A54" s="981"/>
      <c r="B54" s="159" t="s">
        <v>730</v>
      </c>
      <c r="C54" s="160">
        <v>43400</v>
      </c>
      <c r="D54" s="161">
        <v>48148.221902515186</v>
      </c>
      <c r="E54" s="162">
        <v>47334</v>
      </c>
      <c r="F54" s="163">
        <v>138882.22190251519</v>
      </c>
      <c r="G54" s="200">
        <v>670225.77310427639</v>
      </c>
      <c r="H54" s="984"/>
      <c r="I54" s="180">
        <v>-8.6797624486066698E-3</v>
      </c>
      <c r="J54" s="181">
        <v>3.236641221374046E-2</v>
      </c>
      <c r="K54" s="182">
        <v>3.5298753624868118E-2</v>
      </c>
      <c r="L54" s="183">
        <v>3.5298753624868118E-2</v>
      </c>
      <c r="M54" s="292">
        <v>5.7378605084240641E-2</v>
      </c>
      <c r="N54" s="870"/>
      <c r="O54" s="206"/>
      <c r="P54" s="206"/>
      <c r="Q54" s="206"/>
      <c r="S54" s="775">
        <v>2023</v>
      </c>
      <c r="T54" s="101">
        <f>$Q$257</f>
        <v>4.9905007254287391E-2</v>
      </c>
      <c r="U54" s="85">
        <f t="shared" si="278"/>
        <v>5.7632405154323676</v>
      </c>
      <c r="V54" s="438">
        <f>U54*365*0.65</f>
        <v>1367.3288122863291</v>
      </c>
      <c r="W54" s="83">
        <f>U54/0.16</f>
        <v>36.020253221452293</v>
      </c>
      <c r="X54" s="83">
        <f t="shared" si="241"/>
        <v>1856.7140835800151</v>
      </c>
      <c r="Y54" s="438">
        <f t="shared" si="242"/>
        <v>1206.8641543270098</v>
      </c>
      <c r="Z54">
        <f t="shared" si="291"/>
        <v>1331695.4690106106</v>
      </c>
      <c r="AA54">
        <f t="shared" si="243"/>
        <v>6.6185264809827347</v>
      </c>
      <c r="AB54" s="237">
        <f t="shared" si="285"/>
        <v>1385.9672076800184</v>
      </c>
      <c r="AC54">
        <f t="shared" si="286"/>
        <v>960943.41867216933</v>
      </c>
      <c r="AD54">
        <f t="shared" si="236"/>
        <v>4.8899336639024371</v>
      </c>
      <c r="AE54" s="16">
        <f t="shared" si="237"/>
        <v>1540.3291041292678</v>
      </c>
      <c r="AF54" s="237">
        <f t="shared" si="238"/>
        <v>1001.2139176840241</v>
      </c>
      <c r="AG54" s="22">
        <f>FZ65</f>
        <v>1225.2396776840242</v>
      </c>
      <c r="AH54" s="22">
        <f t="shared" ref="AH54:AH55" si="294">AG54-AF54</f>
        <v>224.0257600000001</v>
      </c>
      <c r="AI54">
        <f t="shared" si="245"/>
        <v>1225.2396776840242</v>
      </c>
      <c r="AK54" s="701" t="s">
        <v>285</v>
      </c>
      <c r="AL54" s="695">
        <v>6</v>
      </c>
      <c r="AP54" s="747" t="s">
        <v>716</v>
      </c>
      <c r="AQ54" s="735">
        <f t="shared" si="287"/>
        <v>7422</v>
      </c>
      <c r="AR54" s="742"/>
      <c r="AS54" s="774">
        <f t="shared" si="288"/>
        <v>0</v>
      </c>
      <c r="AT54" s="740">
        <v>47.3</v>
      </c>
      <c r="AU54" s="738">
        <v>13927</v>
      </c>
      <c r="AV54" s="237"/>
      <c r="AW54" s="95">
        <f t="shared" si="248"/>
        <v>7.4789899030613269E-2</v>
      </c>
      <c r="AX54" s="95"/>
      <c r="AY54">
        <f t="shared" si="254"/>
        <v>103.36619399999999</v>
      </c>
      <c r="BA54" s="865">
        <f t="shared" si="249"/>
        <v>6.5340985975650023E-2</v>
      </c>
      <c r="BB54" s="863">
        <f t="shared" si="293"/>
        <v>0.4372425413445139</v>
      </c>
      <c r="BC54" s="865"/>
      <c r="BE54" t="s">
        <v>753</v>
      </c>
      <c r="BF54" s="101">
        <f>BB72*AQ92/(AQ91+AQ92)</f>
        <v>5.2683127384108757E-3</v>
      </c>
      <c r="BG54" s="22">
        <f t="shared" si="258"/>
        <v>5.3543661873996067</v>
      </c>
      <c r="BH54">
        <v>3</v>
      </c>
      <c r="BI54">
        <f t="shared" si="281"/>
        <v>0.03</v>
      </c>
      <c r="BJ54">
        <v>0.75</v>
      </c>
      <c r="BK54">
        <f t="shared" si="282"/>
        <v>2.2499999999999999E-2</v>
      </c>
      <c r="BL54">
        <v>44.3</v>
      </c>
      <c r="BM54">
        <f t="shared" si="266"/>
        <v>0.99674999999999991</v>
      </c>
      <c r="BN54" s="847">
        <f>$BG$81</f>
        <v>73.340256807427139</v>
      </c>
      <c r="BO54" s="852">
        <f>$BH$81/1000</f>
        <v>5.89588162119752E-3</v>
      </c>
      <c r="BP54" s="852">
        <f>$BI$81/1000</f>
        <v>5.9086290854477614E-4</v>
      </c>
      <c r="BQ54" s="22">
        <f t="shared" si="259"/>
        <v>5.3369644972905572</v>
      </c>
      <c r="BR54" s="22">
        <f t="shared" si="260"/>
        <v>391.41434680341075</v>
      </c>
      <c r="BS54" s="22">
        <f t="shared" si="261"/>
        <v>3.146611089255906E-2</v>
      </c>
      <c r="BT54" s="22">
        <f t="shared" si="262"/>
        <v>3.1534143656693076E-3</v>
      </c>
      <c r="BU54" s="437">
        <f t="shared" si="275"/>
        <v>393.21291902983671</v>
      </c>
      <c r="BV54">
        <v>2.34</v>
      </c>
      <c r="BW54">
        <f t="shared" si="276"/>
        <v>375876.50635545241</v>
      </c>
      <c r="BX54" s="237">
        <f t="shared" si="267"/>
        <v>375.87650635545242</v>
      </c>
      <c r="BY54">
        <v>2</v>
      </c>
      <c r="BZ54" s="237">
        <f t="shared" si="279"/>
        <v>10.708732374799213</v>
      </c>
      <c r="CA54" s="237"/>
      <c r="CB54" s="237"/>
      <c r="CD54" s="437">
        <f>SUM(CD48:CD53)</f>
        <v>267348.79204361764</v>
      </c>
      <c r="CE54" s="437">
        <f>SUM(CE48:CE53)</f>
        <v>278355.24347448454</v>
      </c>
      <c r="CF54" s="437">
        <f>SUM(CF48:CF53)</f>
        <v>243788.12248692595</v>
      </c>
      <c r="CI54" s="701" t="s">
        <v>711</v>
      </c>
      <c r="CJ54" s="695"/>
      <c r="CN54" s="747" t="s">
        <v>716</v>
      </c>
      <c r="CO54" s="735">
        <f t="shared" si="289"/>
        <v>6639</v>
      </c>
      <c r="CP54" s="742"/>
      <c r="CQ54" s="774">
        <f t="shared" si="290"/>
        <v>0</v>
      </c>
      <c r="CR54" s="740">
        <v>47.3</v>
      </c>
      <c r="CS54" s="738">
        <v>17274</v>
      </c>
      <c r="CT54" s="237"/>
      <c r="CU54" s="95">
        <f t="shared" si="252"/>
        <v>7.5805843866680364E-2</v>
      </c>
      <c r="CV54" s="95"/>
      <c r="CW54">
        <f t="shared" si="255"/>
        <v>114.682086</v>
      </c>
      <c r="CY54" s="95">
        <f t="shared" si="256"/>
        <v>8.3492763413107976E-2</v>
      </c>
      <c r="CZ54" s="95">
        <f t="shared" si="292"/>
        <v>0.49568959316986377</v>
      </c>
      <c r="DA54" s="95"/>
      <c r="DC54" t="s">
        <v>753</v>
      </c>
      <c r="DD54" s="101">
        <f>CZ72*CO95/(CO94+CO95)</f>
        <v>6.7354482496666283E-3</v>
      </c>
      <c r="DE54" s="22">
        <f t="shared" si="264"/>
        <v>6.8669092850523548</v>
      </c>
      <c r="DF54">
        <v>3</v>
      </c>
      <c r="DG54">
        <f t="shared" si="283"/>
        <v>0.03</v>
      </c>
      <c r="DH54">
        <v>0.75</v>
      </c>
      <c r="DI54">
        <f t="shared" si="284"/>
        <v>2.2499999999999999E-2</v>
      </c>
      <c r="DJ54">
        <v>44.3</v>
      </c>
      <c r="DK54">
        <f t="shared" si="269"/>
        <v>0.99674999999999991</v>
      </c>
      <c r="DL54" s="847">
        <v>73.231096434849775</v>
      </c>
      <c r="DM54" s="852">
        <v>4.5695578598240177E-3</v>
      </c>
      <c r="DN54" s="852">
        <v>4.4568227585513781E-4</v>
      </c>
      <c r="DO54" s="22">
        <f t="shared" si="265"/>
        <v>6.8445918298759336</v>
      </c>
      <c r="DP54" s="22">
        <f t="shared" si="280"/>
        <v>501.2369643508294</v>
      </c>
      <c r="DQ54" s="22">
        <f t="shared" si="270"/>
        <v>3.1276758393496827E-2</v>
      </c>
      <c r="DR54" s="22">
        <f t="shared" si="271"/>
        <v>3.0505132640385882E-3</v>
      </c>
      <c r="DS54" s="437">
        <f t="shared" si="272"/>
        <v>503.00180187203813</v>
      </c>
      <c r="DT54">
        <v>2.34</v>
      </c>
      <c r="DU54">
        <f t="shared" si="277"/>
        <v>482057.03181067528</v>
      </c>
      <c r="DV54" s="237">
        <f t="shared" si="273"/>
        <v>482.05703181067526</v>
      </c>
      <c r="DW54">
        <v>2</v>
      </c>
      <c r="DX54" s="237">
        <f t="shared" si="274"/>
        <v>13.733818570104708</v>
      </c>
      <c r="DY54" s="237"/>
      <c r="DZ54" s="237"/>
      <c r="EB54" s="437">
        <f>SUM(EB48:EB53)</f>
        <v>275111.76781046012</v>
      </c>
      <c r="EC54" s="437">
        <f>SUM(EC48:EC53)</f>
        <v>284574.38384943677</v>
      </c>
      <c r="ED54" s="437">
        <f>SUM(ED48:ED53)</f>
        <v>248686.75115474121</v>
      </c>
      <c r="EE54" s="237"/>
    </row>
    <row r="55" spans="1:232" ht="17.399999999999999" thickBot="1" x14ac:dyDescent="0.5">
      <c r="A55" s="981"/>
      <c r="B55" s="159" t="s">
        <v>735</v>
      </c>
      <c r="C55" s="160">
        <v>40402</v>
      </c>
      <c r="D55" s="161">
        <v>45572.666795350764</v>
      </c>
      <c r="E55" s="162">
        <v>47040</v>
      </c>
      <c r="F55" s="163">
        <v>133014.66679535076</v>
      </c>
      <c r="G55" s="200">
        <v>803240.43989962712</v>
      </c>
      <c r="H55" s="984"/>
      <c r="I55" s="180">
        <v>-5.3617858565037126E-2</v>
      </c>
      <c r="J55" s="181">
        <v>-5.770084332001775E-3</v>
      </c>
      <c r="K55" s="182">
        <v>-1.4143868759583178E-2</v>
      </c>
      <c r="L55" s="183">
        <v>-1.4143868759583178E-2</v>
      </c>
      <c r="M55" s="292">
        <v>4.4826198295774278E-2</v>
      </c>
      <c r="N55" s="870"/>
      <c r="O55" s="206"/>
      <c r="P55" s="206"/>
      <c r="Q55" s="206"/>
      <c r="S55" s="775">
        <v>2024</v>
      </c>
      <c r="T55" s="101">
        <f>$Q$270</f>
        <v>1.8281675545253777E-2</v>
      </c>
      <c r="U55" s="85">
        <f t="shared" si="278"/>
        <v>5.8686022086247629</v>
      </c>
      <c r="V55" s="438">
        <f>U55*365*0.65</f>
        <v>1392.3258739962253</v>
      </c>
      <c r="W55" s="83">
        <f>U55/0.16</f>
        <v>36.678763803904765</v>
      </c>
      <c r="X55" s="83">
        <f t="shared" si="241"/>
        <v>1890.657928036328</v>
      </c>
      <c r="Y55" s="438">
        <f t="shared" si="242"/>
        <v>1228.9276532236133</v>
      </c>
      <c r="Z55">
        <f t="shared" si="291"/>
        <v>1356041.0935001471</v>
      </c>
      <c r="AA55">
        <f>Z55/10^6*$AA$16</f>
        <v>6.7395242346957307</v>
      </c>
      <c r="AB55" s="237">
        <f>AA55/$W$16/$X$16*$Y$16</f>
        <v>1411.3050104871859</v>
      </c>
      <c r="AC55">
        <f t="shared" si="286"/>
        <v>978511.07446968078</v>
      </c>
      <c r="AD55">
        <f t="shared" si="236"/>
        <v>4.9793298445837149</v>
      </c>
      <c r="AE55" s="16">
        <f>AD55*315</f>
        <v>1568.4889010438701</v>
      </c>
      <c r="AF55" s="237">
        <f>AE55*$AF$16</f>
        <v>1019.5177856785156</v>
      </c>
      <c r="AG55" s="22">
        <f>DB44+AF55</f>
        <v>1250.8764576785156</v>
      </c>
      <c r="AH55" s="22">
        <f t="shared" si="294"/>
        <v>231.35867200000007</v>
      </c>
      <c r="AI55">
        <f t="shared" si="245"/>
        <v>1250.8764576785156</v>
      </c>
      <c r="AK55" s="701" t="s">
        <v>711</v>
      </c>
      <c r="AL55" s="695"/>
      <c r="AP55" s="747" t="s">
        <v>722</v>
      </c>
      <c r="AQ55" s="735">
        <f t="shared" si="287"/>
        <v>1056</v>
      </c>
      <c r="AR55" s="740"/>
      <c r="AS55" s="774">
        <f t="shared" si="288"/>
        <v>0</v>
      </c>
      <c r="AT55" s="740">
        <v>42</v>
      </c>
      <c r="AU55" s="738">
        <v>16528</v>
      </c>
      <c r="AV55" s="237"/>
      <c r="AW55" s="95">
        <f t="shared" si="248"/>
        <v>1.0641085068219836E-2</v>
      </c>
      <c r="AX55" s="95"/>
      <c r="AY55">
        <f t="shared" si="254"/>
        <v>17.453568000000001</v>
      </c>
      <c r="BA55" s="95">
        <f t="shared" si="249"/>
        <v>1.1032943148831176E-2</v>
      </c>
      <c r="BB55" s="863">
        <f t="shared" si="293"/>
        <v>7.3829190497710362E-2</v>
      </c>
      <c r="BC55" s="95"/>
      <c r="BD55" t="s">
        <v>728</v>
      </c>
      <c r="BE55" t="s">
        <v>675</v>
      </c>
      <c r="BF55" s="101">
        <f>BB45</f>
        <v>1.2905834509511997E-4</v>
      </c>
      <c r="BG55" s="22">
        <f t="shared" ref="BG55:BG74" si="295">BF55*$BE$44</f>
        <v>3.0509999999999999E-2</v>
      </c>
      <c r="BH55">
        <v>8</v>
      </c>
      <c r="BI55">
        <f t="shared" si="281"/>
        <v>0.08</v>
      </c>
      <c r="BJ55">
        <v>0.86499999999999999</v>
      </c>
      <c r="BK55">
        <f t="shared" si="282"/>
        <v>6.9199999999999998E-2</v>
      </c>
      <c r="BL55">
        <v>44.3</v>
      </c>
      <c r="BM55">
        <f t="shared" si="266"/>
        <v>3.0655599999999996</v>
      </c>
      <c r="BN55" s="847">
        <f>$BG$81</f>
        <v>73.340256807427139</v>
      </c>
      <c r="BO55" s="852">
        <f>$BH$81/1000</f>
        <v>5.89588162119752E-3</v>
      </c>
      <c r="BP55" s="852">
        <f>$BI$81/1000</f>
        <v>5.9086290854477614E-4</v>
      </c>
      <c r="BQ55" s="22">
        <f t="shared" si="259"/>
        <v>9.3530235599999983E-2</v>
      </c>
      <c r="BR55" s="22">
        <f t="shared" si="260"/>
        <v>6.8595314981631628</v>
      </c>
      <c r="BS55" s="22">
        <f t="shared" si="261"/>
        <v>5.5144319710031392E-4</v>
      </c>
      <c r="BT55" s="22">
        <f t="shared" si="262"/>
        <v>5.5263547043494158E-5</v>
      </c>
      <c r="BU55" s="437">
        <f t="shared" si="275"/>
        <v>6.8910514537796255</v>
      </c>
      <c r="BV55">
        <v>2.72</v>
      </c>
      <c r="BW55">
        <f t="shared" si="276"/>
        <v>6638.9760000000006</v>
      </c>
      <c r="BX55" s="237">
        <f t="shared" si="267"/>
        <v>6.6389760000000004</v>
      </c>
      <c r="BY55">
        <v>207</v>
      </c>
      <c r="BZ55" s="237">
        <f t="shared" si="279"/>
        <v>6.3155700000000001</v>
      </c>
      <c r="CA55" s="237"/>
      <c r="CB55" s="237"/>
      <c r="CI55" s="701" t="s">
        <v>716</v>
      </c>
      <c r="CJ55" s="695"/>
      <c r="CN55" s="747" t="s">
        <v>722</v>
      </c>
      <c r="CO55" s="735">
        <f t="shared" si="289"/>
        <v>904</v>
      </c>
      <c r="CP55" s="740"/>
      <c r="CQ55" s="774">
        <f t="shared" si="290"/>
        <v>0</v>
      </c>
      <c r="CR55" s="740">
        <v>42</v>
      </c>
      <c r="CS55" s="738">
        <v>15323</v>
      </c>
      <c r="CT55" s="237"/>
      <c r="CU55" s="95">
        <f t="shared" si="252"/>
        <v>1.032210918142477E-2</v>
      </c>
      <c r="CV55" s="95"/>
      <c r="CW55">
        <f t="shared" si="255"/>
        <v>13.851991999999999</v>
      </c>
      <c r="CY55" s="95">
        <f t="shared" si="256"/>
        <v>1.0084758057646984E-2</v>
      </c>
      <c r="CZ55" s="95">
        <f t="shared" si="292"/>
        <v>5.9872369945138663E-2</v>
      </c>
      <c r="DA55" s="95"/>
      <c r="DB55" t="s">
        <v>728</v>
      </c>
      <c r="DC55" t="s">
        <v>675</v>
      </c>
      <c r="DD55" s="101">
        <f>CZ45</f>
        <v>1.6242313147440604E-4</v>
      </c>
      <c r="DE55" s="22">
        <f t="shared" ref="DE55:DE73" si="296">DD55*$DB$44</f>
        <v>3.7578E-2</v>
      </c>
      <c r="DF55">
        <v>8</v>
      </c>
      <c r="DG55">
        <f t="shared" si="283"/>
        <v>0.08</v>
      </c>
      <c r="DH55">
        <v>0.86499999999999999</v>
      </c>
      <c r="DI55">
        <f t="shared" si="284"/>
        <v>6.9199999999999998E-2</v>
      </c>
      <c r="DJ55">
        <v>44.3</v>
      </c>
      <c r="DK55">
        <f t="shared" si="269"/>
        <v>3.0655599999999996</v>
      </c>
      <c r="DL55" s="847">
        <v>73.231096434849775</v>
      </c>
      <c r="DM55" s="852">
        <v>4.5695578598240177E-3</v>
      </c>
      <c r="DN55" s="852">
        <v>4.4568227585513781E-4</v>
      </c>
      <c r="DO55" s="22">
        <f t="shared" si="265"/>
        <v>0.11519761367999999</v>
      </c>
      <c r="DP55" s="22">
        <f t="shared" si="280"/>
        <v>8.4360475564646489</v>
      </c>
      <c r="DQ55" s="22">
        <f t="shared" si="270"/>
        <v>5.2640216102441476E-4</v>
      </c>
      <c r="DR55" s="22">
        <f t="shared" si="271"/>
        <v>5.1341534637983355E-5</v>
      </c>
      <c r="DS55" s="437">
        <f t="shared" si="272"/>
        <v>8.4657505798193462</v>
      </c>
      <c r="DT55">
        <v>2.72</v>
      </c>
      <c r="DU55">
        <f t="shared" si="277"/>
        <v>8176.9728000000014</v>
      </c>
      <c r="DV55" s="237">
        <f t="shared" si="273"/>
        <v>8.1769728000000015</v>
      </c>
      <c r="DW55">
        <v>207</v>
      </c>
      <c r="DX55" s="237">
        <f t="shared" si="274"/>
        <v>7.7786459999999993</v>
      </c>
      <c r="DY55" s="237"/>
      <c r="DZ55" s="237"/>
      <c r="EE55" s="237"/>
    </row>
    <row r="56" spans="1:232" ht="17.399999999999999" thickBot="1" x14ac:dyDescent="0.5">
      <c r="A56" s="981"/>
      <c r="B56" s="159" t="s">
        <v>740</v>
      </c>
      <c r="C56" s="160">
        <v>37788</v>
      </c>
      <c r="D56" s="161">
        <v>45431</v>
      </c>
      <c r="E56" s="162">
        <v>46196.383537711605</v>
      </c>
      <c r="F56" s="163">
        <v>129415.3835377116</v>
      </c>
      <c r="G56" s="200">
        <v>932655.82343733869</v>
      </c>
      <c r="H56" s="984"/>
      <c r="I56" s="180">
        <v>-4.4309559939301975E-2</v>
      </c>
      <c r="J56" s="181">
        <v>-3.6796959537687421E-3</v>
      </c>
      <c r="K56" s="182">
        <v>-5.5632370785679841E-3</v>
      </c>
      <c r="L56" s="183">
        <v>-5.5632370785679841E-3</v>
      </c>
      <c r="M56" s="292">
        <v>3.7531153479971158E-2</v>
      </c>
      <c r="N56" s="870"/>
      <c r="O56" s="206"/>
      <c r="P56" s="206"/>
      <c r="Q56" s="206"/>
      <c r="S56" s="776">
        <v>2025</v>
      </c>
      <c r="T56" s="777">
        <f>$Q$283</f>
        <v>-3.1226805658444408E-3</v>
      </c>
      <c r="U56" s="778">
        <f t="shared" si="278"/>
        <v>5.8502764385592183</v>
      </c>
      <c r="V56" s="779">
        <f>U56*365*0.65</f>
        <v>1387.9780850481745</v>
      </c>
      <c r="W56" s="780">
        <f>U56/0.16</f>
        <v>36.564227740995115</v>
      </c>
      <c r="X56" s="780">
        <f t="shared" si="241"/>
        <v>1884.7540072677893</v>
      </c>
      <c r="Y56" s="779">
        <f t="shared" si="242"/>
        <v>1225.0901047240632</v>
      </c>
      <c r="Z56" s="781">
        <f t="shared" si="291"/>
        <v>1351806.6103309877</v>
      </c>
      <c r="AA56" s="781">
        <f>Z56/10^6*$AA$16</f>
        <v>6.718478853345009</v>
      </c>
      <c r="AB56" s="782">
        <f>AA56/$W$16/$X$16*$Y$16</f>
        <v>1406.8979557584589</v>
      </c>
      <c r="AC56" s="781">
        <f t="shared" si="286"/>
        <v>975455.49695397075</v>
      </c>
      <c r="AD56" s="781">
        <f t="shared" si="236"/>
        <v>4.9637809880471044</v>
      </c>
      <c r="AE56" s="783">
        <f>AD56*315</f>
        <v>1563.5910112348379</v>
      </c>
      <c r="AF56" s="782">
        <f>AE56*$AF$16</f>
        <v>1016.3341573026447</v>
      </c>
      <c r="AG56" s="22">
        <f>BA42</f>
        <v>1252.7388623026445</v>
      </c>
      <c r="AH56" s="22">
        <f>AG56-AF56</f>
        <v>236.40470499999981</v>
      </c>
      <c r="AI56">
        <f t="shared" si="245"/>
        <v>1252.7388623026445</v>
      </c>
      <c r="AK56" s="701" t="s">
        <v>716</v>
      </c>
      <c r="AL56" s="695">
        <v>5</v>
      </c>
      <c r="AP56" s="747" t="s">
        <v>726</v>
      </c>
      <c r="AQ56" s="735">
        <f t="shared" si="287"/>
        <v>1521</v>
      </c>
      <c r="AR56" s="742"/>
      <c r="AS56" s="774">
        <f t="shared" si="288"/>
        <v>0</v>
      </c>
      <c r="AT56" s="740">
        <v>77</v>
      </c>
      <c r="AU56" s="738">
        <v>28030</v>
      </c>
      <c r="AV56" s="237"/>
      <c r="AW56" s="95">
        <f t="shared" si="248"/>
        <v>1.5326790140873455E-2</v>
      </c>
      <c r="AX56" s="95"/>
      <c r="AY56">
        <f t="shared" si="254"/>
        <v>42.633629999999997</v>
      </c>
      <c r="BA56" s="95">
        <f t="shared" si="249"/>
        <v>2.6950043453482019E-2</v>
      </c>
      <c r="BB56" s="863">
        <f t="shared" si="293"/>
        <v>0.18034171528015927</v>
      </c>
      <c r="BC56" s="95"/>
      <c r="BE56" t="s">
        <v>717</v>
      </c>
      <c r="BF56" s="101">
        <f>BB52</f>
        <v>8.8552679186313255E-3</v>
      </c>
      <c r="BG56" s="22">
        <f t="shared" si="295"/>
        <v>2.0934270000000001</v>
      </c>
      <c r="BH56">
        <v>10.5</v>
      </c>
      <c r="BI56">
        <f t="shared" si="281"/>
        <v>0.105</v>
      </c>
      <c r="BJ56">
        <v>0.75</v>
      </c>
      <c r="BK56">
        <f t="shared" si="282"/>
        <v>7.8750000000000001E-2</v>
      </c>
      <c r="BL56">
        <v>43</v>
      </c>
      <c r="BM56">
        <f t="shared" si="266"/>
        <v>3.38625</v>
      </c>
      <c r="BN56" s="847">
        <f>$BG$82</f>
        <v>73.961370985694614</v>
      </c>
      <c r="BO56" s="852">
        <f>$BH$82/1000</f>
        <v>1.2069660652303537E-3</v>
      </c>
      <c r="BP56" s="852">
        <f>$BI$82/1000</f>
        <v>2.7234591213219014E-3</v>
      </c>
      <c r="BQ56" s="22">
        <f t="shared" si="259"/>
        <v>7.0888671787500002</v>
      </c>
      <c r="BR56" s="22">
        <f t="shared" si="260"/>
        <v>524.30233527584312</v>
      </c>
      <c r="BS56" s="22">
        <f t="shared" si="261"/>
        <v>8.5560221256764865E-3</v>
      </c>
      <c r="BT56" s="22">
        <f t="shared" si="262"/>
        <v>1.9306239977806141E-2</v>
      </c>
      <c r="BU56" s="437">
        <f t="shared" si="275"/>
        <v>529.82790824912934</v>
      </c>
      <c r="BV56">
        <v>2.34</v>
      </c>
      <c r="BW56">
        <f t="shared" si="276"/>
        <v>514355.01389999996</v>
      </c>
      <c r="BX56" s="237">
        <f t="shared" si="267"/>
        <v>514.35501390000002</v>
      </c>
      <c r="BY56">
        <v>188</v>
      </c>
      <c r="BZ56" s="237">
        <f t="shared" si="279"/>
        <v>393.56427600000001</v>
      </c>
      <c r="CA56" s="237"/>
      <c r="CB56" s="237"/>
      <c r="CC56" t="s">
        <v>285</v>
      </c>
      <c r="CD56" s="22">
        <f>CD48</f>
        <v>168292.77399932733</v>
      </c>
      <c r="CE56" s="22">
        <f>CE48</f>
        <v>182669.44244445142</v>
      </c>
      <c r="CF56" s="22">
        <f>CF48</f>
        <v>150022.09541492595</v>
      </c>
      <c r="CI56" s="701" t="s">
        <v>722</v>
      </c>
      <c r="CJ56" s="695"/>
      <c r="CN56" s="747" t="s">
        <v>726</v>
      </c>
      <c r="CO56" s="735">
        <f t="shared" si="289"/>
        <v>1408</v>
      </c>
      <c r="CP56" s="742"/>
      <c r="CQ56" s="774">
        <f t="shared" si="290"/>
        <v>0</v>
      </c>
      <c r="CR56" s="740">
        <v>77</v>
      </c>
      <c r="CS56" s="738">
        <v>28087</v>
      </c>
      <c r="CT56" s="237"/>
      <c r="CU56" s="95">
        <f t="shared" si="252"/>
        <v>1.6076913415316457E-2</v>
      </c>
      <c r="CV56" s="95"/>
      <c r="CW56">
        <f t="shared" si="255"/>
        <v>39.546495999999998</v>
      </c>
      <c r="CY56" s="95">
        <f t="shared" si="256"/>
        <v>2.8791299055594619E-2</v>
      </c>
      <c r="CZ56" s="95">
        <f t="shared" si="292"/>
        <v>0.17093154822396275</v>
      </c>
      <c r="DA56" s="95"/>
      <c r="DC56" t="s">
        <v>717</v>
      </c>
      <c r="DD56" s="101">
        <f>CZ52</f>
        <v>1.3110863637737334E-2</v>
      </c>
      <c r="DE56" s="22">
        <f t="shared" si="296"/>
        <v>3.033312</v>
      </c>
      <c r="DF56">
        <v>10.5</v>
      </c>
      <c r="DG56">
        <f t="shared" si="283"/>
        <v>0.105</v>
      </c>
      <c r="DH56">
        <v>0.75</v>
      </c>
      <c r="DI56">
        <f t="shared" si="284"/>
        <v>7.8750000000000001E-2</v>
      </c>
      <c r="DJ56">
        <v>43</v>
      </c>
      <c r="DK56">
        <f t="shared" si="269"/>
        <v>3.38625</v>
      </c>
      <c r="DL56" s="847">
        <v>73.883575529983716</v>
      </c>
      <c r="DM56" s="852">
        <v>1.1024651844300431E-4</v>
      </c>
      <c r="DN56" s="852">
        <v>2.53299651715476E-3</v>
      </c>
      <c r="DO56" s="22">
        <f t="shared" si="265"/>
        <v>10.271552760000001</v>
      </c>
      <c r="DP56" s="22">
        <f t="shared" si="280"/>
        <v>758.89904415367278</v>
      </c>
      <c r="DQ56" s="22">
        <f t="shared" si="270"/>
        <v>1.1324029307936319E-3</v>
      </c>
      <c r="DR56" s="22">
        <f t="shared" si="271"/>
        <v>2.6017807366851362E-2</v>
      </c>
      <c r="DS56" s="437">
        <f t="shared" si="272"/>
        <v>766.0356511721609</v>
      </c>
      <c r="DT56">
        <v>2.34</v>
      </c>
      <c r="DU56">
        <f t="shared" si="277"/>
        <v>745284.75839999993</v>
      </c>
      <c r="DV56" s="237">
        <f t="shared" si="273"/>
        <v>745.28475839999999</v>
      </c>
      <c r="DW56">
        <v>188</v>
      </c>
      <c r="DX56" s="237">
        <f t="shared" si="274"/>
        <v>570.26265599999999</v>
      </c>
      <c r="DY56" s="237"/>
      <c r="DZ56" s="237"/>
      <c r="EA56" t="s">
        <v>285</v>
      </c>
      <c r="EB56" s="22">
        <f>EB48</f>
        <v>178623.4057922067</v>
      </c>
      <c r="EC56" s="22">
        <f>EC48</f>
        <v>190161.63262873265</v>
      </c>
      <c r="ED56" s="22">
        <f>ED48</f>
        <v>157763.70430074123</v>
      </c>
      <c r="EE56" s="237"/>
    </row>
    <row r="57" spans="1:232" ht="17.399999999999999" thickBot="1" x14ac:dyDescent="0.5">
      <c r="A57" s="981"/>
      <c r="B57" s="159" t="s">
        <v>752</v>
      </c>
      <c r="C57" s="160">
        <v>39855</v>
      </c>
      <c r="D57" s="161">
        <v>45009.046086335104</v>
      </c>
      <c r="E57" s="162">
        <v>46690</v>
      </c>
      <c r="F57" s="163">
        <v>131554.04608633509</v>
      </c>
      <c r="G57" s="200">
        <v>1064209.8695236738</v>
      </c>
      <c r="H57" s="984"/>
      <c r="I57" s="180">
        <v>-7.4688893016344723E-2</v>
      </c>
      <c r="J57" s="181">
        <v>2.0818577897967505E-3</v>
      </c>
      <c r="K57" s="182">
        <v>-2.907127241750429E-2</v>
      </c>
      <c r="L57" s="183">
        <v>-2.907127241750429E-2</v>
      </c>
      <c r="M57" s="292">
        <v>2.8807194454872898E-2</v>
      </c>
      <c r="N57" s="870"/>
      <c r="O57" s="206"/>
      <c r="P57" s="206"/>
      <c r="Q57" s="206"/>
      <c r="U57" s="96">
        <f t="shared" ref="U57:AB57" si="297">(U50-U43)/U43</f>
        <v>0.32831075100692003</v>
      </c>
      <c r="V57" s="96">
        <f t="shared" si="297"/>
        <v>0.32831075100692009</v>
      </c>
      <c r="W57" s="96">
        <f t="shared" si="297"/>
        <v>0.32831075100691998</v>
      </c>
      <c r="X57" s="96">
        <f t="shared" si="297"/>
        <v>0.32831075100691992</v>
      </c>
      <c r="Y57" s="96">
        <f t="shared" si="297"/>
        <v>0.32831075100691998</v>
      </c>
      <c r="Z57" s="96">
        <f t="shared" si="297"/>
        <v>0.3283107510069197</v>
      </c>
      <c r="AA57" s="96">
        <f t="shared" si="297"/>
        <v>0.3283107510069197</v>
      </c>
      <c r="AB57" s="96">
        <f t="shared" si="297"/>
        <v>0.32831075100691964</v>
      </c>
      <c r="AC57" s="96"/>
      <c r="AD57" s="96"/>
      <c r="AE57" s="96"/>
      <c r="AF57" s="237"/>
      <c r="AK57" s="701" t="s">
        <v>722</v>
      </c>
      <c r="AL57" s="695"/>
      <c r="AP57" s="968" t="s">
        <v>723</v>
      </c>
      <c r="AQ57" s="969"/>
      <c r="AR57" s="969"/>
      <c r="AS57" s="969"/>
      <c r="AT57" s="969"/>
      <c r="AU57" s="970"/>
      <c r="AV57" s="26">
        <f>SUM(AQ51:AQ56)</f>
        <v>35838</v>
      </c>
      <c r="AW57" s="95">
        <f t="shared" si="248"/>
        <v>0</v>
      </c>
      <c r="AX57" s="237"/>
      <c r="AY57">
        <f t="shared" si="254"/>
        <v>0</v>
      </c>
      <c r="BA57" s="95">
        <f t="shared" si="249"/>
        <v>0</v>
      </c>
      <c r="BB57" s="95"/>
      <c r="BC57" s="95"/>
      <c r="BD57" s="16" t="s">
        <v>733</v>
      </c>
      <c r="BE57" t="s">
        <v>675</v>
      </c>
      <c r="BF57" s="101">
        <f>BB47</f>
        <v>6.7300703681003382E-2</v>
      </c>
      <c r="BG57" s="22">
        <f t="shared" si="295"/>
        <v>15.910202999999999</v>
      </c>
      <c r="BH57">
        <v>12</v>
      </c>
      <c r="BI57">
        <f t="shared" si="281"/>
        <v>0.12</v>
      </c>
      <c r="BJ57">
        <v>0.75</v>
      </c>
      <c r="BK57">
        <f t="shared" si="282"/>
        <v>0.09</v>
      </c>
      <c r="BL57">
        <v>44.3</v>
      </c>
      <c r="BM57">
        <f t="shared" si="266"/>
        <v>3.9869999999999997</v>
      </c>
      <c r="BN57" s="847">
        <f>$BG$81</f>
        <v>73.340256807427139</v>
      </c>
      <c r="BO57" s="852">
        <f>$BH$81/1000</f>
        <v>5.89588162119752E-3</v>
      </c>
      <c r="BP57" s="852">
        <f>$BI$81/1000</f>
        <v>5.9086290854477614E-4</v>
      </c>
      <c r="BQ57" s="22">
        <f t="shared" si="259"/>
        <v>63.433979360999992</v>
      </c>
      <c r="BR57" s="22">
        <f t="shared" si="260"/>
        <v>4652.2643366527718</v>
      </c>
      <c r="BS57" s="22">
        <f t="shared" si="261"/>
        <v>0.37399923307394267</v>
      </c>
      <c r="BT57" s="22">
        <f t="shared" si="262"/>
        <v>3.7480785545809754E-2</v>
      </c>
      <c r="BU57" s="437">
        <f t="shared" si="275"/>
        <v>4673.6417682523806</v>
      </c>
      <c r="BV57">
        <v>2.34</v>
      </c>
      <c r="BW57">
        <f t="shared" si="276"/>
        <v>4467585.0023999996</v>
      </c>
      <c r="BX57" s="237">
        <f t="shared" si="267"/>
        <v>4467.5850023999992</v>
      </c>
      <c r="BY57">
        <v>250</v>
      </c>
      <c r="BZ57" s="237">
        <f t="shared" si="279"/>
        <v>3977.5507500000003</v>
      </c>
      <c r="CA57" s="237"/>
      <c r="CB57" s="237"/>
      <c r="CC57" s="16" t="s">
        <v>346</v>
      </c>
      <c r="CD57" s="22">
        <f>CD49+CD51</f>
        <v>20641.09091548514</v>
      </c>
      <c r="CE57" s="22">
        <f>CE49+CE51</f>
        <v>19664.183287052001</v>
      </c>
      <c r="CF57" s="22">
        <f>CF49+CF51</f>
        <v>25805.440294</v>
      </c>
      <c r="CI57" s="697" t="s">
        <v>723</v>
      </c>
      <c r="CJ57" s="695"/>
      <c r="CN57" s="968" t="s">
        <v>723</v>
      </c>
      <c r="CO57" s="969"/>
      <c r="CP57" s="969"/>
      <c r="CQ57" s="969"/>
      <c r="CR57" s="969"/>
      <c r="CS57" s="970"/>
      <c r="CT57" s="26">
        <f>SUM(CO51:CO56)</f>
        <v>32766</v>
      </c>
      <c r="CU57" s="95">
        <f t="shared" si="252"/>
        <v>0</v>
      </c>
      <c r="CV57" s="237"/>
      <c r="CW57">
        <f t="shared" si="255"/>
        <v>0</v>
      </c>
      <c r="CY57" s="95">
        <f t="shared" si="256"/>
        <v>0</v>
      </c>
      <c r="CZ57" s="95">
        <f t="shared" si="292"/>
        <v>0</v>
      </c>
      <c r="DA57" s="95"/>
      <c r="DB57" s="16" t="s">
        <v>733</v>
      </c>
      <c r="DC57" t="s">
        <v>675</v>
      </c>
      <c r="DD57" s="101">
        <f>CZ47</f>
        <v>4.0920272917195841E-2</v>
      </c>
      <c r="DE57" s="22">
        <f t="shared" si="296"/>
        <v>9.4672599999999996</v>
      </c>
      <c r="DF57">
        <v>12</v>
      </c>
      <c r="DG57">
        <f t="shared" si="283"/>
        <v>0.12</v>
      </c>
      <c r="DH57">
        <v>0.75</v>
      </c>
      <c r="DI57">
        <f t="shared" si="284"/>
        <v>0.09</v>
      </c>
      <c r="DJ57">
        <v>44.3</v>
      </c>
      <c r="DK57">
        <f t="shared" si="269"/>
        <v>3.9869999999999997</v>
      </c>
      <c r="DL57" s="847">
        <v>73.231096434849775</v>
      </c>
      <c r="DM57" s="852">
        <v>4.5695578598240177E-3</v>
      </c>
      <c r="DN57" s="852">
        <v>4.4568227585513781E-4</v>
      </c>
      <c r="DO57" s="22">
        <f t="shared" si="265"/>
        <v>37.745965619999993</v>
      </c>
      <c r="DP57" s="22">
        <f t="shared" si="280"/>
        <v>2764.1784483447436</v>
      </c>
      <c r="DQ57" s="22">
        <f t="shared" si="270"/>
        <v>0.17248237387551812</v>
      </c>
      <c r="DR57" s="22">
        <f t="shared" si="271"/>
        <v>1.6822707861871386E-2</v>
      </c>
      <c r="DS57" s="437">
        <f t="shared" si="272"/>
        <v>2773.9110223325247</v>
      </c>
      <c r="DT57">
        <v>2.34</v>
      </c>
      <c r="DU57">
        <f t="shared" si="277"/>
        <v>2658406.608</v>
      </c>
      <c r="DV57" s="237">
        <f t="shared" si="273"/>
        <v>2658.4066080000002</v>
      </c>
      <c r="DW57">
        <v>250</v>
      </c>
      <c r="DX57" s="237">
        <f t="shared" si="274"/>
        <v>2366.8150000000001</v>
      </c>
      <c r="DY57" s="237"/>
      <c r="DZ57" s="237"/>
      <c r="EA57" s="16" t="s">
        <v>346</v>
      </c>
      <c r="EB57" s="22">
        <f>EB49+EB51</f>
        <v>20577.222585386964</v>
      </c>
      <c r="EC57" s="22">
        <f>EC49+EC51</f>
        <v>20084.445923327999</v>
      </c>
      <c r="ED57" s="22">
        <f>ED49+ED51</f>
        <v>26232.830574</v>
      </c>
      <c r="EE57" s="237"/>
    </row>
    <row r="58" spans="1:232" ht="17.399999999999999" thickBot="1" x14ac:dyDescent="0.5">
      <c r="A58" s="981"/>
      <c r="B58" s="159" t="s">
        <v>754</v>
      </c>
      <c r="C58" s="160">
        <v>44393</v>
      </c>
      <c r="D58" s="161">
        <v>46983</v>
      </c>
      <c r="E58" s="162">
        <v>47628</v>
      </c>
      <c r="F58" s="163">
        <v>139004</v>
      </c>
      <c r="G58" s="200">
        <v>1203213.8695236738</v>
      </c>
      <c r="H58" s="984"/>
      <c r="I58" s="180">
        <v>-3.2108855757140291E-3</v>
      </c>
      <c r="J58" s="181">
        <v>3.1869488918257249E-2</v>
      </c>
      <c r="K58" s="182">
        <v>1.1504624407850272E-2</v>
      </c>
      <c r="L58" s="183">
        <v>1.1504624407850272E-2</v>
      </c>
      <c r="M58" s="292">
        <v>2.6778092796277075E-2</v>
      </c>
      <c r="N58" s="870"/>
      <c r="O58" s="206"/>
      <c r="P58" s="206"/>
      <c r="Q58" s="206"/>
      <c r="AK58" s="697" t="s">
        <v>723</v>
      </c>
      <c r="AL58" s="695"/>
      <c r="AP58" s="746" t="s">
        <v>285</v>
      </c>
      <c r="AQ58" s="735">
        <f t="shared" ref="AQ58:AQ63" si="298">_xlfn.XLOOKUP(AP58,$AK$59:$AK$64,$AL$59:$AL$64,0,0,1)</f>
        <v>17886</v>
      </c>
      <c r="AR58" s="736"/>
      <c r="AS58" s="774">
        <f t="shared" ref="AS58:AS63" si="299">AR58/AQ58</f>
        <v>0</v>
      </c>
      <c r="AT58" s="737">
        <v>35</v>
      </c>
      <c r="AU58" s="738">
        <v>12642</v>
      </c>
      <c r="AV58" s="237"/>
      <c r="AW58" s="95">
        <f t="shared" si="248"/>
        <v>0.18023337834297345</v>
      </c>
      <c r="AX58" s="621"/>
      <c r="AY58">
        <f t="shared" si="254"/>
        <v>226.114812</v>
      </c>
      <c r="BA58" s="862">
        <f t="shared" si="249"/>
        <v>0.14293420496626533</v>
      </c>
      <c r="BB58" s="862">
        <f>AY58/$AY$81</f>
        <v>0.1680469310286187</v>
      </c>
      <c r="BC58" s="862"/>
      <c r="BE58" t="s">
        <v>717</v>
      </c>
      <c r="BF58" s="101">
        <f>BB54</f>
        <v>0.4372425413445139</v>
      </c>
      <c r="BG58" s="22">
        <f t="shared" si="295"/>
        <v>103.36619399999999</v>
      </c>
      <c r="BH58">
        <v>13</v>
      </c>
      <c r="BI58">
        <f t="shared" si="281"/>
        <v>0.13</v>
      </c>
      <c r="BJ58">
        <v>0.86499999999999999</v>
      </c>
      <c r="BK58">
        <f t="shared" si="282"/>
        <v>0.11245000000000001</v>
      </c>
      <c r="BL58">
        <v>43</v>
      </c>
      <c r="BM58">
        <f t="shared" si="266"/>
        <v>4.83535</v>
      </c>
      <c r="BN58" s="847">
        <f>$BG$82</f>
        <v>73.961370985694614</v>
      </c>
      <c r="BO58" s="852">
        <f>$BH$82/1000</f>
        <v>1.2069660652303537E-3</v>
      </c>
      <c r="BP58" s="852">
        <f>$BI$82/1000</f>
        <v>2.7234591213219014E-3</v>
      </c>
      <c r="BQ58" s="22">
        <f t="shared" si="259"/>
        <v>499.81172615789995</v>
      </c>
      <c r="BR58" s="22">
        <f t="shared" si="260"/>
        <v>36966.760501364843</v>
      </c>
      <c r="BS58" s="22">
        <f t="shared" si="261"/>
        <v>0.60325579247679162</v>
      </c>
      <c r="BT58" s="22">
        <f t="shared" si="262"/>
        <v>1.361216804548377</v>
      </c>
      <c r="BU58" s="437">
        <f t="shared" si="275"/>
        <v>37356.349711622359</v>
      </c>
      <c r="BV58">
        <v>2.72</v>
      </c>
      <c r="BW58">
        <f t="shared" si="276"/>
        <v>36550286.198400006</v>
      </c>
      <c r="BX58" s="237">
        <f t="shared" si="267"/>
        <v>36550.286198400005</v>
      </c>
      <c r="BY58">
        <v>240</v>
      </c>
      <c r="BZ58" s="237">
        <f t="shared" si="279"/>
        <v>24807.886559999999</v>
      </c>
      <c r="CA58" s="237"/>
      <c r="CB58" s="237"/>
      <c r="CC58" t="s">
        <v>288</v>
      </c>
      <c r="CD58" s="22">
        <f>CD50+CD52+CD53</f>
        <v>78414.927128805197</v>
      </c>
      <c r="CE58" s="22">
        <f>CE50+CE52+CE53</f>
        <v>76021.617742981121</v>
      </c>
      <c r="CF58" s="22">
        <f>CF50+CF52+CF53</f>
        <v>67960.586777999997</v>
      </c>
      <c r="CI58" s="701" t="s">
        <v>285</v>
      </c>
      <c r="CJ58" s="695">
        <v>12578</v>
      </c>
      <c r="CN58" s="746" t="s">
        <v>285</v>
      </c>
      <c r="CO58" s="735">
        <f t="shared" ref="CO58:CO63" si="300">_xlfn.XLOOKUP(CN58,$CI$58:$CI$63,$CJ$58:$CJ$63,0,0,1)</f>
        <v>12578</v>
      </c>
      <c r="CP58" s="736"/>
      <c r="CQ58" s="774">
        <f t="shared" ref="CQ58:CQ63" si="301">CP58/CO58</f>
        <v>0</v>
      </c>
      <c r="CR58" s="737">
        <v>35</v>
      </c>
      <c r="CS58" s="738">
        <v>12791</v>
      </c>
      <c r="CT58" s="237"/>
      <c r="CU58" s="95">
        <f t="shared" si="252"/>
        <v>0.14361890407517783</v>
      </c>
      <c r="CV58" s="621"/>
      <c r="CW58">
        <f t="shared" si="255"/>
        <v>160.885198</v>
      </c>
      <c r="CY58" s="95">
        <f t="shared" si="256"/>
        <v>0.11713032298074028</v>
      </c>
      <c r="CZ58" s="95">
        <f>CW58/$CW$81</f>
        <v>0.14085572220543333</v>
      </c>
      <c r="DA58" s="95"/>
      <c r="DC58" t="s">
        <v>717</v>
      </c>
      <c r="DD58" s="101">
        <f>CZ54</f>
        <v>0.49568959316986377</v>
      </c>
      <c r="DE58" s="22">
        <f t="shared" si="296"/>
        <v>114.682086</v>
      </c>
      <c r="DF58">
        <v>13</v>
      </c>
      <c r="DG58">
        <f t="shared" si="283"/>
        <v>0.13</v>
      </c>
      <c r="DH58">
        <v>0.86499999999999999</v>
      </c>
      <c r="DI58">
        <f t="shared" si="284"/>
        <v>0.11245000000000001</v>
      </c>
      <c r="DJ58">
        <v>43</v>
      </c>
      <c r="DK58">
        <f t="shared" si="269"/>
        <v>4.83535</v>
      </c>
      <c r="DL58" s="847">
        <v>73.883575529983716</v>
      </c>
      <c r="DM58" s="852">
        <v>1.1024651844300431E-4</v>
      </c>
      <c r="DN58" s="852">
        <v>2.53299651715476E-3</v>
      </c>
      <c r="DO58" s="22">
        <f t="shared" si="265"/>
        <v>554.52802454009998</v>
      </c>
      <c r="DP58" s="22">
        <f t="shared" si="280"/>
        <v>40970.513184601143</v>
      </c>
      <c r="DQ58" s="22">
        <f t="shared" si="270"/>
        <v>6.1134784084622876E-2</v>
      </c>
      <c r="DR58" s="22">
        <f t="shared" si="271"/>
        <v>1.4046175548247826</v>
      </c>
      <c r="DS58" s="437">
        <f t="shared" si="272"/>
        <v>41355.79559363403</v>
      </c>
      <c r="DT58">
        <v>2.72</v>
      </c>
      <c r="DU58">
        <f t="shared" si="277"/>
        <v>40551585.6096</v>
      </c>
      <c r="DV58" s="237">
        <f t="shared" si="273"/>
        <v>40551.585609599999</v>
      </c>
      <c r="DW58">
        <v>240</v>
      </c>
      <c r="DX58" s="237">
        <f t="shared" si="274"/>
        <v>27523.700639999999</v>
      </c>
      <c r="DY58" s="237"/>
      <c r="DZ58" s="237"/>
      <c r="EA58" t="s">
        <v>288</v>
      </c>
      <c r="EB58" s="22">
        <f>EB50+EB52+EB53</f>
        <v>75911.139432866505</v>
      </c>
      <c r="EC58" s="22">
        <f>EC50+EC52+EC53</f>
        <v>74328.305297376122</v>
      </c>
      <c r="ED58" s="22">
        <f>ED50+ED52+ED53</f>
        <v>64690.216279999993</v>
      </c>
      <c r="EE58" s="237"/>
    </row>
    <row r="59" spans="1:232" ht="17.399999999999999" thickBot="1" x14ac:dyDescent="0.5">
      <c r="A59" s="981"/>
      <c r="B59" s="159" t="s">
        <v>755</v>
      </c>
      <c r="C59" s="160">
        <v>43645</v>
      </c>
      <c r="D59" s="161">
        <v>44328</v>
      </c>
      <c r="E59" s="162">
        <v>46087</v>
      </c>
      <c r="F59" s="163">
        <v>134060</v>
      </c>
      <c r="G59" s="200">
        <v>1337273.8695236738</v>
      </c>
      <c r="H59" s="984"/>
      <c r="I59" s="180">
        <v>-4.2053510677992144E-2</v>
      </c>
      <c r="J59" s="181">
        <v>-9.5845958781939702E-3</v>
      </c>
      <c r="K59" s="182">
        <v>-4.0983196102697628E-2</v>
      </c>
      <c r="L59" s="183">
        <v>-4.0983196102697628E-2</v>
      </c>
      <c r="M59" s="292">
        <v>1.9556291965288519E-2</v>
      </c>
      <c r="N59" s="870"/>
      <c r="O59" s="206"/>
      <c r="P59" s="206"/>
      <c r="Q59" s="206"/>
      <c r="AK59" s="701" t="s">
        <v>285</v>
      </c>
      <c r="AL59" s="695">
        <v>17886</v>
      </c>
      <c r="AP59" s="747" t="s">
        <v>709</v>
      </c>
      <c r="AQ59" s="735">
        <f t="shared" si="298"/>
        <v>0</v>
      </c>
      <c r="AR59" s="740"/>
      <c r="AS59" s="774" t="e">
        <f t="shared" si="299"/>
        <v>#DIV/0!</v>
      </c>
      <c r="AT59" s="740">
        <v>17.2</v>
      </c>
      <c r="AU59" s="738">
        <v>13309</v>
      </c>
      <c r="AV59" s="237"/>
      <c r="AW59" s="95">
        <f t="shared" si="248"/>
        <v>0</v>
      </c>
      <c r="AX59" s="621"/>
      <c r="AY59">
        <f t="shared" si="254"/>
        <v>0</v>
      </c>
      <c r="BA59" s="863">
        <f t="shared" si="249"/>
        <v>0</v>
      </c>
      <c r="BB59" s="863">
        <f t="shared" ref="BB59:BB62" si="302">AY59/$AY$80</f>
        <v>0</v>
      </c>
      <c r="BC59" s="863"/>
      <c r="BE59" t="s">
        <v>723</v>
      </c>
      <c r="BF59" s="101">
        <f>BB61</f>
        <v>5.7544421546094085E-2</v>
      </c>
      <c r="BG59" s="22">
        <f t="shared" si="295"/>
        <v>13.603771999999999</v>
      </c>
      <c r="BH59">
        <v>0</v>
      </c>
      <c r="BI59">
        <f t="shared" si="281"/>
        <v>0</v>
      </c>
      <c r="BK59">
        <f t="shared" si="282"/>
        <v>0</v>
      </c>
      <c r="BL59">
        <v>0</v>
      </c>
      <c r="BM59">
        <f t="shared" si="266"/>
        <v>0</v>
      </c>
      <c r="BN59" s="847">
        <f>$BG$81</f>
        <v>73.340256807427139</v>
      </c>
      <c r="BO59" s="852">
        <f>$BH$81/1000</f>
        <v>5.89588162119752E-3</v>
      </c>
      <c r="BP59" s="852">
        <f>$BI$81/1000</f>
        <v>5.9086290854477614E-4</v>
      </c>
      <c r="BQ59" s="22">
        <f t="shared" si="259"/>
        <v>0</v>
      </c>
      <c r="BR59" s="22">
        <f t="shared" si="260"/>
        <v>0</v>
      </c>
      <c r="BS59" s="22">
        <f t="shared" si="261"/>
        <v>0</v>
      </c>
      <c r="BT59" s="22">
        <f t="shared" si="262"/>
        <v>0</v>
      </c>
      <c r="BU59" s="437">
        <f t="shared" si="275"/>
        <v>0</v>
      </c>
      <c r="BV59">
        <v>2.34</v>
      </c>
      <c r="BW59">
        <f t="shared" si="276"/>
        <v>0</v>
      </c>
      <c r="BX59" s="237">
        <f t="shared" si="267"/>
        <v>0</v>
      </c>
      <c r="BY59">
        <v>1.6</v>
      </c>
      <c r="BZ59" s="237">
        <f t="shared" si="279"/>
        <v>21.766035200000001</v>
      </c>
      <c r="CA59" s="237"/>
      <c r="CB59" s="237"/>
      <c r="CD59" s="437">
        <f>SUM(CD56:CD58)</f>
        <v>267348.79204361769</v>
      </c>
      <c r="CE59" s="437">
        <f>SUM(CE56:CE58)</f>
        <v>278355.24347448454</v>
      </c>
      <c r="CF59" s="437">
        <f>SUM(CF56:CF58)</f>
        <v>243788.12248692595</v>
      </c>
      <c r="CI59" s="701" t="s">
        <v>711</v>
      </c>
      <c r="CJ59" s="695">
        <v>31</v>
      </c>
      <c r="CN59" s="747" t="s">
        <v>709</v>
      </c>
      <c r="CO59" s="735">
        <f t="shared" si="300"/>
        <v>0</v>
      </c>
      <c r="CP59" s="740"/>
      <c r="CQ59" s="774" t="e">
        <f t="shared" si="301"/>
        <v>#DIV/0!</v>
      </c>
      <c r="CR59" s="740">
        <v>17.2</v>
      </c>
      <c r="CS59" s="738">
        <v>18942</v>
      </c>
      <c r="CT59" s="237"/>
      <c r="CU59" s="95">
        <f t="shared" si="252"/>
        <v>0</v>
      </c>
      <c r="CV59" s="621"/>
      <c r="CW59">
        <f t="shared" si="255"/>
        <v>0</v>
      </c>
      <c r="CY59" s="95">
        <f t="shared" si="256"/>
        <v>0</v>
      </c>
      <c r="CZ59" s="95">
        <f t="shared" ref="CZ59:CZ64" si="303">CW59/$CW$80</f>
        <v>0</v>
      </c>
      <c r="DA59" s="95"/>
      <c r="DC59" t="s">
        <v>723</v>
      </c>
      <c r="DD59" s="101">
        <f>CZ61</f>
        <v>4.8147579270337422E-2</v>
      </c>
      <c r="DE59" s="22">
        <f t="shared" si="296"/>
        <v>11.13936</v>
      </c>
      <c r="DF59">
        <v>0</v>
      </c>
      <c r="DG59">
        <f t="shared" si="283"/>
        <v>0</v>
      </c>
      <c r="DI59">
        <f t="shared" si="284"/>
        <v>0</v>
      </c>
      <c r="DJ59">
        <v>0</v>
      </c>
      <c r="DK59">
        <f t="shared" ref="DK59:DK73" si="304">DJ59*DI59</f>
        <v>0</v>
      </c>
      <c r="DL59" s="847">
        <v>73.231096434849775</v>
      </c>
      <c r="DM59" s="852">
        <v>4.5695578598240177E-3</v>
      </c>
      <c r="DN59" s="852">
        <v>4.4568227585513781E-4</v>
      </c>
      <c r="DO59" s="22">
        <f t="shared" si="265"/>
        <v>0</v>
      </c>
      <c r="DP59" s="22">
        <f t="shared" ref="DP59:DP73" si="305">$DO59*DL59</f>
        <v>0</v>
      </c>
      <c r="DQ59" s="22">
        <f t="shared" ref="DQ59:DQ73" si="306">$DO59*DM59</f>
        <v>0</v>
      </c>
      <c r="DR59" s="22">
        <f t="shared" ref="DR59:DR73" si="307">$DO59*DN59</f>
        <v>0</v>
      </c>
      <c r="DS59" s="437">
        <f t="shared" si="272"/>
        <v>0</v>
      </c>
      <c r="DT59">
        <v>2.34</v>
      </c>
      <c r="DU59">
        <f t="shared" ref="DU59:DU73" si="308">DT59*DG59*DE59*1000000</f>
        <v>0</v>
      </c>
      <c r="DV59" s="237">
        <f t="shared" ref="DV59:DV73" si="309">DU59/1000</f>
        <v>0</v>
      </c>
      <c r="DW59">
        <v>1.6</v>
      </c>
      <c r="DX59" s="237">
        <f t="shared" ref="DX59:DX73" si="310">DW59/10^6*DE59*10^6</f>
        <v>17.822976000000004</v>
      </c>
      <c r="DY59" s="237"/>
      <c r="DZ59" s="237"/>
      <c r="EB59" s="437">
        <f>SUM(EB56:EB58)</f>
        <v>275111.76781046018</v>
      </c>
      <c r="EC59" s="437">
        <f>SUM(EC56:EC58)</f>
        <v>284574.38384943677</v>
      </c>
      <c r="ED59" s="437">
        <f>SUM(ED56:ED58)</f>
        <v>248686.75115474121</v>
      </c>
      <c r="EE59" s="237"/>
    </row>
    <row r="60" spans="1:232" ht="26.25" customHeight="1" thickBot="1" x14ac:dyDescent="0.5">
      <c r="A60" s="981"/>
      <c r="B60" s="159" t="s">
        <v>756</v>
      </c>
      <c r="C60" s="160">
        <v>42610</v>
      </c>
      <c r="D60" s="161">
        <v>43068</v>
      </c>
      <c r="E60" s="162">
        <v>44500</v>
      </c>
      <c r="F60" s="163">
        <v>130178</v>
      </c>
      <c r="G60" s="200">
        <v>1467451.8695236738</v>
      </c>
      <c r="H60" s="984"/>
      <c r="I60" s="180">
        <v>-6.5283200982757861E-2</v>
      </c>
      <c r="J60" s="181">
        <v>-2.3266022827041263E-2</v>
      </c>
      <c r="K60" s="182">
        <v>-6.7572987995301315E-2</v>
      </c>
      <c r="L60" s="183">
        <v>-6.7572987995301315E-2</v>
      </c>
      <c r="M60" s="292">
        <v>1.1174265725089949E-2</v>
      </c>
      <c r="N60" s="870"/>
      <c r="O60" s="206"/>
      <c r="P60" s="206"/>
      <c r="Q60" s="206"/>
      <c r="AK60" s="701" t="s">
        <v>738</v>
      </c>
      <c r="AL60">
        <v>15</v>
      </c>
      <c r="AP60" s="747" t="s">
        <v>711</v>
      </c>
      <c r="AQ60" s="735">
        <f t="shared" si="298"/>
        <v>47</v>
      </c>
      <c r="AR60" s="740"/>
      <c r="AS60" s="774">
        <f t="shared" si="299"/>
        <v>0</v>
      </c>
      <c r="AT60" s="740">
        <v>17.2</v>
      </c>
      <c r="AU60" s="738">
        <v>55708</v>
      </c>
      <c r="AV60" s="237"/>
      <c r="AW60" s="95">
        <f t="shared" si="248"/>
        <v>4.736088998166025E-4</v>
      </c>
      <c r="AX60" s="621"/>
      <c r="AY60">
        <f t="shared" si="254"/>
        <v>2.6182759999999998</v>
      </c>
      <c r="BA60" s="864">
        <f t="shared" si="249"/>
        <v>1.6550936894936953E-3</v>
      </c>
      <c r="BB60" s="863">
        <f t="shared" si="302"/>
        <v>1.1075397166904961E-2</v>
      </c>
      <c r="BC60" s="864"/>
      <c r="BE60" s="16" t="s">
        <v>727</v>
      </c>
      <c r="BF60" s="101">
        <f>BB75*AQ91/(AQ91+AQ92)</f>
        <v>8.1923124323197017E-4</v>
      </c>
      <c r="BG60" s="22">
        <f t="shared" si="295"/>
        <v>0.19367012038303694</v>
      </c>
      <c r="BH60">
        <v>0</v>
      </c>
      <c r="BI60">
        <f t="shared" si="281"/>
        <v>0</v>
      </c>
      <c r="BJ60">
        <v>0</v>
      </c>
      <c r="BK60">
        <f t="shared" si="282"/>
        <v>0</v>
      </c>
      <c r="BL60">
        <v>0</v>
      </c>
      <c r="BM60">
        <f t="shared" si="266"/>
        <v>0</v>
      </c>
      <c r="BN60" s="847">
        <f>$BG$81</f>
        <v>73.340256807427139</v>
      </c>
      <c r="BO60" s="852">
        <f>$BH$81/1000</f>
        <v>5.89588162119752E-3</v>
      </c>
      <c r="BP60" s="852">
        <f>$BI$81/1000</f>
        <v>5.9086290854477614E-4</v>
      </c>
      <c r="BQ60" s="22">
        <f t="shared" si="259"/>
        <v>0</v>
      </c>
      <c r="BR60" s="22">
        <f t="shared" si="260"/>
        <v>0</v>
      </c>
      <c r="BS60" s="22">
        <f t="shared" si="261"/>
        <v>0</v>
      </c>
      <c r="BT60" s="22">
        <f t="shared" si="262"/>
        <v>0</v>
      </c>
      <c r="BU60" s="437">
        <f t="shared" si="275"/>
        <v>0</v>
      </c>
      <c r="BV60" s="16">
        <v>2.34</v>
      </c>
      <c r="BW60" s="16">
        <f t="shared" si="276"/>
        <v>0</v>
      </c>
      <c r="BX60" s="16">
        <f t="shared" si="267"/>
        <v>0</v>
      </c>
      <c r="BY60" s="752">
        <v>2.6</v>
      </c>
      <c r="BZ60" s="16">
        <f t="shared" si="279"/>
        <v>0.50354231299589602</v>
      </c>
      <c r="CA60" s="237"/>
      <c r="CB60" s="237"/>
      <c r="CD60" s="96">
        <f>(CD56-EB56)/EB56</f>
        <v>-5.7834703951939181E-2</v>
      </c>
      <c r="CE60" s="96">
        <f t="shared" ref="CE60" si="311">(CE56-EC56)/EC56</f>
        <v>-3.9399063211183208E-2</v>
      </c>
      <c r="CF60" s="96">
        <f t="shared" ref="CF60" si="312">(CF56-ED56)/ED56</f>
        <v>-4.9070912223622955E-2</v>
      </c>
      <c r="CI60" s="701" t="s">
        <v>716</v>
      </c>
      <c r="CJ60" s="695">
        <v>690</v>
      </c>
      <c r="CN60" s="747" t="s">
        <v>711</v>
      </c>
      <c r="CO60" s="735">
        <f t="shared" si="300"/>
        <v>31</v>
      </c>
      <c r="CP60" s="740"/>
      <c r="CQ60" s="774">
        <f t="shared" si="301"/>
        <v>0</v>
      </c>
      <c r="CR60" s="740">
        <v>17.2</v>
      </c>
      <c r="CS60" s="738">
        <v>59444</v>
      </c>
      <c r="CT60" s="237"/>
      <c r="CU60" s="95">
        <f t="shared" si="252"/>
        <v>3.5396613343381407E-4</v>
      </c>
      <c r="CV60" s="621"/>
      <c r="CW60">
        <f t="shared" si="255"/>
        <v>1.8427640000000001</v>
      </c>
      <c r="CY60" s="95">
        <f t="shared" si="256"/>
        <v>1.3415997567239274E-3</v>
      </c>
      <c r="CZ60" s="95">
        <f t="shared" si="303"/>
        <v>7.9649661889483851E-3</v>
      </c>
      <c r="DA60" s="95"/>
      <c r="DC60" s="16" t="s">
        <v>727</v>
      </c>
      <c r="DD60" s="101">
        <f>CZ75*CO94/(CO94+CO95)</f>
        <v>1.0624369184140357E-3</v>
      </c>
      <c r="DE60" s="22">
        <f t="shared" si="296"/>
        <v>0.24580399452804375</v>
      </c>
      <c r="DF60">
        <v>0</v>
      </c>
      <c r="DG60">
        <f t="shared" ref="DG60:DG73" si="313">DF60/100</f>
        <v>0</v>
      </c>
      <c r="DH60">
        <v>0</v>
      </c>
      <c r="DI60">
        <f t="shared" ref="DI60:DI73" si="314">DH60*DG60</f>
        <v>0</v>
      </c>
      <c r="DJ60">
        <v>0</v>
      </c>
      <c r="DK60">
        <f t="shared" si="304"/>
        <v>0</v>
      </c>
      <c r="DL60" s="847">
        <v>73.231096434849775</v>
      </c>
      <c r="DM60" s="852">
        <v>4.5695578598240177E-3</v>
      </c>
      <c r="DN60" s="852">
        <v>4.4568227585513781E-4</v>
      </c>
      <c r="DO60" s="22">
        <f t="shared" si="265"/>
        <v>0</v>
      </c>
      <c r="DP60" s="22">
        <f t="shared" si="305"/>
        <v>0</v>
      </c>
      <c r="DQ60" s="22">
        <f t="shared" si="306"/>
        <v>0</v>
      </c>
      <c r="DR60" s="22">
        <f t="shared" si="307"/>
        <v>0</v>
      </c>
      <c r="DS60" s="437">
        <f t="shared" si="272"/>
        <v>0</v>
      </c>
      <c r="DT60" s="16">
        <v>2.34</v>
      </c>
      <c r="DU60" s="16">
        <f t="shared" si="308"/>
        <v>0</v>
      </c>
      <c r="DV60" s="16">
        <f t="shared" si="309"/>
        <v>0</v>
      </c>
      <c r="DW60" s="752">
        <v>2.6</v>
      </c>
      <c r="DX60" s="16">
        <f t="shared" si="310"/>
        <v>0.63909038577291377</v>
      </c>
      <c r="DY60" s="237"/>
      <c r="DZ60" s="237"/>
      <c r="EE60" s="237"/>
      <c r="EU60" s="95">
        <f>ES60/$CW$37</f>
        <v>0</v>
      </c>
      <c r="EV60" s="95"/>
      <c r="FR60"/>
      <c r="FU60"/>
      <c r="FW60"/>
      <c r="FX60"/>
      <c r="FY60"/>
      <c r="FZ60"/>
      <c r="GA60"/>
      <c r="GB60"/>
      <c r="GC60"/>
      <c r="GP60" s="85">
        <f>FK16+FK22+FK21+FK25+FK27</f>
        <v>557.3737894720058</v>
      </c>
      <c r="GQ60" s="85">
        <f>FL29+FL25</f>
        <v>42884.748386787549</v>
      </c>
      <c r="GR60" s="85"/>
      <c r="GS60" s="85">
        <f>FM29+FM25</f>
        <v>0.35206332113668426</v>
      </c>
      <c r="GT60" s="85">
        <f>FN29+FN25</f>
        <v>1.8139606661202663</v>
      </c>
      <c r="GU60" s="85">
        <f>FO29+FO25</f>
        <v>43375.305736301249</v>
      </c>
      <c r="GX60" s="237"/>
      <c r="GZ60" s="237"/>
      <c r="HA60" s="237"/>
      <c r="HB60" s="237"/>
      <c r="HJ60"/>
      <c r="HM60"/>
      <c r="HO60"/>
    </row>
    <row r="61" spans="1:232" ht="17.399999999999999" thickBot="1" x14ac:dyDescent="0.5">
      <c r="A61" s="982"/>
      <c r="B61" s="302" t="s">
        <v>758</v>
      </c>
      <c r="C61" s="168">
        <v>41091</v>
      </c>
      <c r="D61" s="169">
        <v>44677</v>
      </c>
      <c r="E61" s="170">
        <v>42705</v>
      </c>
      <c r="F61" s="204">
        <v>128473</v>
      </c>
      <c r="G61" s="200">
        <v>1595924.8695236738</v>
      </c>
      <c r="H61" s="984"/>
      <c r="I61" s="184">
        <v>-2.0476758045292014E-2</v>
      </c>
      <c r="J61" s="185">
        <v>1.3335548015091474E-2</v>
      </c>
      <c r="K61" s="186">
        <v>-1.8443390099857182E-2</v>
      </c>
      <c r="L61" s="187">
        <v>-1.8443390099857182E-2</v>
      </c>
      <c r="M61" s="295">
        <v>8.7240342085199707E-3</v>
      </c>
      <c r="N61" s="870"/>
      <c r="O61" s="206"/>
      <c r="P61" s="206"/>
      <c r="Q61" s="206"/>
      <c r="AK61" s="701" t="s">
        <v>711</v>
      </c>
      <c r="AL61" s="695">
        <v>47</v>
      </c>
      <c r="AP61" s="747" t="s">
        <v>716</v>
      </c>
      <c r="AQ61" s="735">
        <f t="shared" si="298"/>
        <v>988</v>
      </c>
      <c r="AR61" s="742"/>
      <c r="AS61" s="774">
        <f t="shared" si="299"/>
        <v>0</v>
      </c>
      <c r="AT61" s="740">
        <v>25.6</v>
      </c>
      <c r="AU61" s="738">
        <v>13769</v>
      </c>
      <c r="AV61" s="237"/>
      <c r="AW61" s="95">
        <f t="shared" si="248"/>
        <v>9.9558636812511342E-3</v>
      </c>
      <c r="AX61" s="621"/>
      <c r="AY61">
        <f>AQ61*AU61/1000000</f>
        <v>13.603771999999999</v>
      </c>
      <c r="BA61" s="865">
        <f t="shared" si="249"/>
        <v>8.5993673663551998E-3</v>
      </c>
      <c r="BB61" s="863">
        <f t="shared" si="302"/>
        <v>5.7544421546094085E-2</v>
      </c>
      <c r="BC61" s="865"/>
      <c r="BE61" t="s">
        <v>739</v>
      </c>
      <c r="BF61" s="101">
        <f>BB66</f>
        <v>1.339596857854417E-3</v>
      </c>
      <c r="BG61" s="22">
        <f t="shared" si="295"/>
        <v>0.316687</v>
      </c>
      <c r="BH61">
        <v>4</v>
      </c>
      <c r="BI61">
        <f t="shared" si="281"/>
        <v>0.04</v>
      </c>
      <c r="BJ61">
        <v>0.86499999999999999</v>
      </c>
      <c r="BK61">
        <f t="shared" si="282"/>
        <v>3.4599999999999999E-2</v>
      </c>
      <c r="BL61">
        <v>43</v>
      </c>
      <c r="BM61">
        <f t="shared" si="266"/>
        <v>1.4878</v>
      </c>
      <c r="BN61" s="847">
        <f>$BG$82</f>
        <v>73.961370985694614</v>
      </c>
      <c r="BO61" s="852">
        <f>$BH$82/1000</f>
        <v>1.2069660652303537E-3</v>
      </c>
      <c r="BP61" s="852">
        <f>$BI$82/1000</f>
        <v>2.7234591213219014E-3</v>
      </c>
      <c r="BQ61" s="22">
        <f t="shared" si="259"/>
        <v>0.47116691859999998</v>
      </c>
      <c r="BR61" s="22">
        <f t="shared" si="260"/>
        <v>34.848151262761178</v>
      </c>
      <c r="BS61" s="22">
        <f t="shared" si="261"/>
        <v>5.6868248180935233E-4</v>
      </c>
      <c r="BT61" s="22">
        <f t="shared" si="262"/>
        <v>1.2832038421263037E-3</v>
      </c>
      <c r="BU61" s="437">
        <f t="shared" si="275"/>
        <v>35.215412649619573</v>
      </c>
      <c r="BV61">
        <v>5.34</v>
      </c>
      <c r="BW61">
        <f t="shared" si="276"/>
        <v>67644.343200000003</v>
      </c>
      <c r="BX61" s="237">
        <f t="shared" si="267"/>
        <v>67.644343200000009</v>
      </c>
      <c r="BY61">
        <v>137</v>
      </c>
      <c r="BZ61" s="237">
        <f t="shared" si="279"/>
        <v>43.386119000000001</v>
      </c>
      <c r="CA61" s="237"/>
      <c r="CB61" s="237"/>
      <c r="CD61" s="96">
        <f t="shared" ref="CD61:CF63" si="315">(CD57-EB57)/EB57</f>
        <v>3.1038362846661396E-3</v>
      </c>
      <c r="CE61" s="96">
        <f t="shared" si="315"/>
        <v>-2.0924781190396948E-2</v>
      </c>
      <c r="CF61" s="96">
        <f t="shared" si="315"/>
        <v>-1.6292190764331645E-2</v>
      </c>
      <c r="CI61" s="701" t="s">
        <v>722</v>
      </c>
      <c r="CJ61" s="695">
        <v>13</v>
      </c>
      <c r="CN61" s="747" t="s">
        <v>716</v>
      </c>
      <c r="CO61" s="735">
        <f t="shared" si="300"/>
        <v>690</v>
      </c>
      <c r="CP61" s="742"/>
      <c r="CQ61" s="774">
        <f t="shared" si="301"/>
        <v>0</v>
      </c>
      <c r="CR61" s="740">
        <v>25.6</v>
      </c>
      <c r="CS61" s="738">
        <v>16144</v>
      </c>
      <c r="CT61" s="237"/>
      <c r="CU61" s="95">
        <f t="shared" si="252"/>
        <v>7.8786010344945711E-3</v>
      </c>
      <c r="CV61" s="621"/>
      <c r="CW61">
        <f>CO61*CS61/1000000</f>
        <v>11.13936</v>
      </c>
      <c r="CY61" s="95">
        <f>CW61/$CW$79</f>
        <v>8.1098625033158046E-3</v>
      </c>
      <c r="CZ61" s="95">
        <f t="shared" si="303"/>
        <v>4.8147579270337422E-2</v>
      </c>
      <c r="DA61" s="95"/>
      <c r="DC61" t="s">
        <v>739</v>
      </c>
      <c r="DD61" s="101">
        <f>CZ66</f>
        <v>1.6049193090112474E-3</v>
      </c>
      <c r="DE61" s="22">
        <f t="shared" si="296"/>
        <v>0.37131199999999998</v>
      </c>
      <c r="DF61">
        <v>4</v>
      </c>
      <c r="DG61">
        <f t="shared" si="313"/>
        <v>0.04</v>
      </c>
      <c r="DH61">
        <v>0.86499999999999999</v>
      </c>
      <c r="DI61">
        <f t="shared" si="314"/>
        <v>3.4599999999999999E-2</v>
      </c>
      <c r="DJ61">
        <v>43</v>
      </c>
      <c r="DK61">
        <f t="shared" si="304"/>
        <v>1.4878</v>
      </c>
      <c r="DL61" s="847">
        <v>73.883575529983716</v>
      </c>
      <c r="DM61" s="852">
        <v>1.1024651844300431E-4</v>
      </c>
      <c r="DN61" s="852">
        <v>2.53299651715476E-3</v>
      </c>
      <c r="DO61" s="22">
        <f t="shared" si="265"/>
        <v>0.55243799360000001</v>
      </c>
      <c r="DP61" s="22">
        <f t="shared" si="305"/>
        <v>40.816094225778258</v>
      </c>
      <c r="DQ61" s="22">
        <f t="shared" si="306"/>
        <v>6.0904365450038698E-5</v>
      </c>
      <c r="DR61" s="22">
        <f t="shared" si="307"/>
        <v>1.3993235137327636E-3</v>
      </c>
      <c r="DS61" s="437">
        <f t="shared" si="272"/>
        <v>41.199924495117713</v>
      </c>
      <c r="DT61">
        <v>5.34</v>
      </c>
      <c r="DU61">
        <f t="shared" si="308"/>
        <v>79312.243199999997</v>
      </c>
      <c r="DV61" s="237">
        <f t="shared" si="309"/>
        <v>79.312243199999998</v>
      </c>
      <c r="DW61">
        <v>137</v>
      </c>
      <c r="DX61" s="237">
        <f t="shared" si="310"/>
        <v>50.86974399999999</v>
      </c>
      <c r="DY61" s="237"/>
      <c r="DZ61" s="237"/>
      <c r="EB61" s="96">
        <f>(EB59-FZ80)/FZ80</f>
        <v>-2.4860666750811836E-2</v>
      </c>
      <c r="EC61" s="96">
        <f>(EC59-GA80)/GA80</f>
        <v>-9.3638434022160332E-3</v>
      </c>
      <c r="ED61" s="96">
        <f>(ED59-GB80)/GB80</f>
        <v>-3.9039600834169207E-2</v>
      </c>
      <c r="EE61" s="237"/>
      <c r="FR61"/>
      <c r="FU61"/>
      <c r="FW61"/>
      <c r="FX61"/>
      <c r="FY61"/>
      <c r="FZ61"/>
      <c r="GA61"/>
      <c r="GB61"/>
      <c r="GC61"/>
      <c r="GQ61" s="237"/>
      <c r="GR61" s="237"/>
      <c r="GU61" s="237"/>
      <c r="GW61" s="237"/>
      <c r="GX61" s="237"/>
      <c r="GY61" s="237"/>
      <c r="HJ61"/>
      <c r="HM61"/>
      <c r="HO61"/>
    </row>
    <row r="62" spans="1:232" ht="17.399999999999999" thickBot="1" x14ac:dyDescent="0.5">
      <c r="A62" s="296" t="s">
        <v>760</v>
      </c>
      <c r="B62" s="188"/>
      <c r="C62" s="174">
        <v>42138.462600146777</v>
      </c>
      <c r="D62" s="174">
        <v>45501.244565350084</v>
      </c>
      <c r="E62" s="174">
        <v>45354.031961475965</v>
      </c>
      <c r="F62" s="175">
        <v>132993.73912697283</v>
      </c>
      <c r="G62" s="175"/>
      <c r="H62" s="985"/>
      <c r="I62" s="189">
        <v>-1.9760298530088205E-2</v>
      </c>
      <c r="J62" s="189">
        <v>1.8596441278226683E-2</v>
      </c>
      <c r="K62" s="190">
        <v>2.6455729851725174E-2</v>
      </c>
      <c r="L62" s="191"/>
      <c r="M62" s="190">
        <v>8.7240342085199707E-3</v>
      </c>
      <c r="N62" s="891"/>
      <c r="O62" s="872"/>
      <c r="P62" s="872"/>
      <c r="Q62" s="872"/>
      <c r="S62" s="115">
        <v>2012</v>
      </c>
      <c r="AK62" s="701" t="s">
        <v>716</v>
      </c>
      <c r="AL62" s="695">
        <v>988</v>
      </c>
      <c r="AP62" s="747" t="s">
        <v>722</v>
      </c>
      <c r="AQ62" s="735">
        <f t="shared" si="298"/>
        <v>98</v>
      </c>
      <c r="AR62" s="740"/>
      <c r="AS62" s="774">
        <f t="shared" si="299"/>
        <v>0</v>
      </c>
      <c r="AT62" s="740">
        <v>7.2</v>
      </c>
      <c r="AU62" s="738">
        <v>16046</v>
      </c>
      <c r="AV62" s="237"/>
      <c r="AW62" s="95">
        <f t="shared" si="248"/>
        <v>9.8752494004312867E-4</v>
      </c>
      <c r="AX62" s="621"/>
      <c r="AY62">
        <f t="shared" ref="AY62:AY76" si="316">AQ62*AU62/1000000</f>
        <v>1.572508</v>
      </c>
      <c r="BA62" s="95">
        <f t="shared" si="249"/>
        <v>9.9403121270574672E-4</v>
      </c>
      <c r="BB62" s="863">
        <f t="shared" si="302"/>
        <v>6.6517627049766286E-3</v>
      </c>
      <c r="BC62" s="95"/>
      <c r="BE62" t="s">
        <v>751</v>
      </c>
      <c r="BF62" s="101">
        <f>BB69</f>
        <v>6.4067675810428645E-4</v>
      </c>
      <c r="BG62" s="22">
        <f t="shared" si="295"/>
        <v>0.15145900000000001</v>
      </c>
      <c r="BH62">
        <v>4</v>
      </c>
      <c r="BI62">
        <f t="shared" si="281"/>
        <v>0.04</v>
      </c>
      <c r="BJ62">
        <v>0.86499999999999999</v>
      </c>
      <c r="BK62">
        <f t="shared" si="282"/>
        <v>3.4599999999999999E-2</v>
      </c>
      <c r="BL62">
        <v>43</v>
      </c>
      <c r="BM62">
        <f t="shared" si="266"/>
        <v>1.4878</v>
      </c>
      <c r="BN62" s="847">
        <f>$BG$82</f>
        <v>73.961370985694614</v>
      </c>
      <c r="BO62" s="852">
        <f>$BH$82/1000</f>
        <v>1.2069660652303537E-3</v>
      </c>
      <c r="BP62" s="852">
        <f>$BI$82/1000</f>
        <v>2.7234591213219014E-3</v>
      </c>
      <c r="BQ62" s="22">
        <f t="shared" si="259"/>
        <v>0.22534070020000002</v>
      </c>
      <c r="BR62" s="22">
        <f t="shared" si="260"/>
        <v>16.666507125668389</v>
      </c>
      <c r="BS62" s="22">
        <f t="shared" si="261"/>
        <v>2.7197857825664681E-4</v>
      </c>
      <c r="BT62" s="22">
        <f t="shared" si="262"/>
        <v>6.1370618536475403E-4</v>
      </c>
      <c r="BU62" s="437">
        <f t="shared" si="275"/>
        <v>16.842153875905012</v>
      </c>
      <c r="BV62">
        <v>6.34</v>
      </c>
      <c r="BW62">
        <f t="shared" si="276"/>
        <v>38410.002400000005</v>
      </c>
      <c r="BX62" s="237">
        <f t="shared" si="267"/>
        <v>38.410002400000003</v>
      </c>
      <c r="BY62">
        <v>137</v>
      </c>
      <c r="BZ62" s="237">
        <f t="shared" si="279"/>
        <v>20.749883000000001</v>
      </c>
      <c r="CA62" s="237"/>
      <c r="CB62" s="237"/>
      <c r="CD62" s="96">
        <f t="shared" si="315"/>
        <v>3.2983139426499657E-2</v>
      </c>
      <c r="CE62" s="96">
        <f t="shared" si="315"/>
        <v>2.2781529039715306E-2</v>
      </c>
      <c r="CF62" s="96">
        <f t="shared" si="315"/>
        <v>5.0554329326165673E-2</v>
      </c>
      <c r="CI62" s="701" t="s">
        <v>726</v>
      </c>
      <c r="CJ62" s="695">
        <v>31</v>
      </c>
      <c r="CN62" s="747" t="s">
        <v>722</v>
      </c>
      <c r="CO62" s="735">
        <f t="shared" si="300"/>
        <v>13</v>
      </c>
      <c r="CP62" s="740"/>
      <c r="CQ62" s="774">
        <f t="shared" si="301"/>
        <v>0</v>
      </c>
      <c r="CR62" s="740">
        <v>7.2</v>
      </c>
      <c r="CS62" s="738">
        <v>14900</v>
      </c>
      <c r="CT62" s="237"/>
      <c r="CU62" s="95">
        <f t="shared" si="252"/>
        <v>1.4843741079482526E-4</v>
      </c>
      <c r="CV62" s="621"/>
      <c r="CW62">
        <f t="shared" si="255"/>
        <v>0.19370000000000001</v>
      </c>
      <c r="CY62" s="95">
        <f t="shared" si="256"/>
        <v>1.4102070198757124E-4</v>
      </c>
      <c r="CZ62" s="95">
        <f t="shared" si="303"/>
        <v>8.3722818049370513E-4</v>
      </c>
      <c r="DA62" s="95"/>
      <c r="DC62" t="s">
        <v>751</v>
      </c>
      <c r="DD62" s="101">
        <f>CZ69</f>
        <v>2.093373011753801E-4</v>
      </c>
      <c r="DE62" s="22">
        <f t="shared" si="296"/>
        <v>4.8432000000000003E-2</v>
      </c>
      <c r="DF62">
        <v>4</v>
      </c>
      <c r="DG62">
        <f t="shared" si="313"/>
        <v>0.04</v>
      </c>
      <c r="DH62">
        <v>0.86499999999999999</v>
      </c>
      <c r="DI62">
        <f t="shared" si="314"/>
        <v>3.4599999999999999E-2</v>
      </c>
      <c r="DJ62">
        <v>43</v>
      </c>
      <c r="DK62">
        <f t="shared" si="304"/>
        <v>1.4878</v>
      </c>
      <c r="DL62" s="847">
        <v>73.883575529983716</v>
      </c>
      <c r="DM62" s="852">
        <v>1.1024651844300431E-4</v>
      </c>
      <c r="DN62" s="852">
        <v>2.53299651715476E-3</v>
      </c>
      <c r="DO62" s="22">
        <f t="shared" si="265"/>
        <v>7.2057129600000006E-2</v>
      </c>
      <c r="DP62" s="22">
        <f t="shared" si="305"/>
        <v>5.3238383772754254</v>
      </c>
      <c r="DQ62" s="22">
        <f t="shared" si="306"/>
        <v>7.944047667396352E-6</v>
      </c>
      <c r="DR62" s="22">
        <f t="shared" si="307"/>
        <v>1.8252045831296918E-4</v>
      </c>
      <c r="DS62" s="437">
        <f t="shared" si="272"/>
        <v>5.3739031950153544</v>
      </c>
      <c r="DT62">
        <v>6.34</v>
      </c>
      <c r="DU62">
        <f t="shared" si="308"/>
        <v>12282.355200000002</v>
      </c>
      <c r="DV62" s="237">
        <f t="shared" si="309"/>
        <v>12.282355200000001</v>
      </c>
      <c r="DW62">
        <v>137</v>
      </c>
      <c r="DX62" s="237">
        <f t="shared" si="310"/>
        <v>6.6351839999999997</v>
      </c>
      <c r="DY62" s="237"/>
      <c r="DZ62" s="237"/>
      <c r="EE62" s="237"/>
      <c r="FR62"/>
      <c r="FU62"/>
      <c r="FW62"/>
      <c r="FX62"/>
      <c r="FY62"/>
      <c r="FZ62"/>
      <c r="GA62"/>
      <c r="GB62"/>
      <c r="GC62"/>
      <c r="HG62" t="s">
        <v>676</v>
      </c>
      <c r="HJ62"/>
      <c r="HK62">
        <v>29.8</v>
      </c>
      <c r="HL62">
        <v>273</v>
      </c>
      <c r="HO62"/>
      <c r="HP62" s="237"/>
      <c r="HQ62" t="s">
        <v>678</v>
      </c>
      <c r="HR62" s="237"/>
      <c r="HS62" s="237"/>
      <c r="HX62" s="237"/>
    </row>
    <row r="63" spans="1:232" ht="19.8" thickBot="1" x14ac:dyDescent="0.5">
      <c r="A63" s="986">
        <v>2009</v>
      </c>
      <c r="B63" s="303" t="s">
        <v>710</v>
      </c>
      <c r="C63" s="152">
        <v>40051</v>
      </c>
      <c r="D63" s="153">
        <v>41955</v>
      </c>
      <c r="E63" s="154">
        <v>42020</v>
      </c>
      <c r="F63" s="155">
        <v>124026</v>
      </c>
      <c r="G63" s="199">
        <v>124026</v>
      </c>
      <c r="H63" s="983" t="s">
        <v>776</v>
      </c>
      <c r="I63" s="304">
        <v>-4.8195061669716488E-2</v>
      </c>
      <c r="J63" s="305">
        <v>1.4045079395723732E-2</v>
      </c>
      <c r="K63" s="306">
        <v>-2.682725881752912E-2</v>
      </c>
      <c r="L63" s="179">
        <v>-2.682725881752912E-2</v>
      </c>
      <c r="M63" s="307">
        <v>-2.682725881752912E-2</v>
      </c>
      <c r="N63" s="870"/>
      <c r="O63" s="206"/>
      <c r="P63" s="206"/>
      <c r="Q63" s="206"/>
      <c r="S63" s="115">
        <v>2013</v>
      </c>
      <c r="V63">
        <f>1/W63</f>
        <v>0.88264369439344725</v>
      </c>
      <c r="W63">
        <f t="shared" ref="W63:W72" si="317">V18/Y18</f>
        <v>1.13296</v>
      </c>
      <c r="X63">
        <f t="shared" ref="X63:X72" si="318">X18/U18</f>
        <v>322.16494845360825</v>
      </c>
      <c r="Y63">
        <f>1/X63</f>
        <v>3.104E-3</v>
      </c>
      <c r="AH63" s="101"/>
      <c r="AK63" s="701" t="s">
        <v>722</v>
      </c>
      <c r="AL63" s="695">
        <v>98</v>
      </c>
      <c r="AP63" s="747" t="s">
        <v>726</v>
      </c>
      <c r="AQ63" s="735">
        <f t="shared" si="298"/>
        <v>38</v>
      </c>
      <c r="AR63" s="742"/>
      <c r="AS63" s="774">
        <f t="shared" si="299"/>
        <v>0</v>
      </c>
      <c r="AT63" s="740">
        <v>7.2</v>
      </c>
      <c r="AU63" s="738">
        <v>28209</v>
      </c>
      <c r="AV63" s="237"/>
      <c r="AW63" s="95">
        <f t="shared" si="248"/>
        <v>3.8291783389427436E-4</v>
      </c>
      <c r="AX63" s="621"/>
      <c r="AY63">
        <f t="shared" si="316"/>
        <v>1.071942</v>
      </c>
      <c r="BA63" s="95">
        <f t="shared" si="249"/>
        <v>6.7760787621444442E-4</v>
      </c>
      <c r="BB63" s="863">
        <f>AY63/$AY$80</f>
        <v>4.5343513784973158E-3</v>
      </c>
      <c r="BC63" s="95"/>
      <c r="BE63" t="s">
        <v>753</v>
      </c>
      <c r="BF63" s="101">
        <f>BB75*AQ92/(AQ91+AQ92)</f>
        <v>4.8303728964149183E-3</v>
      </c>
      <c r="BG63" s="22">
        <f t="shared" si="295"/>
        <v>1.1419228796169629</v>
      </c>
      <c r="BH63">
        <v>3</v>
      </c>
      <c r="BI63">
        <f t="shared" si="281"/>
        <v>0.03</v>
      </c>
      <c r="BJ63">
        <v>0.75</v>
      </c>
      <c r="BK63">
        <f t="shared" si="282"/>
        <v>2.2499999999999999E-2</v>
      </c>
      <c r="BL63">
        <v>44.3</v>
      </c>
      <c r="BM63">
        <f t="shared" si="266"/>
        <v>0.99674999999999991</v>
      </c>
      <c r="BN63" s="847">
        <f>$BG$81</f>
        <v>73.340256807427139</v>
      </c>
      <c r="BO63" s="852">
        <f>$BH$81/1000</f>
        <v>5.89588162119752E-3</v>
      </c>
      <c r="BP63" s="852">
        <f>$BI$81/1000</f>
        <v>5.9086290854477614E-4</v>
      </c>
      <c r="BQ63" s="22">
        <f t="shared" si="259"/>
        <v>1.1382116302582077</v>
      </c>
      <c r="BR63" s="22">
        <f t="shared" si="260"/>
        <v>83.476733264337255</v>
      </c>
      <c r="BS63" s="22">
        <f t="shared" si="261"/>
        <v>6.7107610318726339E-3</v>
      </c>
      <c r="BT63" s="22">
        <f t="shared" si="262"/>
        <v>6.7252703439385595E-4</v>
      </c>
      <c r="BU63" s="437">
        <f t="shared" si="275"/>
        <v>83.860313823476588</v>
      </c>
      <c r="BV63">
        <v>2.34</v>
      </c>
      <c r="BW63">
        <f t="shared" si="276"/>
        <v>80162.986149110802</v>
      </c>
      <c r="BX63" s="237">
        <f t="shared" si="267"/>
        <v>80.162986149110807</v>
      </c>
      <c r="BY63">
        <v>2</v>
      </c>
      <c r="BZ63" s="237">
        <f t="shared" si="279"/>
        <v>2.2838457592339259</v>
      </c>
      <c r="CA63" s="237"/>
      <c r="CB63" s="237"/>
      <c r="CC63" s="237"/>
      <c r="CD63" s="96">
        <f t="shared" si="315"/>
        <v>-2.821753438112045E-2</v>
      </c>
      <c r="CE63" s="96">
        <f t="shared" si="315"/>
        <v>-2.1854181992159438E-2</v>
      </c>
      <c r="CF63" s="96">
        <f t="shared" si="315"/>
        <v>-1.9697988111828192E-2</v>
      </c>
      <c r="CI63" s="697" t="s">
        <v>777</v>
      </c>
      <c r="CN63" s="747" t="s">
        <v>726</v>
      </c>
      <c r="CO63" s="735">
        <f t="shared" si="300"/>
        <v>31</v>
      </c>
      <c r="CP63" s="742"/>
      <c r="CQ63" s="774">
        <f t="shared" si="301"/>
        <v>0</v>
      </c>
      <c r="CR63" s="740">
        <v>7.2</v>
      </c>
      <c r="CS63" s="738">
        <v>28052</v>
      </c>
      <c r="CT63" s="237"/>
      <c r="CU63" s="95">
        <f t="shared" si="252"/>
        <v>3.5396613343381407E-4</v>
      </c>
      <c r="CV63" s="621"/>
      <c r="CW63">
        <f t="shared" si="255"/>
        <v>0.86961200000000005</v>
      </c>
      <c r="CY63" s="95">
        <f t="shared" si="256"/>
        <v>6.3310942022104185E-4</v>
      </c>
      <c r="CZ63" s="95">
        <f t="shared" si="303"/>
        <v>3.758717978809974E-3</v>
      </c>
      <c r="DA63" s="95"/>
      <c r="DC63" t="s">
        <v>753</v>
      </c>
      <c r="DD63" s="101">
        <f>CZ75*CO95/(CO94+CO95)</f>
        <v>6.2643686227242673E-3</v>
      </c>
      <c r="DE63" s="22">
        <f t="shared" si="296"/>
        <v>1.449316005471956</v>
      </c>
      <c r="DF63">
        <v>3</v>
      </c>
      <c r="DG63">
        <f t="shared" si="313"/>
        <v>0.03</v>
      </c>
      <c r="DH63">
        <v>0.75</v>
      </c>
      <c r="DI63">
        <f t="shared" si="314"/>
        <v>2.2499999999999999E-2</v>
      </c>
      <c r="DJ63">
        <v>44.3</v>
      </c>
      <c r="DK63">
        <f t="shared" si="304"/>
        <v>0.99674999999999991</v>
      </c>
      <c r="DL63" s="847">
        <v>73.231096434849775</v>
      </c>
      <c r="DM63" s="852">
        <v>4.5695578598240177E-3</v>
      </c>
      <c r="DN63" s="852">
        <v>4.4568227585513781E-4</v>
      </c>
      <c r="DO63" s="22">
        <f t="shared" si="265"/>
        <v>1.444605728454172</v>
      </c>
      <c r="DP63" s="22">
        <f t="shared" si="305"/>
        <v>105.79006141076388</v>
      </c>
      <c r="DQ63" s="22">
        <f t="shared" si="306"/>
        <v>6.6012094608045623E-3</v>
      </c>
      <c r="DR63" s="22">
        <f t="shared" si="307"/>
        <v>6.4383516877082462E-4</v>
      </c>
      <c r="DS63" s="437">
        <f t="shared" si="272"/>
        <v>106.16254445377029</v>
      </c>
      <c r="DT63">
        <v>2.34</v>
      </c>
      <c r="DU63">
        <f t="shared" si="308"/>
        <v>101741.9835841313</v>
      </c>
      <c r="DV63" s="237">
        <f t="shared" si="309"/>
        <v>101.7419835841313</v>
      </c>
      <c r="DW63">
        <v>2</v>
      </c>
      <c r="DX63" s="237">
        <f t="shared" si="310"/>
        <v>2.8986320109439117</v>
      </c>
      <c r="DY63" s="237"/>
      <c r="DZ63" s="237"/>
      <c r="EA63" s="237"/>
      <c r="EB63" s="237"/>
      <c r="EC63" s="237"/>
      <c r="ED63" s="237"/>
      <c r="EE63" s="237"/>
      <c r="FQ63" s="237"/>
      <c r="FR63"/>
      <c r="FS63" s="237"/>
      <c r="FT63" s="237"/>
      <c r="FU63"/>
      <c r="FV63" s="237"/>
      <c r="FY63" s="436">
        <v>2023</v>
      </c>
      <c r="FZ63"/>
      <c r="GA63"/>
      <c r="GB63"/>
      <c r="GC63"/>
      <c r="GD63" s="654" t="s">
        <v>688</v>
      </c>
      <c r="GE63" s="655" t="s">
        <v>674</v>
      </c>
      <c r="GH63" s="635">
        <v>2022</v>
      </c>
      <c r="GI63" s="636" t="s">
        <v>664</v>
      </c>
      <c r="GJ63" s="636" t="s">
        <v>665</v>
      </c>
      <c r="GK63" s="636" t="s">
        <v>666</v>
      </c>
      <c r="GL63" s="636" t="s">
        <v>667</v>
      </c>
      <c r="GM63" s="637" t="s">
        <v>668</v>
      </c>
      <c r="GZ63" t="s">
        <v>689</v>
      </c>
      <c r="HA63" t="s">
        <v>690</v>
      </c>
      <c r="HB63" t="s">
        <v>691</v>
      </c>
      <c r="HC63" t="s">
        <v>692</v>
      </c>
      <c r="HD63" t="s">
        <v>693</v>
      </c>
      <c r="HE63" t="s">
        <v>694</v>
      </c>
      <c r="HF63" t="s">
        <v>695</v>
      </c>
      <c r="HG63" t="s">
        <v>696</v>
      </c>
      <c r="HH63" t="s">
        <v>697</v>
      </c>
      <c r="HI63" t="s">
        <v>426</v>
      </c>
      <c r="HJ63" t="s">
        <v>695</v>
      </c>
      <c r="HK63" t="s">
        <v>696</v>
      </c>
      <c r="HL63" t="s">
        <v>697</v>
      </c>
      <c r="HN63" t="s">
        <v>698</v>
      </c>
      <c r="HO63" t="s">
        <v>699</v>
      </c>
      <c r="HP63" s="237" t="s">
        <v>700</v>
      </c>
      <c r="HQ63" t="s">
        <v>701</v>
      </c>
      <c r="HR63" s="237" t="s">
        <v>702</v>
      </c>
      <c r="HS63" s="237"/>
      <c r="HT63" s="237" t="s">
        <v>680</v>
      </c>
      <c r="HU63" s="22">
        <f>IF($S$15=2012,VLOOKUP(GZ40,$S$18:$V$29,4),VLOOKUP(GZ40,$S$18:$AF$29,14))</f>
        <v>1083.755307454747</v>
      </c>
      <c r="HV63" s="16" t="s">
        <v>340</v>
      </c>
      <c r="HX63" s="237"/>
    </row>
    <row r="64" spans="1:232" ht="17.399999999999999" thickBot="1" x14ac:dyDescent="0.5">
      <c r="A64" s="981"/>
      <c r="B64" s="308" t="s">
        <v>715</v>
      </c>
      <c r="C64" s="160">
        <v>41468</v>
      </c>
      <c r="D64" s="161">
        <v>43176</v>
      </c>
      <c r="E64" s="162">
        <v>43833</v>
      </c>
      <c r="F64" s="163">
        <v>128477</v>
      </c>
      <c r="G64" s="200">
        <v>252503</v>
      </c>
      <c r="H64" s="984"/>
      <c r="I64" s="180">
        <v>-1.7602046859823268E-2</v>
      </c>
      <c r="J64" s="181">
        <v>5.4132165057228709E-3</v>
      </c>
      <c r="K64" s="182">
        <v>-2.315202019434015E-2</v>
      </c>
      <c r="L64" s="183">
        <v>-2.315202019434015E-2</v>
      </c>
      <c r="M64" s="292">
        <v>-2.4960709279560733E-2</v>
      </c>
      <c r="N64" s="870"/>
      <c r="O64" s="206"/>
      <c r="P64" s="206"/>
      <c r="Q64" s="206"/>
      <c r="S64" s="115">
        <v>2014</v>
      </c>
      <c r="V64">
        <f t="shared" ref="V64:V72" si="319">1/W64</f>
        <v>0.88264369439344714</v>
      </c>
      <c r="W64">
        <f t="shared" si="317"/>
        <v>1.1329600000000002</v>
      </c>
      <c r="X64">
        <f t="shared" si="318"/>
        <v>322.16494845360825</v>
      </c>
      <c r="Y64">
        <f t="shared" ref="Y64:Y72" si="320">1/X64</f>
        <v>3.104E-3</v>
      </c>
      <c r="AG64" s="101"/>
      <c r="AK64" s="701" t="s">
        <v>726</v>
      </c>
      <c r="AL64" s="695">
        <v>38</v>
      </c>
      <c r="AP64" s="968" t="s">
        <v>778</v>
      </c>
      <c r="AQ64" s="969"/>
      <c r="AR64" s="969"/>
      <c r="AS64" s="969"/>
      <c r="AT64" s="969"/>
      <c r="AU64" s="970"/>
      <c r="AV64" s="237"/>
      <c r="AW64" s="95">
        <f t="shared" si="248"/>
        <v>0</v>
      </c>
      <c r="AX64" s="621"/>
      <c r="AY64">
        <f t="shared" si="316"/>
        <v>0</v>
      </c>
      <c r="BA64" s="95">
        <f t="shared" si="249"/>
        <v>0</v>
      </c>
      <c r="BB64" s="95"/>
      <c r="BC64" s="95"/>
      <c r="BD64" t="s">
        <v>737</v>
      </c>
      <c r="BE64" t="s">
        <v>675</v>
      </c>
      <c r="BF64" s="101">
        <f>BB46</f>
        <v>0</v>
      </c>
      <c r="BG64" s="22">
        <f t="shared" si="295"/>
        <v>0</v>
      </c>
      <c r="BH64">
        <v>25</v>
      </c>
      <c r="BI64">
        <f t="shared" si="281"/>
        <v>0.25</v>
      </c>
      <c r="BJ64">
        <v>0.75</v>
      </c>
      <c r="BK64">
        <f t="shared" si="282"/>
        <v>0.1875</v>
      </c>
      <c r="BL64">
        <v>44.3</v>
      </c>
      <c r="BM64">
        <f t="shared" si="266"/>
        <v>8.3062499999999986</v>
      </c>
      <c r="BN64" s="847">
        <f>$BG$87</f>
        <v>73.400742475326624</v>
      </c>
      <c r="BO64" s="852">
        <f>$BH$87/1000</f>
        <v>1.5371001115904509E-2</v>
      </c>
      <c r="BP64" s="852">
        <f>$BI$87/1000</f>
        <v>8.2344648835202758E-4</v>
      </c>
      <c r="BQ64" s="22">
        <f t="shared" si="259"/>
        <v>0</v>
      </c>
      <c r="BR64" s="22">
        <f t="shared" si="260"/>
        <v>0</v>
      </c>
      <c r="BS64" s="22">
        <f t="shared" si="261"/>
        <v>0</v>
      </c>
      <c r="BT64" s="22">
        <f t="shared" si="262"/>
        <v>0</v>
      </c>
      <c r="BU64" s="437">
        <f t="shared" si="275"/>
        <v>0</v>
      </c>
      <c r="BV64">
        <v>2.34</v>
      </c>
      <c r="BW64">
        <f t="shared" si="276"/>
        <v>0</v>
      </c>
      <c r="BX64" s="237">
        <f t="shared" si="267"/>
        <v>0</v>
      </c>
      <c r="BY64">
        <v>600</v>
      </c>
      <c r="BZ64" s="237">
        <f t="shared" si="279"/>
        <v>0</v>
      </c>
      <c r="CA64" s="237"/>
      <c r="CB64" s="237"/>
      <c r="CC64" s="237"/>
      <c r="CD64" s="237"/>
      <c r="CE64" s="237"/>
      <c r="CF64" s="237"/>
      <c r="CI64" s="701" t="s">
        <v>285</v>
      </c>
      <c r="CN64" s="968" t="s">
        <v>778</v>
      </c>
      <c r="CO64" s="969"/>
      <c r="CP64" s="969"/>
      <c r="CQ64" s="969"/>
      <c r="CR64" s="969"/>
      <c r="CS64" s="970"/>
      <c r="CT64" s="237"/>
      <c r="CU64" s="95">
        <f t="shared" si="252"/>
        <v>0</v>
      </c>
      <c r="CV64" s="621"/>
      <c r="CW64">
        <f t="shared" si="255"/>
        <v>0</v>
      </c>
      <c r="CY64" s="95">
        <f t="shared" si="256"/>
        <v>0</v>
      </c>
      <c r="CZ64" s="95">
        <f t="shared" si="303"/>
        <v>0</v>
      </c>
      <c r="DA64" s="95"/>
      <c r="DB64" t="s">
        <v>737</v>
      </c>
      <c r="DC64" t="s">
        <v>675</v>
      </c>
      <c r="DD64" s="101">
        <f>CZ46</f>
        <v>0</v>
      </c>
      <c r="DE64" s="22">
        <f t="shared" si="296"/>
        <v>0</v>
      </c>
      <c r="DF64">
        <v>25</v>
      </c>
      <c r="DG64">
        <f t="shared" si="313"/>
        <v>0.25</v>
      </c>
      <c r="DH64">
        <v>0.75</v>
      </c>
      <c r="DI64">
        <f t="shared" si="314"/>
        <v>0.1875</v>
      </c>
      <c r="DJ64">
        <v>44.3</v>
      </c>
      <c r="DK64">
        <f t="shared" si="304"/>
        <v>8.3062499999999986</v>
      </c>
      <c r="DL64" s="847">
        <v>73.215246727304674</v>
      </c>
      <c r="DM64" s="852">
        <v>1.4913910218690771E-2</v>
      </c>
      <c r="DN64" s="852">
        <v>7.9895947600129157E-4</v>
      </c>
      <c r="DO64" s="22">
        <f t="shared" si="265"/>
        <v>0</v>
      </c>
      <c r="DP64" s="22">
        <f t="shared" si="305"/>
        <v>0</v>
      </c>
      <c r="DQ64" s="22">
        <f t="shared" si="306"/>
        <v>0</v>
      </c>
      <c r="DR64" s="22">
        <f t="shared" si="307"/>
        <v>0</v>
      </c>
      <c r="DS64" s="437">
        <f t="shared" si="272"/>
        <v>0</v>
      </c>
      <c r="DT64">
        <v>2.34</v>
      </c>
      <c r="DU64">
        <f t="shared" si="308"/>
        <v>0</v>
      </c>
      <c r="DV64" s="237">
        <f t="shared" si="309"/>
        <v>0</v>
      </c>
      <c r="DW64">
        <v>600</v>
      </c>
      <c r="DX64" s="237">
        <f t="shared" si="310"/>
        <v>0</v>
      </c>
      <c r="DY64" s="237"/>
      <c r="DZ64" s="237"/>
      <c r="EA64" s="237"/>
      <c r="EB64" s="237"/>
      <c r="EC64" s="237"/>
      <c r="ED64" s="237"/>
      <c r="EE64" s="237"/>
      <c r="EZ64">
        <f>FZ64</f>
        <v>224.02575999999999</v>
      </c>
      <c r="FA64" t="s">
        <v>340</v>
      </c>
      <c r="FK64" s="16" t="s">
        <v>676</v>
      </c>
      <c r="FO64">
        <v>29.8</v>
      </c>
      <c r="FP64">
        <v>273</v>
      </c>
      <c r="FQ64" s="237"/>
      <c r="FR64"/>
      <c r="FT64" s="237"/>
      <c r="FU64" t="s">
        <v>679</v>
      </c>
      <c r="FV64" s="114" t="s">
        <v>779</v>
      </c>
      <c r="FY64"/>
      <c r="FZ64">
        <f>EU97</f>
        <v>224.02575999999999</v>
      </c>
      <c r="GA64"/>
      <c r="GB64"/>
      <c r="GC64"/>
      <c r="GD64" s="656" t="s">
        <v>675</v>
      </c>
      <c r="GE64" s="657">
        <v>85128</v>
      </c>
      <c r="GH64" s="1054" t="s">
        <v>675</v>
      </c>
      <c r="GI64" s="1055"/>
      <c r="GJ64" s="1055"/>
      <c r="GK64" s="1055"/>
      <c r="GL64" s="1055"/>
      <c r="GM64" s="1056"/>
      <c r="HJ64"/>
      <c r="HM64" s="606"/>
      <c r="HO64"/>
      <c r="HP64" s="237"/>
      <c r="HR64" s="237"/>
      <c r="HS64" s="237"/>
      <c r="HX64" s="237"/>
    </row>
    <row r="65" spans="1:233" ht="17.399999999999999" thickBot="1" x14ac:dyDescent="0.5">
      <c r="A65" s="981"/>
      <c r="B65" s="308" t="s">
        <v>718</v>
      </c>
      <c r="C65" s="160">
        <v>42649</v>
      </c>
      <c r="D65" s="161">
        <v>43974</v>
      </c>
      <c r="E65" s="162">
        <v>45207</v>
      </c>
      <c r="F65" s="163">
        <v>131830</v>
      </c>
      <c r="G65" s="200">
        <v>384333</v>
      </c>
      <c r="H65" s="984"/>
      <c r="I65" s="180">
        <v>-5.4926819836138121E-3</v>
      </c>
      <c r="J65" s="181">
        <v>3.3279239331672421E-2</v>
      </c>
      <c r="K65" s="182">
        <v>2.0328641835818395E-3</v>
      </c>
      <c r="L65" s="183">
        <v>2.0328641835818395E-3</v>
      </c>
      <c r="M65" s="292">
        <v>-1.5867048172648834E-2</v>
      </c>
      <c r="N65" s="870"/>
      <c r="O65" s="206"/>
      <c r="P65" s="206"/>
      <c r="Q65" s="206"/>
      <c r="S65" s="115">
        <v>2015</v>
      </c>
      <c r="V65">
        <f t="shared" si="319"/>
        <v>0.88264369439344714</v>
      </c>
      <c r="W65">
        <f t="shared" si="317"/>
        <v>1.1329600000000002</v>
      </c>
      <c r="X65">
        <f t="shared" si="318"/>
        <v>322.16494845360819</v>
      </c>
      <c r="Y65">
        <f t="shared" si="320"/>
        <v>3.1040000000000004E-3</v>
      </c>
      <c r="AB65" s="101">
        <f>W16*X16</f>
        <v>3.104E-3</v>
      </c>
      <c r="AC65" s="101"/>
      <c r="AD65" s="101"/>
      <c r="AE65" s="101"/>
      <c r="AF65" s="101"/>
      <c r="AK65" s="697" t="s">
        <v>777</v>
      </c>
      <c r="AP65" s="746" t="s">
        <v>285</v>
      </c>
      <c r="AQ65" s="735">
        <f>_xlfn.XLOOKUP(AP65,$CI$25:$CI$26,$CJ$25:$CJ$26,0,0,1)</f>
        <v>7016</v>
      </c>
      <c r="AR65" s="736"/>
      <c r="AS65" s="774">
        <f>AR65/AQ65</f>
        <v>0</v>
      </c>
      <c r="AT65" s="740">
        <v>40</v>
      </c>
      <c r="AU65" s="738">
        <v>17315</v>
      </c>
      <c r="AV65" s="96"/>
      <c r="AW65" s="95">
        <f t="shared" si="248"/>
        <v>7.0698724279006031E-2</v>
      </c>
      <c r="AX65" s="621"/>
      <c r="AY65">
        <f t="shared" si="316"/>
        <v>121.48204</v>
      </c>
      <c r="BA65" s="862">
        <f t="shared" si="249"/>
        <v>7.6792575645508981E-2</v>
      </c>
      <c r="BB65" s="862">
        <f>AY65/$AY$81</f>
        <v>9.0284593992435561E-2</v>
      </c>
      <c r="BC65" s="862"/>
      <c r="BE65" t="s">
        <v>717</v>
      </c>
      <c r="BF65" s="101">
        <f>BB53</f>
        <v>0.14029554953231593</v>
      </c>
      <c r="BG65" s="22">
        <f t="shared" si="295"/>
        <v>33.166528</v>
      </c>
      <c r="BH65">
        <v>21.22</v>
      </c>
      <c r="BI65">
        <f t="shared" si="281"/>
        <v>0.2122</v>
      </c>
      <c r="BJ65">
        <v>0.86499999999999999</v>
      </c>
      <c r="BK65">
        <f t="shared" si="282"/>
        <v>0.18355299999999999</v>
      </c>
      <c r="BL65">
        <v>43</v>
      </c>
      <c r="BM65">
        <f t="shared" si="266"/>
        <v>7.892779</v>
      </c>
      <c r="BN65" s="847">
        <f>BG88</f>
        <v>73.961370985694629</v>
      </c>
      <c r="BO65" s="852">
        <f>BH88/1000</f>
        <v>5.7428954612108831E-4</v>
      </c>
      <c r="BP65" s="852">
        <f>BI88/1000</f>
        <v>1.0334791465818543E-2</v>
      </c>
      <c r="BQ65" s="22">
        <f t="shared" si="259"/>
        <v>261.77607570131198</v>
      </c>
      <c r="BR65" s="22">
        <f t="shared" si="260"/>
        <v>19361.317450124017</v>
      </c>
      <c r="BS65" s="22">
        <f t="shared" si="261"/>
        <v>0.15033526369986611</v>
      </c>
      <c r="BT65" s="22">
        <f t="shared" si="262"/>
        <v>2.7054011531133879</v>
      </c>
      <c r="BU65" s="437">
        <f t="shared" si="275"/>
        <v>20104.37195578223</v>
      </c>
      <c r="BV65">
        <v>2.72</v>
      </c>
      <c r="BW65">
        <f t="shared" si="276"/>
        <v>19143189.297152001</v>
      </c>
      <c r="BX65" s="237">
        <f t="shared" si="267"/>
        <v>19143.189297152003</v>
      </c>
      <c r="BY65">
        <v>766</v>
      </c>
      <c r="BZ65" s="237">
        <f t="shared" si="279"/>
        <v>25405.560448</v>
      </c>
      <c r="CA65" s="237"/>
      <c r="CB65" s="237"/>
      <c r="CC65" s="96"/>
      <c r="CD65" s="96"/>
      <c r="CE65" s="96"/>
      <c r="CF65" s="96"/>
      <c r="CI65" s="702" t="s">
        <v>3</v>
      </c>
      <c r="CJ65" s="699"/>
      <c r="CN65" s="746" t="s">
        <v>285</v>
      </c>
      <c r="CO65" s="735">
        <f>_xlfn.XLOOKUP(CN65,$CI$25:$CI$26,$CJ$25:$CJ$26,0,0,1)</f>
        <v>7016</v>
      </c>
      <c r="CP65" s="736"/>
      <c r="CQ65" s="774">
        <f>CP65/CO65</f>
        <v>0</v>
      </c>
      <c r="CR65" s="740">
        <v>40</v>
      </c>
      <c r="CS65" s="738">
        <v>14589</v>
      </c>
      <c r="CT65" s="96"/>
      <c r="CU65" s="95">
        <f t="shared" si="252"/>
        <v>8.0110528779730295E-2</v>
      </c>
      <c r="CV65" s="621"/>
      <c r="CW65">
        <f t="shared" si="255"/>
        <v>102.356424</v>
      </c>
      <c r="CY65" s="95">
        <f t="shared" si="256"/>
        <v>7.4519229558169767E-2</v>
      </c>
      <c r="CZ65" s="95">
        <f>CW65/$CW$81</f>
        <v>8.961351450669533E-2</v>
      </c>
      <c r="DA65" s="95"/>
      <c r="DC65" t="s">
        <v>717</v>
      </c>
      <c r="DD65" s="101">
        <f>CZ53</f>
        <v>0.14476177491198594</v>
      </c>
      <c r="DE65" s="22">
        <f t="shared" si="296"/>
        <v>33.491892</v>
      </c>
      <c r="DF65">
        <v>21.22</v>
      </c>
      <c r="DG65">
        <f t="shared" si="313"/>
        <v>0.2122</v>
      </c>
      <c r="DH65">
        <v>0.86499999999999999</v>
      </c>
      <c r="DI65">
        <f t="shared" si="314"/>
        <v>0.18355299999999999</v>
      </c>
      <c r="DJ65">
        <v>43</v>
      </c>
      <c r="DK65">
        <f t="shared" si="304"/>
        <v>7.892779</v>
      </c>
      <c r="DL65" s="847">
        <v>73.883575529983716</v>
      </c>
      <c r="DM65" s="852">
        <v>7.4992217114551842E-4</v>
      </c>
      <c r="DN65" s="852">
        <v>3.6876993771622073E-3</v>
      </c>
      <c r="DO65" s="22">
        <f t="shared" si="265"/>
        <v>264.34410184786799</v>
      </c>
      <c r="DP65" s="22">
        <f t="shared" si="305"/>
        <v>19530.687414782664</v>
      </c>
      <c r="DQ65" s="22">
        <f t="shared" si="306"/>
        <v>0.19823750278726521</v>
      </c>
      <c r="DR65" s="22">
        <f t="shared" si="307"/>
        <v>0.9748215797408859</v>
      </c>
      <c r="DS65" s="437">
        <f t="shared" si="272"/>
        <v>19802.721183634985</v>
      </c>
      <c r="DT65">
        <v>2.72</v>
      </c>
      <c r="DU65">
        <f t="shared" si="308"/>
        <v>19330984.192127999</v>
      </c>
      <c r="DV65" s="237">
        <f t="shared" si="309"/>
        <v>19330.984192127999</v>
      </c>
      <c r="DW65">
        <v>766</v>
      </c>
      <c r="DX65" s="237">
        <f t="shared" si="310"/>
        <v>25654.789271999998</v>
      </c>
      <c r="DY65" s="237"/>
      <c r="DZ65" s="237"/>
      <c r="EA65" s="96"/>
      <c r="EB65" s="96"/>
      <c r="EC65" s="96"/>
      <c r="ED65" s="96"/>
      <c r="EE65" s="96"/>
      <c r="EP65" s="456"/>
      <c r="EQ65" s="456"/>
      <c r="EZ65" s="22">
        <f>FZ65-FZ64</f>
        <v>1001.2139176840242</v>
      </c>
      <c r="FA65" t="s">
        <v>340</v>
      </c>
      <c r="FD65" t="s">
        <v>689</v>
      </c>
      <c r="FE65" t="s">
        <v>690</v>
      </c>
      <c r="FF65" t="s">
        <v>691</v>
      </c>
      <c r="FG65" t="s">
        <v>692</v>
      </c>
      <c r="FH65" t="s">
        <v>693</v>
      </c>
      <c r="FI65" t="s">
        <v>694</v>
      </c>
      <c r="FJ65" t="s">
        <v>695</v>
      </c>
      <c r="FK65" t="s">
        <v>696</v>
      </c>
      <c r="FL65" t="s">
        <v>697</v>
      </c>
      <c r="FM65" t="s">
        <v>426</v>
      </c>
      <c r="FN65" t="s">
        <v>695</v>
      </c>
      <c r="FO65" t="s">
        <v>696</v>
      </c>
      <c r="FP65" t="s">
        <v>697</v>
      </c>
      <c r="FQ65" s="237"/>
      <c r="FR65" t="s">
        <v>698</v>
      </c>
      <c r="FS65" t="s">
        <v>699</v>
      </c>
      <c r="FT65" s="237" t="s">
        <v>700</v>
      </c>
      <c r="FU65" t="s">
        <v>701</v>
      </c>
      <c r="FV65" s="237" t="s">
        <v>702</v>
      </c>
      <c r="FY65" s="237" t="s">
        <v>680</v>
      </c>
      <c r="FZ65" s="22">
        <f>IF($S$15=2012,VLOOKUP(FY63,$S$43:$V$57,4),VLOOKUP(FY63,$S$43:$AF$57,14))+FZ64</f>
        <v>1225.2396776840242</v>
      </c>
      <c r="GA65" s="16" t="s">
        <v>340</v>
      </c>
      <c r="GB65"/>
      <c r="GC65"/>
      <c r="GD65" s="658" t="s">
        <v>780</v>
      </c>
      <c r="GE65">
        <v>82073</v>
      </c>
      <c r="GF65">
        <f t="shared" ref="GF65:GF91" si="321">IFERROR(GI65*EQ68/1000000,0)</f>
        <v>902.556781</v>
      </c>
      <c r="GG65" s="95">
        <f t="shared" ref="GG65:GG91" si="322">GF65/$GF$95</f>
        <v>0.35231572613468148</v>
      </c>
      <c r="GH65" s="638" t="s">
        <v>285</v>
      </c>
      <c r="GI65" s="638">
        <v>82073</v>
      </c>
      <c r="GJ65" s="639">
        <v>49883</v>
      </c>
      <c r="GK65" s="638"/>
      <c r="GL65" s="638">
        <v>31.67</v>
      </c>
      <c r="GM65" s="640">
        <v>11558</v>
      </c>
      <c r="GO65" s="95">
        <f>GI65/$GI$92</f>
        <v>0.43897286137586511</v>
      </c>
      <c r="GP65" s="95">
        <f>GJ65/GJ86</f>
        <v>0.57402761795166857</v>
      </c>
      <c r="GS65" s="22">
        <f>GM65*GI65/1000000</f>
        <v>948.59973400000001</v>
      </c>
      <c r="GT65" s="95">
        <f>GS65/$GS$92</f>
        <v>0.36427303897984997</v>
      </c>
      <c r="GV65" t="s">
        <v>712</v>
      </c>
      <c r="GW65" t="s">
        <v>675</v>
      </c>
      <c r="GX65" s="101">
        <f>GT65</f>
        <v>0.36427303897984997</v>
      </c>
      <c r="GY65" s="22">
        <f t="shared" ref="GY65:GY82" si="323">GX65*$HU$63</f>
        <v>394.78283935708237</v>
      </c>
      <c r="GZ65">
        <v>8</v>
      </c>
      <c r="HA65">
        <f t="shared" ref="HA65:HA82" si="324">GZ65/100</f>
        <v>0.08</v>
      </c>
      <c r="HB65">
        <v>0.75</v>
      </c>
      <c r="HC65">
        <f t="shared" ref="HC65:HC82" si="325">HB65*HA65</f>
        <v>0.06</v>
      </c>
      <c r="HD65">
        <v>44.3</v>
      </c>
      <c r="HE65">
        <f t="shared" ref="HE65:HE82" si="326">HD65*HC65</f>
        <v>2.6579999999999999</v>
      </c>
      <c r="HF65">
        <v>70.9769741921898</v>
      </c>
      <c r="HG65">
        <v>7.3169105356480999E-3</v>
      </c>
      <c r="HH65">
        <v>6.0998104818480998E-4</v>
      </c>
      <c r="HI65" s="22">
        <f t="shared" ref="HI65:HI82" si="327">HE65*GY65</f>
        <v>1049.332787011125</v>
      </c>
      <c r="HJ65" s="22">
        <f t="shared" ref="HJ65:HJ82" si="328">$HI65*HF65</f>
        <v>74478.466142707213</v>
      </c>
      <c r="HK65" s="22">
        <f t="shared" ref="HK65:HK82" si="329">$HI65*HG65</f>
        <v>7.6778741246826838</v>
      </c>
      <c r="HL65" s="22">
        <f t="shared" ref="HL65:HL82" si="330">$HI65*HH65</f>
        <v>0.64007311331573402</v>
      </c>
      <c r="HM65" s="437">
        <f t="shared" ref="HM65:HM82" si="331">HJ65+HK65*$HK$62+HL65*$HL$62</f>
        <v>74882.006751557943</v>
      </c>
      <c r="HN65">
        <v>2.34</v>
      </c>
      <c r="HO65">
        <f t="shared" ref="HO65:HO82" si="332">HN65*HA65*GY65*1000000</f>
        <v>73903347.527645826</v>
      </c>
      <c r="HP65" s="237">
        <f t="shared" ref="HP65:HP82" si="333">HO65/1000</f>
        <v>73903.347527645819</v>
      </c>
      <c r="HQ65">
        <v>211</v>
      </c>
      <c r="HR65" s="237">
        <f t="shared" ref="HR65:HR82" si="334">HQ65/10^6*GY65*10^6</f>
        <v>83299.179104344381</v>
      </c>
      <c r="HS65" s="237"/>
      <c r="HU65" s="16" t="s">
        <v>342</v>
      </c>
      <c r="HV65" s="16" t="s">
        <v>713</v>
      </c>
      <c r="HW65" s="16" t="s">
        <v>714</v>
      </c>
      <c r="HX65" s="237"/>
    </row>
    <row r="66" spans="1:233" ht="17.399999999999999" thickBot="1" x14ac:dyDescent="0.5">
      <c r="A66" s="981"/>
      <c r="B66" s="308" t="s">
        <v>725</v>
      </c>
      <c r="C66" s="160">
        <v>40139</v>
      </c>
      <c r="D66" s="161">
        <v>43031</v>
      </c>
      <c r="E66" s="162">
        <v>44800</v>
      </c>
      <c r="F66" s="163">
        <v>127970</v>
      </c>
      <c r="G66" s="200">
        <v>512303</v>
      </c>
      <c r="H66" s="984"/>
      <c r="I66" s="180">
        <v>-0.11398803611239874</v>
      </c>
      <c r="J66" s="181">
        <v>-5.2493549342244407E-2</v>
      </c>
      <c r="K66" s="182">
        <v>-9.1212521482239017E-2</v>
      </c>
      <c r="L66" s="183">
        <v>-9.1212521482239017E-2</v>
      </c>
      <c r="M66" s="292">
        <v>-3.5834727190527604E-2</v>
      </c>
      <c r="N66" s="870"/>
      <c r="O66" s="206"/>
      <c r="P66" s="206"/>
      <c r="Q66" s="206"/>
      <c r="S66" s="115">
        <v>2016</v>
      </c>
      <c r="V66">
        <f t="shared" si="319"/>
        <v>0.88264369439344714</v>
      </c>
      <c r="W66">
        <f t="shared" si="317"/>
        <v>1.1329600000000002</v>
      </c>
      <c r="X66">
        <f t="shared" si="318"/>
        <v>322.16494845360825</v>
      </c>
      <c r="Y66">
        <f t="shared" si="320"/>
        <v>3.104E-3</v>
      </c>
      <c r="AK66" s="701" t="s">
        <v>285</v>
      </c>
      <c r="AL66" s="695"/>
      <c r="AP66" s="747" t="s">
        <v>716</v>
      </c>
      <c r="AQ66" s="735">
        <f>_xlfn.XLOOKUP(AP66,$CI$25:$CI$26,$CJ$25:$CJ$26,0,0,1)</f>
        <v>23</v>
      </c>
      <c r="AR66" s="742"/>
      <c r="AS66" s="774">
        <f>AR66/AQ66</f>
        <v>0</v>
      </c>
      <c r="AT66" s="740">
        <v>40</v>
      </c>
      <c r="AU66" s="738">
        <v>13769</v>
      </c>
      <c r="AW66" s="95">
        <f t="shared" si="248"/>
        <v>2.3176605735706081E-4</v>
      </c>
      <c r="AX66" s="96"/>
      <c r="AY66">
        <f t="shared" si="316"/>
        <v>0.316687</v>
      </c>
      <c r="AZ66">
        <f t="shared" ref="AZ66:AZ71" si="335">AQ79*365*AT79/1000000</f>
        <v>1253.2767019999999</v>
      </c>
      <c r="BA66" s="865">
        <f t="shared" si="249"/>
        <v>2.0018770184834978E-4</v>
      </c>
      <c r="BB66" s="863">
        <f>AY66/$AY$80</f>
        <v>1.339596857854417E-3</v>
      </c>
      <c r="BC66" s="865"/>
      <c r="BE66" t="s">
        <v>723</v>
      </c>
      <c r="BF66" s="101">
        <f>BB60</f>
        <v>1.1075397166904961E-2</v>
      </c>
      <c r="BG66" s="22">
        <f t="shared" si="295"/>
        <v>2.6182759999999998</v>
      </c>
      <c r="BH66">
        <v>0</v>
      </c>
      <c r="BI66">
        <f t="shared" si="281"/>
        <v>0</v>
      </c>
      <c r="BK66">
        <f t="shared" si="282"/>
        <v>0</v>
      </c>
      <c r="BL66">
        <v>0</v>
      </c>
      <c r="BM66">
        <f t="shared" si="266"/>
        <v>0</v>
      </c>
      <c r="BN66" s="847">
        <f>$BG$87</f>
        <v>73.400742475326624</v>
      </c>
      <c r="BO66" s="852">
        <f>$BH$87/1000</f>
        <v>1.5371001115904509E-2</v>
      </c>
      <c r="BP66" s="852">
        <f>$BI$87/1000</f>
        <v>8.2344648835202758E-4</v>
      </c>
      <c r="BQ66" s="22">
        <f t="shared" si="259"/>
        <v>0</v>
      </c>
      <c r="BR66" s="22">
        <f t="shared" si="260"/>
        <v>0</v>
      </c>
      <c r="BS66" s="22">
        <f t="shared" si="261"/>
        <v>0</v>
      </c>
      <c r="BT66" s="22">
        <f t="shared" si="262"/>
        <v>0</v>
      </c>
      <c r="BU66" s="437">
        <f t="shared" si="275"/>
        <v>0</v>
      </c>
      <c r="BV66">
        <v>2.34</v>
      </c>
      <c r="BW66">
        <f t="shared" si="276"/>
        <v>0</v>
      </c>
      <c r="BX66" s="237">
        <f t="shared" si="267"/>
        <v>0</v>
      </c>
      <c r="BY66">
        <v>1.6</v>
      </c>
      <c r="BZ66" s="237">
        <f t="shared" si="279"/>
        <v>4.1892415999999999</v>
      </c>
      <c r="CA66" s="237"/>
      <c r="CB66" s="237"/>
      <c r="CJ66">
        <f>SUMIF(CI10:CI64,$EL$90,CJ10:CJ64)</f>
        <v>87580</v>
      </c>
      <c r="CN66" s="747" t="s">
        <v>716</v>
      </c>
      <c r="CO66" s="735">
        <f>_xlfn.XLOOKUP(CN66,$CI$25:$CI$26,$CJ$25:$CJ$26,0,0,1)</f>
        <v>23</v>
      </c>
      <c r="CP66" s="742"/>
      <c r="CQ66" s="774">
        <f>CP66/CO66</f>
        <v>0</v>
      </c>
      <c r="CR66" s="740">
        <v>40</v>
      </c>
      <c r="CS66" s="738">
        <v>16144</v>
      </c>
      <c r="CU66" s="95">
        <f t="shared" si="252"/>
        <v>2.6262003448315237E-4</v>
      </c>
      <c r="CV66" s="96"/>
      <c r="CW66">
        <f t="shared" si="255"/>
        <v>0.37131199999999998</v>
      </c>
      <c r="CX66">
        <f t="shared" ref="CX66:CX71" si="336">CO82*365*CR82/1000000</f>
        <v>1106.0351909999999</v>
      </c>
      <c r="CY66" s="95">
        <f t="shared" si="256"/>
        <v>2.7032875011052682E-4</v>
      </c>
      <c r="CZ66" s="95">
        <f t="shared" ref="CZ66:CZ67" si="337">CW66/$CW$80</f>
        <v>1.6049193090112474E-3</v>
      </c>
      <c r="DA66" s="95"/>
      <c r="DC66" t="s">
        <v>723</v>
      </c>
      <c r="DD66" s="101">
        <f>CZ60</f>
        <v>7.9649661889483851E-3</v>
      </c>
      <c r="DE66" s="22">
        <f t="shared" si="296"/>
        <v>1.8427640000000003</v>
      </c>
      <c r="DF66">
        <v>0</v>
      </c>
      <c r="DG66">
        <f t="shared" si="313"/>
        <v>0</v>
      </c>
      <c r="DI66">
        <f t="shared" si="314"/>
        <v>0</v>
      </c>
      <c r="DJ66">
        <v>0</v>
      </c>
      <c r="DK66">
        <f t="shared" si="304"/>
        <v>0</v>
      </c>
      <c r="DL66" s="847">
        <v>73.215246727304674</v>
      </c>
      <c r="DM66" s="852">
        <v>1.4913910218690771E-2</v>
      </c>
      <c r="DN66" s="852">
        <v>7.9895947600129157E-4</v>
      </c>
      <c r="DO66" s="22">
        <f t="shared" si="265"/>
        <v>0</v>
      </c>
      <c r="DP66" s="22">
        <f t="shared" si="305"/>
        <v>0</v>
      </c>
      <c r="DQ66" s="22">
        <f t="shared" si="306"/>
        <v>0</v>
      </c>
      <c r="DR66" s="22">
        <f t="shared" si="307"/>
        <v>0</v>
      </c>
      <c r="DS66" s="437">
        <f t="shared" si="272"/>
        <v>0</v>
      </c>
      <c r="DT66">
        <v>2.34</v>
      </c>
      <c r="DU66">
        <f t="shared" si="308"/>
        <v>0</v>
      </c>
      <c r="DV66" s="237">
        <f t="shared" si="309"/>
        <v>0</v>
      </c>
      <c r="DW66">
        <v>1.6</v>
      </c>
      <c r="DX66" s="237">
        <f t="shared" si="310"/>
        <v>2.948422400000001</v>
      </c>
      <c r="DY66" s="237"/>
      <c r="DZ66" s="237"/>
      <c r="EG66" s="16" t="s">
        <v>669</v>
      </c>
      <c r="EI66" t="s">
        <v>781</v>
      </c>
      <c r="EL66" s="977" t="s">
        <v>782</v>
      </c>
      <c r="EM66" s="977"/>
      <c r="EN66" s="456"/>
      <c r="EO66" s="456"/>
      <c r="EP66" s="685" t="s">
        <v>667</v>
      </c>
      <c r="EQ66" s="686" t="s">
        <v>668</v>
      </c>
      <c r="FQ66" s="606"/>
      <c r="FR66"/>
      <c r="FT66" s="237"/>
      <c r="FU66"/>
      <c r="FV66" s="237"/>
      <c r="FY66"/>
      <c r="FZ66"/>
      <c r="GA66"/>
      <c r="GB66"/>
      <c r="GC66"/>
      <c r="GD66" s="658" t="s">
        <v>709</v>
      </c>
      <c r="GE66">
        <v>47</v>
      </c>
      <c r="GF66">
        <f t="shared" si="321"/>
        <v>0.232039</v>
      </c>
      <c r="GG66" s="95">
        <f t="shared" si="322"/>
        <v>9.057711436834838E-5</v>
      </c>
      <c r="GH66" s="641" t="s">
        <v>709</v>
      </c>
      <c r="GI66" s="641">
        <v>47</v>
      </c>
      <c r="GJ66" s="641">
        <v>27</v>
      </c>
      <c r="GK66" s="641"/>
      <c r="GL66" s="641">
        <v>12.19</v>
      </c>
      <c r="GM66" s="642">
        <v>4451</v>
      </c>
      <c r="GO66" s="95">
        <f>GI66/$GI$92</f>
        <v>2.5138260432378077E-4</v>
      </c>
      <c r="GP66" s="95">
        <f>GJ66/GJ87</f>
        <v>7.5630252100840331E-2</v>
      </c>
      <c r="GS66" s="22">
        <f>GM66*GI66/1000000</f>
        <v>0.20919699999999999</v>
      </c>
      <c r="GT66" s="95">
        <f>GS66/$GS$92</f>
        <v>8.0334016766093336E-5</v>
      </c>
      <c r="GW66" t="s">
        <v>717</v>
      </c>
      <c r="GX66" s="101">
        <f>GT72</f>
        <v>0.27445750769342003</v>
      </c>
      <c r="GY66" s="22">
        <f t="shared" si="323"/>
        <v>297.44478063354603</v>
      </c>
      <c r="GZ66">
        <v>10.5</v>
      </c>
      <c r="HA66">
        <f t="shared" si="324"/>
        <v>0.105</v>
      </c>
      <c r="HB66">
        <v>0.86499999999999999</v>
      </c>
      <c r="HC66">
        <f t="shared" si="325"/>
        <v>9.0824999999999989E-2</v>
      </c>
      <c r="HD66">
        <v>43</v>
      </c>
      <c r="HE66">
        <f t="shared" si="326"/>
        <v>3.9054749999999996</v>
      </c>
      <c r="HF66">
        <v>74.054734089485606</v>
      </c>
      <c r="HG66">
        <v>1.1457692289250001E-4</v>
      </c>
      <c r="HH66">
        <v>2.5659043229536902E-3</v>
      </c>
      <c r="HI66" s="22">
        <f t="shared" si="327"/>
        <v>1161.6631546447982</v>
      </c>
      <c r="HJ66" s="22">
        <f t="shared" si="328"/>
        <v>86026.65601877353</v>
      </c>
      <c r="HK66" s="22">
        <f t="shared" si="329"/>
        <v>0.13309978969679534</v>
      </c>
      <c r="HL66" s="22">
        <f t="shared" si="330"/>
        <v>2.9807165103191089</v>
      </c>
      <c r="HM66" s="437">
        <f t="shared" si="331"/>
        <v>86844.357999823609</v>
      </c>
      <c r="HN66">
        <v>2.72</v>
      </c>
      <c r="HO66">
        <f t="shared" si="332"/>
        <v>84950229.348940745</v>
      </c>
      <c r="HP66" s="237">
        <f t="shared" si="333"/>
        <v>84950.229348940746</v>
      </c>
      <c r="HQ66">
        <v>187.9</v>
      </c>
      <c r="HR66" s="237">
        <f t="shared" si="334"/>
        <v>55889.874281043303</v>
      </c>
      <c r="HS66" s="237"/>
      <c r="HX66" s="237"/>
    </row>
    <row r="67" spans="1:233" ht="17.399999999999999" thickBot="1" x14ac:dyDescent="0.5">
      <c r="A67" s="981"/>
      <c r="B67" s="308" t="s">
        <v>730</v>
      </c>
      <c r="C67" s="160">
        <v>41143</v>
      </c>
      <c r="D67" s="161">
        <v>45166</v>
      </c>
      <c r="E67" s="162">
        <v>46849</v>
      </c>
      <c r="F67" s="163">
        <v>133158</v>
      </c>
      <c r="G67" s="200">
        <v>645461</v>
      </c>
      <c r="H67" s="984"/>
      <c r="I67" s="180">
        <v>-5.2004608294930872E-2</v>
      </c>
      <c r="J67" s="181">
        <v>-1.0246334558668187E-2</v>
      </c>
      <c r="K67" s="182">
        <v>-4.1216376179041503E-2</v>
      </c>
      <c r="L67" s="183">
        <v>-4.1216376179041503E-2</v>
      </c>
      <c r="M67" s="292">
        <v>-3.69498967334152E-2</v>
      </c>
      <c r="N67" s="870"/>
      <c r="O67" s="206"/>
      <c r="P67" s="206"/>
      <c r="Q67" s="206"/>
      <c r="S67" s="115">
        <v>2017</v>
      </c>
      <c r="V67">
        <f t="shared" si="319"/>
        <v>0.88264369439344714</v>
      </c>
      <c r="W67">
        <f t="shared" si="317"/>
        <v>1.1329600000000002</v>
      </c>
      <c r="X67">
        <f t="shared" si="318"/>
        <v>322.16494845360825</v>
      </c>
      <c r="Y67">
        <f t="shared" si="320"/>
        <v>3.104E-3</v>
      </c>
      <c r="AK67" s="702" t="s">
        <v>3</v>
      </c>
      <c r="AL67" s="699"/>
      <c r="AP67" s="968" t="s">
        <v>783</v>
      </c>
      <c r="AQ67" s="969"/>
      <c r="AR67" s="969"/>
      <c r="AS67" s="969"/>
      <c r="AT67" s="969"/>
      <c r="AU67" s="970"/>
      <c r="AW67" s="95">
        <f t="shared" si="248"/>
        <v>0</v>
      </c>
      <c r="AY67">
        <f t="shared" si="316"/>
        <v>0</v>
      </c>
      <c r="AZ67">
        <f t="shared" si="335"/>
        <v>2.8983555000000001</v>
      </c>
      <c r="BA67" s="95">
        <f t="shared" si="249"/>
        <v>0</v>
      </c>
      <c r="BB67" s="95"/>
      <c r="BC67" s="95"/>
      <c r="BE67" t="s">
        <v>727</v>
      </c>
      <c r="BF67" s="101">
        <f>BB74</f>
        <v>9.425869929280818E-4</v>
      </c>
      <c r="BG67" s="22">
        <f t="shared" si="295"/>
        <v>0.222832</v>
      </c>
      <c r="BH67">
        <v>0</v>
      </c>
      <c r="BI67">
        <f t="shared" si="281"/>
        <v>0</v>
      </c>
      <c r="BJ67">
        <v>0</v>
      </c>
      <c r="BK67">
        <f t="shared" si="282"/>
        <v>0</v>
      </c>
      <c r="BL67">
        <v>0</v>
      </c>
      <c r="BM67">
        <f t="shared" si="266"/>
        <v>0</v>
      </c>
      <c r="BN67" s="847">
        <f>$BG$87</f>
        <v>73.400742475326624</v>
      </c>
      <c r="BO67" s="852">
        <f>$BH$87/1000</f>
        <v>1.5371001115904509E-2</v>
      </c>
      <c r="BP67" s="852">
        <f>$BI$87/1000</f>
        <v>8.2344648835202758E-4</v>
      </c>
      <c r="BQ67" s="22">
        <f t="shared" si="259"/>
        <v>0</v>
      </c>
      <c r="BR67" s="22">
        <f t="shared" si="260"/>
        <v>0</v>
      </c>
      <c r="BS67" s="22">
        <f t="shared" si="261"/>
        <v>0</v>
      </c>
      <c r="BT67" s="22">
        <f t="shared" si="262"/>
        <v>0</v>
      </c>
      <c r="BU67" s="437">
        <f t="shared" si="275"/>
        <v>0</v>
      </c>
      <c r="BV67" s="16">
        <v>2.34</v>
      </c>
      <c r="BW67" s="16">
        <f t="shared" si="276"/>
        <v>0</v>
      </c>
      <c r="BX67" s="16">
        <f t="shared" si="267"/>
        <v>0</v>
      </c>
      <c r="BY67" s="752">
        <v>2.6</v>
      </c>
      <c r="BZ67" s="16">
        <f t="shared" si="279"/>
        <v>0.57936320000000008</v>
      </c>
      <c r="CJ67">
        <f>SUM(CJ11:CJ62)</f>
        <v>102124</v>
      </c>
      <c r="CN67" s="968" t="s">
        <v>783</v>
      </c>
      <c r="CO67" s="969"/>
      <c r="CP67" s="969"/>
      <c r="CQ67" s="969"/>
      <c r="CR67" s="969"/>
      <c r="CS67" s="970"/>
      <c r="CU67" s="95">
        <f t="shared" si="252"/>
        <v>0</v>
      </c>
      <c r="CW67">
        <f t="shared" si="255"/>
        <v>0</v>
      </c>
      <c r="CX67">
        <f t="shared" si="336"/>
        <v>2.9930729999999999</v>
      </c>
      <c r="CY67" s="95">
        <f t="shared" si="256"/>
        <v>0</v>
      </c>
      <c r="CZ67" s="95">
        <f t="shared" si="337"/>
        <v>0</v>
      </c>
      <c r="DA67" s="95"/>
      <c r="DC67" t="s">
        <v>727</v>
      </c>
      <c r="DD67" s="101">
        <f>CZ74</f>
        <v>1.0277375727675334E-3</v>
      </c>
      <c r="DE67" s="22">
        <f t="shared" si="296"/>
        <v>0.23777599999999999</v>
      </c>
      <c r="DF67">
        <v>0</v>
      </c>
      <c r="DG67">
        <f t="shared" si="313"/>
        <v>0</v>
      </c>
      <c r="DH67">
        <v>0</v>
      </c>
      <c r="DI67">
        <f t="shared" si="314"/>
        <v>0</v>
      </c>
      <c r="DJ67">
        <v>0</v>
      </c>
      <c r="DK67">
        <f t="shared" si="304"/>
        <v>0</v>
      </c>
      <c r="DL67" s="847">
        <v>73.215246727304674</v>
      </c>
      <c r="DM67" s="852">
        <v>1.4913910218690771E-2</v>
      </c>
      <c r="DN67" s="852">
        <v>7.9895947600129157E-4</v>
      </c>
      <c r="DO67" s="22">
        <f t="shared" si="265"/>
        <v>0</v>
      </c>
      <c r="DP67" s="22">
        <f t="shared" si="305"/>
        <v>0</v>
      </c>
      <c r="DQ67" s="22">
        <f t="shared" si="306"/>
        <v>0</v>
      </c>
      <c r="DR67" s="22">
        <f t="shared" si="307"/>
        <v>0</v>
      </c>
      <c r="DS67" s="437">
        <f t="shared" si="272"/>
        <v>0</v>
      </c>
      <c r="DT67" s="16">
        <v>2.34</v>
      </c>
      <c r="DU67" s="16">
        <f t="shared" si="308"/>
        <v>0</v>
      </c>
      <c r="DV67" s="16">
        <f t="shared" si="309"/>
        <v>0</v>
      </c>
      <c r="DW67" s="752">
        <v>2.6</v>
      </c>
      <c r="DX67" s="16">
        <f t="shared" si="310"/>
        <v>0.61821759999999992</v>
      </c>
      <c r="EH67" s="700" t="s">
        <v>674</v>
      </c>
      <c r="EL67" s="684">
        <v>2023</v>
      </c>
      <c r="EM67" s="685" t="s">
        <v>664</v>
      </c>
      <c r="EN67" s="685" t="s">
        <v>665</v>
      </c>
      <c r="EO67" s="685" t="s">
        <v>666</v>
      </c>
      <c r="EP67" s="760"/>
      <c r="EQ67" s="761"/>
      <c r="EZ67" t="s">
        <v>712</v>
      </c>
      <c r="FA67" t="s">
        <v>675</v>
      </c>
      <c r="FB67" s="101">
        <f>EW68</f>
        <v>0.36663941535928857</v>
      </c>
      <c r="FC67" s="22">
        <f t="shared" ref="FC67:FC74" si="338">FB67*$EZ$65</f>
        <v>367.0844854292535</v>
      </c>
      <c r="FD67">
        <v>8</v>
      </c>
      <c r="FE67">
        <f t="shared" ref="FE67:FE84" si="339">FD67/100</f>
        <v>0.08</v>
      </c>
      <c r="FF67">
        <v>0.75</v>
      </c>
      <c r="FG67">
        <f t="shared" ref="FG67:FG84" si="340">FF67*FE67</f>
        <v>0.06</v>
      </c>
      <c r="FH67">
        <v>44.3</v>
      </c>
      <c r="FI67">
        <f t="shared" ref="FI67:FI84" si="341">FH67*FG67</f>
        <v>2.6579999999999999</v>
      </c>
      <c r="FJ67" s="847">
        <v>73.231096434849775</v>
      </c>
      <c r="FK67" s="852">
        <v>4.5695578598240177E-3</v>
      </c>
      <c r="FL67" s="852">
        <v>4.4568227585513781E-4</v>
      </c>
      <c r="FM67" s="22">
        <f t="shared" ref="FM67:FM84" si="342">FI67*FC67</f>
        <v>975.71056227095573</v>
      </c>
      <c r="FN67" s="22">
        <f t="shared" ref="FN67:FN84" si="343">$FM67*FJ67</f>
        <v>71452.354278165862</v>
      </c>
      <c r="FO67" s="22">
        <f t="shared" ref="FO67:FO84" si="344">$FM67*FK67</f>
        <v>4.4585658687385576</v>
      </c>
      <c r="FP67" s="22">
        <f t="shared" ref="FP67:FP84" si="345">$FM67*FL67</f>
        <v>0.43485690396881571</v>
      </c>
      <c r="FQ67" s="437">
        <f>FN67+FO67*$FO$64+FP67*$FP$64</f>
        <v>71703.935475837759</v>
      </c>
      <c r="FR67">
        <v>2.34</v>
      </c>
      <c r="FS67">
        <f t="shared" ref="FS67:FS84" si="346">FR67*FE67*FC67*1000000</f>
        <v>68718215.672356248</v>
      </c>
      <c r="FT67" s="237">
        <f t="shared" ref="FT67:FT84" si="347">FS67/1000</f>
        <v>68718.215672356251</v>
      </c>
      <c r="FU67">
        <v>207</v>
      </c>
      <c r="FV67" s="237">
        <f t="shared" ref="FV67:FV84" si="348">FU67/10^6*FC67*10^6</f>
        <v>75986.488483855472</v>
      </c>
      <c r="FY67"/>
      <c r="FZ67" s="16" t="s">
        <v>342</v>
      </c>
      <c r="GA67" s="16" t="s">
        <v>784</v>
      </c>
      <c r="GB67" s="16" t="s">
        <v>785</v>
      </c>
      <c r="GC67"/>
      <c r="GD67" s="658" t="s">
        <v>786</v>
      </c>
      <c r="GE67">
        <v>2765</v>
      </c>
      <c r="GF67">
        <f t="shared" si="321"/>
        <v>0</v>
      </c>
      <c r="GG67" s="95">
        <f t="shared" si="322"/>
        <v>0</v>
      </c>
      <c r="GH67" s="643" t="s">
        <v>711</v>
      </c>
      <c r="GI67" s="643">
        <v>0</v>
      </c>
      <c r="GJ67" s="643">
        <v>1</v>
      </c>
      <c r="GK67" s="643"/>
      <c r="GL67" s="643" t="s">
        <v>409</v>
      </c>
      <c r="GM67" s="643" t="s">
        <v>409</v>
      </c>
      <c r="GO67" s="95">
        <f>GI67/$GI$92</f>
        <v>0</v>
      </c>
      <c r="GP67" s="95">
        <f>GJ67/GJ88</f>
        <v>1.6313213703099511E-3</v>
      </c>
      <c r="GS67" s="22"/>
      <c r="GT67" s="95"/>
      <c r="GW67" t="s">
        <v>723</v>
      </c>
      <c r="GX67" s="101">
        <f t="shared" ref="GX67:GX72" si="349">GT79</f>
        <v>6.6471155775341795E-2</v>
      </c>
      <c r="GY67" s="22">
        <f t="shared" si="323"/>
        <v>72.038467864177932</v>
      </c>
      <c r="GZ67">
        <v>0</v>
      </c>
      <c r="HA67">
        <f t="shared" si="324"/>
        <v>0</v>
      </c>
      <c r="HB67">
        <v>0</v>
      </c>
      <c r="HC67">
        <f t="shared" si="325"/>
        <v>0</v>
      </c>
      <c r="HD67">
        <v>0</v>
      </c>
      <c r="HE67">
        <f t="shared" si="326"/>
        <v>0</v>
      </c>
      <c r="HF67">
        <v>70.9769741921898</v>
      </c>
      <c r="HG67">
        <v>7.3169105356480999E-3</v>
      </c>
      <c r="HH67">
        <v>6.0998104818480998E-4</v>
      </c>
      <c r="HI67" s="22">
        <f t="shared" si="327"/>
        <v>0</v>
      </c>
      <c r="HJ67" s="22">
        <f t="shared" si="328"/>
        <v>0</v>
      </c>
      <c r="HK67" s="22">
        <f t="shared" si="329"/>
        <v>0</v>
      </c>
      <c r="HL67" s="22">
        <f t="shared" si="330"/>
        <v>0</v>
      </c>
      <c r="HM67" s="437">
        <f t="shared" si="331"/>
        <v>0</v>
      </c>
      <c r="HN67">
        <v>2.34</v>
      </c>
      <c r="HO67">
        <f t="shared" si="332"/>
        <v>0</v>
      </c>
      <c r="HP67" s="237">
        <f t="shared" si="333"/>
        <v>0</v>
      </c>
      <c r="HQ67">
        <v>0</v>
      </c>
      <c r="HR67" s="237">
        <f t="shared" si="334"/>
        <v>0</v>
      </c>
      <c r="HS67" s="237"/>
      <c r="HT67" t="s">
        <v>285</v>
      </c>
      <c r="HU67" s="22">
        <f>SUM(HM65:HM72)</f>
        <v>174864.49908137057</v>
      </c>
      <c r="HV67" s="22">
        <f>SUM(HP65:HP72)</f>
        <v>181042.73979258962</v>
      </c>
      <c r="HW67">
        <f>SUM(HR65:HR72)</f>
        <v>155463.02486083072</v>
      </c>
      <c r="HX67" s="237"/>
    </row>
    <row r="68" spans="1:233" ht="17.399999999999999" thickBot="1" x14ac:dyDescent="0.5">
      <c r="A68" s="981"/>
      <c r="B68" s="308" t="s">
        <v>735</v>
      </c>
      <c r="C68" s="160">
        <v>39338</v>
      </c>
      <c r="D68" s="161">
        <v>45356</v>
      </c>
      <c r="E68" s="162">
        <v>47542</v>
      </c>
      <c r="F68" s="163">
        <v>132236</v>
      </c>
      <c r="G68" s="200">
        <v>777697</v>
      </c>
      <c r="H68" s="984"/>
      <c r="I68" s="180">
        <v>-2.6335329934161676E-2</v>
      </c>
      <c r="J68" s="181">
        <v>1.0671768707482994E-2</v>
      </c>
      <c r="K68" s="182">
        <v>-5.8539920003616297E-3</v>
      </c>
      <c r="L68" s="183">
        <v>-5.8539920003616297E-3</v>
      </c>
      <c r="M68" s="292">
        <v>-3.1800490402125403E-2</v>
      </c>
      <c r="N68" s="870"/>
      <c r="O68" s="206"/>
      <c r="P68" s="206"/>
      <c r="Q68" s="206"/>
      <c r="S68" s="115">
        <v>2018</v>
      </c>
      <c r="V68">
        <f t="shared" si="319"/>
        <v>0.88264369439344725</v>
      </c>
      <c r="W68">
        <f t="shared" si="317"/>
        <v>1.13296</v>
      </c>
      <c r="X68">
        <f t="shared" si="318"/>
        <v>322.16494845360825</v>
      </c>
      <c r="Y68">
        <f t="shared" si="320"/>
        <v>3.104E-3</v>
      </c>
      <c r="AL68">
        <f>SUMIF(AK10:AK66,$AP$9,AL10:AL66)</f>
        <v>101580</v>
      </c>
      <c r="AP68" s="746" t="s">
        <v>285</v>
      </c>
      <c r="AQ68" s="735">
        <f>_xlfn.XLOOKUP(AP68,$AK$23:$AK$24,$AL$23:$AL$24,0,0,1)</f>
        <v>12190</v>
      </c>
      <c r="AR68" s="736"/>
      <c r="AS68" s="774">
        <f>AR68/AQ68</f>
        <v>0</v>
      </c>
      <c r="AT68" s="740">
        <v>48.2</v>
      </c>
      <c r="AU68" s="738">
        <v>19133</v>
      </c>
      <c r="AW68" s="95">
        <f t="shared" si="248"/>
        <v>0.12283601039924223</v>
      </c>
      <c r="AY68">
        <f t="shared" si="316"/>
        <v>233.23126999999999</v>
      </c>
      <c r="AZ68">
        <f t="shared" si="335"/>
        <v>37.934522999999999</v>
      </c>
      <c r="BA68" s="862">
        <f t="shared" si="249"/>
        <v>0.14743273939401355</v>
      </c>
      <c r="BB68" s="862">
        <f>AY68/$AY$81</f>
        <v>0.1733358323443541</v>
      </c>
      <c r="BC68" s="862"/>
      <c r="BD68" t="s">
        <v>722</v>
      </c>
      <c r="BE68" t="s">
        <v>675</v>
      </c>
      <c r="BF68" s="101">
        <f>BB48</f>
        <v>4.9227446636478805E-4</v>
      </c>
      <c r="BG68" s="22">
        <f t="shared" si="295"/>
        <v>0.11637600000000001</v>
      </c>
      <c r="BH68">
        <v>25</v>
      </c>
      <c r="BI68">
        <f t="shared" si="281"/>
        <v>0.25</v>
      </c>
      <c r="BJ68">
        <v>0.75</v>
      </c>
      <c r="BK68">
        <f t="shared" si="282"/>
        <v>0.1875</v>
      </c>
      <c r="BL68">
        <v>44.3</v>
      </c>
      <c r="BM68">
        <f t="shared" si="266"/>
        <v>8.3062499999999986</v>
      </c>
      <c r="BN68" s="847">
        <f>$BG$84</f>
        <v>73.383180836114732</v>
      </c>
      <c r="BO68" s="852">
        <f>$BH$84/1000</f>
        <v>2.8687686579828863E-3</v>
      </c>
      <c r="BP68" s="852">
        <f>$BI$84/1000</f>
        <v>7.9139790094892592E-4</v>
      </c>
      <c r="BQ68" s="22">
        <f t="shared" si="259"/>
        <v>0.96664814999999993</v>
      </c>
      <c r="BR68" s="22">
        <f t="shared" si="260"/>
        <v>70.935715996345749</v>
      </c>
      <c r="BS68" s="22">
        <f t="shared" si="261"/>
        <v>2.7730899160171396E-3</v>
      </c>
      <c r="BT68" s="22">
        <f t="shared" si="262"/>
        <v>7.6500331686616243E-4</v>
      </c>
      <c r="BU68" s="437">
        <f t="shared" si="275"/>
        <v>71.227199981347525</v>
      </c>
      <c r="BV68">
        <v>2.34</v>
      </c>
      <c r="BW68">
        <f t="shared" si="276"/>
        <v>68079.959999999992</v>
      </c>
      <c r="BX68" s="237">
        <f t="shared" si="267"/>
        <v>68.079959999999986</v>
      </c>
      <c r="BY68">
        <v>509</v>
      </c>
      <c r="BZ68" s="237">
        <f t="shared" si="279"/>
        <v>59.23538400000001</v>
      </c>
      <c r="CJ68">
        <f>CJ67-CJ16</f>
        <v>99219</v>
      </c>
      <c r="CN68" s="746" t="s">
        <v>285</v>
      </c>
      <c r="CO68" s="735">
        <f>_xlfn.XLOOKUP(CN68,$CI$22:$CI$23,$CJ$22:$CJ$23,0,0,1)</f>
        <v>9157</v>
      </c>
      <c r="CP68" s="736"/>
      <c r="CQ68" s="774">
        <f>CP68/CO68</f>
        <v>0</v>
      </c>
      <c r="CR68" s="740">
        <v>48.2</v>
      </c>
      <c r="CS68" s="738">
        <v>17580</v>
      </c>
      <c r="CU68" s="95">
        <f t="shared" si="252"/>
        <v>0.10455702851140114</v>
      </c>
      <c r="CW68">
        <f t="shared" si="255"/>
        <v>160.98006000000001</v>
      </c>
      <c r="CX68">
        <f t="shared" si="336"/>
        <v>34.961598000000002</v>
      </c>
      <c r="CY68" s="95">
        <f t="shared" si="256"/>
        <v>0.11719938599484428</v>
      </c>
      <c r="CZ68" s="95">
        <f>CW68/$CW$81</f>
        <v>0.14093877431765967</v>
      </c>
      <c r="DA68" s="95"/>
      <c r="DB68" t="s">
        <v>722</v>
      </c>
      <c r="DC68" t="s">
        <v>675</v>
      </c>
      <c r="DD68" s="101">
        <f>CZ48</f>
        <v>3.8502987257810662E-4</v>
      </c>
      <c r="DE68" s="22">
        <f t="shared" si="296"/>
        <v>8.9080000000000006E-2</v>
      </c>
      <c r="DF68">
        <v>25</v>
      </c>
      <c r="DG68">
        <f t="shared" si="313"/>
        <v>0.25</v>
      </c>
      <c r="DH68">
        <v>0.75</v>
      </c>
      <c r="DI68">
        <f t="shared" si="314"/>
        <v>0.1875</v>
      </c>
      <c r="DJ68">
        <v>44.3</v>
      </c>
      <c r="DK68">
        <f t="shared" si="304"/>
        <v>8.3062499999999986</v>
      </c>
      <c r="DL68" s="847">
        <v>73.253799173196242</v>
      </c>
      <c r="DM68" s="852">
        <v>2.9561710436280596E-3</v>
      </c>
      <c r="DN68" s="852">
        <v>7.4034896106309602E-4</v>
      </c>
      <c r="DO68" s="22">
        <f t="shared" si="265"/>
        <v>0.7399207499999999</v>
      </c>
      <c r="DP68" s="22">
        <f t="shared" si="305"/>
        <v>54.202006024580733</v>
      </c>
      <c r="DQ68" s="22">
        <f t="shared" si="306"/>
        <v>2.1873322957295565E-3</v>
      </c>
      <c r="DR68" s="22">
        <f t="shared" si="307"/>
        <v>5.4779955853152677E-4</v>
      </c>
      <c r="DS68" s="437">
        <f t="shared" si="272"/>
        <v>54.416737806472575</v>
      </c>
      <c r="DT68">
        <v>2.34</v>
      </c>
      <c r="DU68">
        <f t="shared" si="308"/>
        <v>52111.8</v>
      </c>
      <c r="DV68" s="237">
        <f t="shared" si="309"/>
        <v>52.111800000000002</v>
      </c>
      <c r="DW68">
        <v>509</v>
      </c>
      <c r="DX68" s="237">
        <f t="shared" si="310"/>
        <v>45.341720000000002</v>
      </c>
      <c r="EG68" s="696" t="s">
        <v>688</v>
      </c>
      <c r="EH68" s="698">
        <v>85128</v>
      </c>
      <c r="EL68" s="759" t="s">
        <v>675</v>
      </c>
      <c r="EM68" s="760"/>
      <c r="EN68" s="760"/>
      <c r="EO68" s="760"/>
      <c r="EP68" s="687">
        <v>30.13</v>
      </c>
      <c r="EQ68" s="689">
        <v>10997</v>
      </c>
      <c r="ES68" s="95">
        <f t="shared" ref="ES68:ET73" si="350">EM69/EM90</f>
        <v>0.42688470257891525</v>
      </c>
      <c r="ET68" s="95">
        <f t="shared" si="350"/>
        <v>0.55909722354374014</v>
      </c>
      <c r="EU68">
        <f t="shared" ref="EU68:EU94" si="351">IFERROR(EM69*EQ68/1000000,0)</f>
        <v>407.93371500000001</v>
      </c>
      <c r="EV68" s="95">
        <f t="shared" ref="EV68:EV94" si="352">EU68/$EU$95</f>
        <v>0.30518999358090132</v>
      </c>
      <c r="EW68" s="857">
        <f>EU68/$EU$89</f>
        <v>0.36663941535928857</v>
      </c>
      <c r="FA68" t="s">
        <v>717</v>
      </c>
      <c r="FB68" s="101">
        <f>EW75</f>
        <v>0.33131294592641941</v>
      </c>
      <c r="FC68" s="22">
        <f t="shared" si="338"/>
        <v>331.71513257042562</v>
      </c>
      <c r="FD68">
        <v>10.5</v>
      </c>
      <c r="FE68">
        <f t="shared" si="339"/>
        <v>0.105</v>
      </c>
      <c r="FF68">
        <v>0.86499999999999999</v>
      </c>
      <c r="FG68">
        <f t="shared" si="340"/>
        <v>9.0824999999999989E-2</v>
      </c>
      <c r="FH68">
        <v>43</v>
      </c>
      <c r="FI68">
        <f t="shared" si="341"/>
        <v>3.9054749999999996</v>
      </c>
      <c r="FJ68" s="847">
        <v>73.883575529983716</v>
      </c>
      <c r="FK68" s="852">
        <v>1.1024651844300431E-4</v>
      </c>
      <c r="FL68" s="852">
        <v>2.53299651715476E-3</v>
      </c>
      <c r="FM68" s="22">
        <f t="shared" si="342"/>
        <v>1295.5051573754829</v>
      </c>
      <c r="FN68" s="22">
        <f t="shared" si="343"/>
        <v>95716.553144434933</v>
      </c>
      <c r="FO68" s="22">
        <f t="shared" si="344"/>
        <v>0.14282493322560338</v>
      </c>
      <c r="FP68" s="22">
        <f t="shared" si="345"/>
        <v>3.2815100515881275</v>
      </c>
      <c r="FQ68" s="437">
        <f t="shared" ref="FQ68:FQ84" si="353">FN68+FO68*$FO$64+FP68*$FP$64</f>
        <v>96616.661571528617</v>
      </c>
      <c r="FR68">
        <v>2.72</v>
      </c>
      <c r="FS68">
        <f t="shared" si="346"/>
        <v>94737841.862113565</v>
      </c>
      <c r="FT68" s="237">
        <f t="shared" si="347"/>
        <v>94737.841862113564</v>
      </c>
      <c r="FU68">
        <v>188</v>
      </c>
      <c r="FV68" s="237">
        <f t="shared" si="348"/>
        <v>62362.444923240015</v>
      </c>
      <c r="FY68"/>
      <c r="FZ68" t="s">
        <v>787</v>
      </c>
      <c r="GA68"/>
      <c r="GB68"/>
      <c r="GC68"/>
      <c r="GD68" s="658" t="s">
        <v>722</v>
      </c>
      <c r="GE68">
        <v>240</v>
      </c>
      <c r="GF68">
        <f t="shared" si="321"/>
        <v>26.181785000000001</v>
      </c>
      <c r="GG68" s="95">
        <f t="shared" si="322"/>
        <v>1.0220137710955953E-2</v>
      </c>
      <c r="GH68" s="641" t="s">
        <v>716</v>
      </c>
      <c r="GI68" s="641">
        <v>2765</v>
      </c>
      <c r="GJ68" s="644">
        <v>1392</v>
      </c>
      <c r="GK68" s="641"/>
      <c r="GL68" s="641">
        <v>32.28</v>
      </c>
      <c r="GM68" s="642">
        <v>11782</v>
      </c>
      <c r="GO68" s="95">
        <f>GI68/$GI$92</f>
        <v>1.478878512670753E-2</v>
      </c>
      <c r="GP68" s="95">
        <f>GJ68/GJ89</f>
        <v>0.15591397849462366</v>
      </c>
      <c r="GS68" s="22">
        <f>GM68*GI68/1000000</f>
        <v>32.57723</v>
      </c>
      <c r="GT68" s="95">
        <f>GS68/$GS$92</f>
        <v>1.2510025196407591E-2</v>
      </c>
      <c r="GW68" t="s">
        <v>729</v>
      </c>
      <c r="GX68" s="101">
        <f t="shared" si="349"/>
        <v>3.4045610604671449E-2</v>
      </c>
      <c r="GY68" s="22">
        <f t="shared" si="323"/>
        <v>36.897111188350301</v>
      </c>
      <c r="GZ68">
        <v>4.5</v>
      </c>
      <c r="HA68">
        <f t="shared" si="324"/>
        <v>4.4999999999999998E-2</v>
      </c>
      <c r="HB68">
        <v>0.75</v>
      </c>
      <c r="HC68">
        <f t="shared" si="325"/>
        <v>3.3750000000000002E-2</v>
      </c>
      <c r="HD68">
        <v>44.3</v>
      </c>
      <c r="HE68">
        <f t="shared" si="326"/>
        <v>1.495125</v>
      </c>
      <c r="HF68">
        <v>70.9769741921898</v>
      </c>
      <c r="HG68">
        <v>7.3169105356480999E-3</v>
      </c>
      <c r="HH68">
        <v>6.0998104818480998E-4</v>
      </c>
      <c r="HI68" s="22">
        <f t="shared" si="327"/>
        <v>55.165793365482244</v>
      </c>
      <c r="HJ68" s="22">
        <f t="shared" si="328"/>
        <v>3915.5010919935085</v>
      </c>
      <c r="HK68" s="22">
        <f t="shared" si="329"/>
        <v>0.40364317468328309</v>
      </c>
      <c r="HL68" s="22">
        <f t="shared" si="330"/>
        <v>3.3650088461023499E-2</v>
      </c>
      <c r="HM68" s="437">
        <f t="shared" si="331"/>
        <v>3936.7161327489298</v>
      </c>
      <c r="HN68">
        <v>3.34</v>
      </c>
      <c r="HO68">
        <f t="shared" si="332"/>
        <v>5545635.8116090503</v>
      </c>
      <c r="HP68" s="237">
        <f t="shared" si="333"/>
        <v>5545.6358116090505</v>
      </c>
      <c r="HQ68">
        <v>138.4</v>
      </c>
      <c r="HR68" s="237">
        <f t="shared" si="334"/>
        <v>5106.5601884676817</v>
      </c>
      <c r="HS68" s="237"/>
      <c r="HT68" t="s">
        <v>728</v>
      </c>
      <c r="HU68" s="22">
        <f>SUM(HM73:HM74)</f>
        <v>1348.8520627838516</v>
      </c>
      <c r="HV68" s="22">
        <f>SUM(HP73:HP74)</f>
        <v>1309.6083123877199</v>
      </c>
      <c r="HW68" s="22">
        <f>SUM(HR73:HR74)</f>
        <v>1281.7149280869787</v>
      </c>
      <c r="HX68" s="237"/>
    </row>
    <row r="69" spans="1:233" ht="17.399999999999999" thickBot="1" x14ac:dyDescent="0.5">
      <c r="A69" s="981"/>
      <c r="B69" s="308" t="s">
        <v>740</v>
      </c>
      <c r="C69" s="160">
        <v>36278</v>
      </c>
      <c r="D69" s="161">
        <v>43055</v>
      </c>
      <c r="E69" s="162">
        <v>46544</v>
      </c>
      <c r="F69" s="163">
        <v>125877</v>
      </c>
      <c r="G69" s="200">
        <v>903574</v>
      </c>
      <c r="H69" s="984"/>
      <c r="I69" s="180">
        <v>-3.9959775590134437E-2</v>
      </c>
      <c r="J69" s="181">
        <v>7.5247548762042097E-3</v>
      </c>
      <c r="K69" s="182">
        <v>-2.7341290045943545E-2</v>
      </c>
      <c r="L69" s="183">
        <v>-2.7341290045943545E-2</v>
      </c>
      <c r="M69" s="292">
        <v>-3.1181731466766061E-2</v>
      </c>
      <c r="N69" s="870"/>
      <c r="O69" s="206"/>
      <c r="P69" s="206"/>
      <c r="Q69" s="206"/>
      <c r="S69" s="115">
        <v>2019</v>
      </c>
      <c r="V69">
        <f t="shared" si="319"/>
        <v>0.88264369439344725</v>
      </c>
      <c r="W69">
        <f t="shared" si="317"/>
        <v>1.13296</v>
      </c>
      <c r="X69">
        <f t="shared" si="318"/>
        <v>322.16494845360825</v>
      </c>
      <c r="Y69">
        <f t="shared" si="320"/>
        <v>3.104E-3</v>
      </c>
      <c r="AL69">
        <f>SUM(AL11:AL64)</f>
        <v>116630</v>
      </c>
      <c r="AP69" s="747" t="s">
        <v>716</v>
      </c>
      <c r="AQ69" s="735">
        <f>_xlfn.XLOOKUP(AP69,$AK$23:$AK$24,$AL$23:$AL$24,0,0,1)</f>
        <v>11</v>
      </c>
      <c r="AR69" s="742"/>
      <c r="AS69" s="774">
        <f>AR69/AQ69</f>
        <v>0</v>
      </c>
      <c r="AT69" s="740">
        <v>48.2</v>
      </c>
      <c r="AU69" s="738">
        <v>13769</v>
      </c>
      <c r="AW69" s="95">
        <f t="shared" si="248"/>
        <v>1.1084463612728995E-4</v>
      </c>
      <c r="AY69">
        <f t="shared" si="316"/>
        <v>0.15145900000000001</v>
      </c>
      <c r="AZ69">
        <f t="shared" si="335"/>
        <v>156.32876999999999</v>
      </c>
      <c r="BA69" s="865">
        <f t="shared" si="249"/>
        <v>9.5741944362254253E-5</v>
      </c>
      <c r="BB69" s="863">
        <f>AY69/$AY$80</f>
        <v>6.4067675810428645E-4</v>
      </c>
      <c r="BC69" s="865"/>
      <c r="BE69" t="s">
        <v>717</v>
      </c>
      <c r="BF69" s="101">
        <f>BB55</f>
        <v>7.3829190497710362E-2</v>
      </c>
      <c r="BG69" s="22">
        <f t="shared" si="295"/>
        <v>17.453568000000001</v>
      </c>
      <c r="BH69">
        <v>21.22</v>
      </c>
      <c r="BI69">
        <f t="shared" si="281"/>
        <v>0.2122</v>
      </c>
      <c r="BJ69">
        <v>0.86499999999999999</v>
      </c>
      <c r="BK69">
        <f t="shared" si="282"/>
        <v>0.18355299999999999</v>
      </c>
      <c r="BL69">
        <v>43</v>
      </c>
      <c r="BM69">
        <f t="shared" si="266"/>
        <v>7.892779</v>
      </c>
      <c r="BN69" s="847">
        <f>$BG$85</f>
        <v>73.961370985694614</v>
      </c>
      <c r="BO69" s="852">
        <f>$BH$85/1000</f>
        <v>5.6220867849606198E-4</v>
      </c>
      <c r="BP69" s="852">
        <f>$BI$85/1000</f>
        <v>1.9189860337175707E-3</v>
      </c>
      <c r="BQ69" s="22">
        <f t="shared" si="259"/>
        <v>137.757154985472</v>
      </c>
      <c r="BR69" s="22">
        <f t="shared" si="260"/>
        <v>10188.708045814325</v>
      </c>
      <c r="BS69" s="22">
        <f t="shared" si="261"/>
        <v>7.7448268057759409E-2</v>
      </c>
      <c r="BT69" s="22">
        <f t="shared" si="262"/>
        <v>0.26435405646178761</v>
      </c>
      <c r="BU69" s="437">
        <f t="shared" si="275"/>
        <v>10263.184661616513</v>
      </c>
      <c r="BV69">
        <v>2.72</v>
      </c>
      <c r="BW69">
        <f t="shared" si="276"/>
        <v>10073920.192512</v>
      </c>
      <c r="BX69" s="237">
        <f t="shared" si="267"/>
        <v>10073.920192512</v>
      </c>
      <c r="BY69">
        <v>650</v>
      </c>
      <c r="BZ69" s="237">
        <f t="shared" si="279"/>
        <v>11344.8192</v>
      </c>
      <c r="CN69" s="747" t="s">
        <v>716</v>
      </c>
      <c r="CO69" s="735">
        <f>_xlfn.XLOOKUP(CN69,$CI$22:$CI$23,$CJ$22:$CJ$23,0,0,1)</f>
        <v>3</v>
      </c>
      <c r="CP69" s="742"/>
      <c r="CQ69" s="774">
        <f>CP69/CO69</f>
        <v>0</v>
      </c>
      <c r="CR69" s="740">
        <v>48.2</v>
      </c>
      <c r="CS69" s="738">
        <v>16144</v>
      </c>
      <c r="CU69" s="95">
        <f t="shared" si="252"/>
        <v>3.4254787106498131E-5</v>
      </c>
      <c r="CW69">
        <f t="shared" si="255"/>
        <v>4.8432000000000003E-2</v>
      </c>
      <c r="CX69">
        <f t="shared" si="336"/>
        <v>136.678776</v>
      </c>
      <c r="CY69" s="95">
        <f t="shared" si="256"/>
        <v>3.5260271753546984E-5</v>
      </c>
      <c r="CZ69" s="95">
        <f t="shared" ref="CZ69:CZ71" si="354">CW69/$CW$80</f>
        <v>2.093373011753801E-4</v>
      </c>
      <c r="DA69" s="95"/>
      <c r="DC69" t="s">
        <v>717</v>
      </c>
      <c r="DD69" s="101">
        <f>CZ55</f>
        <v>5.9872369945138663E-2</v>
      </c>
      <c r="DE69" s="22">
        <f t="shared" si="296"/>
        <v>13.851991999999999</v>
      </c>
      <c r="DF69">
        <v>21.22</v>
      </c>
      <c r="DG69">
        <f t="shared" si="313"/>
        <v>0.2122</v>
      </c>
      <c r="DH69">
        <v>0.86499999999999999</v>
      </c>
      <c r="DI69">
        <f t="shared" si="314"/>
        <v>0.18355299999999999</v>
      </c>
      <c r="DJ69">
        <v>43</v>
      </c>
      <c r="DK69">
        <f t="shared" si="304"/>
        <v>7.892779</v>
      </c>
      <c r="DL69" s="847">
        <v>73.883575529983716</v>
      </c>
      <c r="DM69" s="852">
        <v>7.7403237955161073E-5</v>
      </c>
      <c r="DN69" s="852">
        <v>1.9766762674137761E-3</v>
      </c>
      <c r="DO69" s="22">
        <f t="shared" si="265"/>
        <v>109.330711565768</v>
      </c>
      <c r="DP69" s="22">
        <f t="shared" si="305"/>
        <v>8077.7438857162842</v>
      </c>
      <c r="DQ69" s="22">
        <f t="shared" si="306"/>
        <v>8.462551083132222E-3</v>
      </c>
      <c r="DR69" s="22">
        <f t="shared" si="307"/>
        <v>0.21611142285151444</v>
      </c>
      <c r="DS69" s="437">
        <f t="shared" si="272"/>
        <v>8136.9944881770252</v>
      </c>
      <c r="DT69">
        <v>2.72</v>
      </c>
      <c r="DU69">
        <f t="shared" si="308"/>
        <v>7995148.1505280007</v>
      </c>
      <c r="DV69" s="237">
        <f t="shared" si="309"/>
        <v>7995.1481505280008</v>
      </c>
      <c r="DW69">
        <v>650</v>
      </c>
      <c r="DX69" s="237">
        <f t="shared" si="310"/>
        <v>9003.7947999999997</v>
      </c>
      <c r="EG69" s="697" t="s">
        <v>675</v>
      </c>
      <c r="EH69" s="695">
        <v>82073</v>
      </c>
      <c r="EI69">
        <v>37095</v>
      </c>
      <c r="EJ69">
        <f>SUM(EJ70:EJ74)</f>
        <v>47000</v>
      </c>
      <c r="EL69" s="687" t="s">
        <v>285</v>
      </c>
      <c r="EM69" s="688">
        <f t="shared" ref="EM69:EM74" si="355">SUMIF($EG$70:$EG$74,EL69,$EI$69:$EI$73)</f>
        <v>37095</v>
      </c>
      <c r="EN69" s="688">
        <v>29380</v>
      </c>
      <c r="EO69" s="687"/>
      <c r="EP69" s="690">
        <v>13.53</v>
      </c>
      <c r="EQ69" s="691">
        <v>4937</v>
      </c>
      <c r="ES69" s="95">
        <f t="shared" si="350"/>
        <v>4.7337278106508875E-2</v>
      </c>
      <c r="ET69" s="95">
        <f t="shared" si="350"/>
        <v>8.5106382978723402E-2</v>
      </c>
      <c r="EU69">
        <f t="shared" si="351"/>
        <v>3.9496000000000003E-2</v>
      </c>
      <c r="EV69" s="95">
        <f t="shared" si="352"/>
        <v>2.9548388728966123E-5</v>
      </c>
      <c r="EW69" s="857">
        <f t="shared" ref="EW69:EW74" si="356">EU69/$EU$100</f>
        <v>1.7630115393872564E-4</v>
      </c>
      <c r="FA69" t="s">
        <v>723</v>
      </c>
      <c r="FB69" s="101">
        <f>EW82</f>
        <v>0.12763869178668355</v>
      </c>
      <c r="FC69" s="22">
        <f t="shared" si="338"/>
        <v>127.79363465180911</v>
      </c>
      <c r="FD69">
        <v>0</v>
      </c>
      <c r="FE69">
        <f t="shared" si="339"/>
        <v>0</v>
      </c>
      <c r="FG69">
        <f t="shared" si="340"/>
        <v>0</v>
      </c>
      <c r="FH69">
        <v>0</v>
      </c>
      <c r="FI69">
        <f t="shared" si="341"/>
        <v>0</v>
      </c>
      <c r="FJ69" s="847">
        <v>73.231096434849775</v>
      </c>
      <c r="FK69" s="852">
        <v>4.5695578598240177E-3</v>
      </c>
      <c r="FL69" s="852">
        <v>4.4568227585513781E-4</v>
      </c>
      <c r="FM69" s="22">
        <f t="shared" si="342"/>
        <v>0</v>
      </c>
      <c r="FN69" s="22">
        <f t="shared" si="343"/>
        <v>0</v>
      </c>
      <c r="FO69" s="22">
        <f t="shared" si="344"/>
        <v>0</v>
      </c>
      <c r="FP69" s="22">
        <f t="shared" si="345"/>
        <v>0</v>
      </c>
      <c r="FQ69" s="437">
        <f t="shared" si="353"/>
        <v>0</v>
      </c>
      <c r="FR69">
        <v>2.34</v>
      </c>
      <c r="FS69">
        <f t="shared" si="346"/>
        <v>0</v>
      </c>
      <c r="FT69" s="237">
        <f t="shared" si="347"/>
        <v>0</v>
      </c>
      <c r="FU69">
        <v>0</v>
      </c>
      <c r="FV69" s="237">
        <f t="shared" si="348"/>
        <v>0</v>
      </c>
      <c r="FY69" t="s">
        <v>285</v>
      </c>
      <c r="FZ69" s="22">
        <f>SUM(FQ67:FQ74)</f>
        <v>188905.90072786019</v>
      </c>
      <c r="GA69" s="22">
        <f>SUM(FT67:FT74)</f>
        <v>196333.26056883659</v>
      </c>
      <c r="GB69">
        <f>SUM(FV67:FV74)</f>
        <v>164126.49219859371</v>
      </c>
      <c r="GC69"/>
      <c r="GD69" s="658" t="s">
        <v>726</v>
      </c>
      <c r="GE69">
        <v>3</v>
      </c>
      <c r="GF69">
        <f t="shared" si="321"/>
        <v>0.72887999999999997</v>
      </c>
      <c r="GG69" s="95">
        <f t="shared" si="322"/>
        <v>2.8452047768177659E-4</v>
      </c>
      <c r="GH69" s="643" t="s">
        <v>722</v>
      </c>
      <c r="GI69" s="643">
        <v>240</v>
      </c>
      <c r="GJ69" s="643">
        <v>72</v>
      </c>
      <c r="GK69" s="643"/>
      <c r="GL69" s="643">
        <v>13.58</v>
      </c>
      <c r="GM69" s="645">
        <v>4957</v>
      </c>
      <c r="GO69" s="95">
        <f>GI69/$GI$92</f>
        <v>1.2836558518661146E-3</v>
      </c>
      <c r="GP69" s="95">
        <f>GJ69/GJ90</f>
        <v>4.2007001166861145E-2</v>
      </c>
      <c r="GS69" s="22">
        <f>GM69*GI69/1000000</f>
        <v>1.1896800000000001</v>
      </c>
      <c r="GT69" s="95">
        <f>GS69/$GS$92</f>
        <v>4.5685059090850211E-4</v>
      </c>
      <c r="GW69" t="s">
        <v>734</v>
      </c>
      <c r="GX69" s="101">
        <f t="shared" si="349"/>
        <v>7.0372965033900031E-2</v>
      </c>
      <c r="GY69" s="22">
        <f t="shared" si="323"/>
        <v>76.267074356816494</v>
      </c>
      <c r="GZ69">
        <v>4.5</v>
      </c>
      <c r="HA69">
        <f t="shared" si="324"/>
        <v>4.4999999999999998E-2</v>
      </c>
      <c r="HB69">
        <v>0.75</v>
      </c>
      <c r="HC69">
        <f t="shared" si="325"/>
        <v>3.3750000000000002E-2</v>
      </c>
      <c r="HD69">
        <v>44.3</v>
      </c>
      <c r="HE69">
        <f t="shared" si="326"/>
        <v>1.495125</v>
      </c>
      <c r="HF69">
        <v>70.9769741921898</v>
      </c>
      <c r="HG69">
        <v>7.3169105356480999E-3</v>
      </c>
      <c r="HH69">
        <v>6.0998104818480998E-4</v>
      </c>
      <c r="HI69" s="22">
        <f t="shared" si="327"/>
        <v>114.02880954773526</v>
      </c>
      <c r="HJ69" s="22">
        <f t="shared" si="328"/>
        <v>8093.419872435732</v>
      </c>
      <c r="HK69" s="22">
        <f t="shared" si="329"/>
        <v>0.83433859794723475</v>
      </c>
      <c r="HL69" s="22">
        <f t="shared" si="330"/>
        <v>6.955541277119362E-2</v>
      </c>
      <c r="HM69" s="437">
        <f t="shared" si="331"/>
        <v>8137.2717903410949</v>
      </c>
      <c r="HN69">
        <v>4.34</v>
      </c>
      <c r="HO69">
        <f t="shared" si="332"/>
        <v>14894959.621886261</v>
      </c>
      <c r="HP69" s="237">
        <f t="shared" si="333"/>
        <v>14894.959621886261</v>
      </c>
      <c r="HQ69">
        <v>138.4</v>
      </c>
      <c r="HR69" s="237">
        <f t="shared" si="334"/>
        <v>10555.363090983403</v>
      </c>
      <c r="HS69" s="237"/>
      <c r="HT69" t="s">
        <v>733</v>
      </c>
      <c r="HU69" s="22">
        <f>SUM(HM75:HM76)</f>
        <v>36214.180840061395</v>
      </c>
      <c r="HV69" s="22">
        <f>SUM(HP75:HP76)</f>
        <v>35458.046317898421</v>
      </c>
      <c r="HW69" s="22">
        <f>SUM(HR75:HR76)</f>
        <v>25116.066345201321</v>
      </c>
      <c r="HX69" s="237"/>
    </row>
    <row r="70" spans="1:233" ht="17.399999999999999" thickBot="1" x14ac:dyDescent="0.5">
      <c r="A70" s="981"/>
      <c r="B70" s="308" t="s">
        <v>752</v>
      </c>
      <c r="C70" s="160">
        <v>38943</v>
      </c>
      <c r="D70" s="161">
        <v>43639.509729323123</v>
      </c>
      <c r="E70" s="162">
        <v>46669</v>
      </c>
      <c r="F70" s="163">
        <v>129251.50972932312</v>
      </c>
      <c r="G70" s="200">
        <v>1032825.5097293231</v>
      </c>
      <c r="H70" s="984"/>
      <c r="I70" s="180">
        <v>-2.2882950696273992E-2</v>
      </c>
      <c r="J70" s="181">
        <v>-4.4977511244377811E-4</v>
      </c>
      <c r="K70" s="182">
        <v>-1.7502588673714237E-2</v>
      </c>
      <c r="L70" s="183">
        <v>-1.7502588673714237E-2</v>
      </c>
      <c r="M70" s="292">
        <v>-2.9490761825388789E-2</v>
      </c>
      <c r="N70" s="870"/>
      <c r="O70" s="206"/>
      <c r="P70" s="206"/>
      <c r="Q70" s="206"/>
      <c r="S70" s="115">
        <v>2020</v>
      </c>
      <c r="V70">
        <f t="shared" si="319"/>
        <v>0.88264369439344714</v>
      </c>
      <c r="W70">
        <f t="shared" si="317"/>
        <v>1.1329600000000002</v>
      </c>
      <c r="X70">
        <f t="shared" si="318"/>
        <v>322.16494845360819</v>
      </c>
      <c r="Y70">
        <f t="shared" si="320"/>
        <v>3.1040000000000004E-3</v>
      </c>
      <c r="AG70">
        <f>AF29-AF30</f>
        <v>-20.801623968153535</v>
      </c>
      <c r="AL70">
        <f>AL69-AL17</f>
        <v>114902</v>
      </c>
      <c r="AP70" s="747" t="s">
        <v>726</v>
      </c>
      <c r="AQ70" s="735">
        <v>0</v>
      </c>
      <c r="AR70" s="742"/>
      <c r="AS70" s="774" t="e">
        <f>AR70/AQ70</f>
        <v>#DIV/0!</v>
      </c>
      <c r="AT70" s="740">
        <v>0</v>
      </c>
      <c r="AU70" s="738">
        <v>0</v>
      </c>
      <c r="AV70" s="101"/>
      <c r="AW70" s="95">
        <f t="shared" si="248"/>
        <v>0</v>
      </c>
      <c r="AY70">
        <f t="shared" si="316"/>
        <v>0</v>
      </c>
      <c r="AZ70">
        <f t="shared" si="335"/>
        <v>17.825724000000001</v>
      </c>
      <c r="BA70" s="95">
        <f t="shared" si="249"/>
        <v>0</v>
      </c>
      <c r="BB70" s="863">
        <f t="shared" ref="BB70" si="357">AY70/$AY$80</f>
        <v>0</v>
      </c>
      <c r="BC70" s="95"/>
      <c r="BE70" t="s">
        <v>753</v>
      </c>
      <c r="BF70" s="101">
        <f>BB76</f>
        <v>2.7150051857047463E-4</v>
      </c>
      <c r="BG70" s="22">
        <f t="shared" si="295"/>
        <v>6.4184000000000005E-2</v>
      </c>
      <c r="BH70">
        <v>3</v>
      </c>
      <c r="BI70">
        <f t="shared" si="281"/>
        <v>0.03</v>
      </c>
      <c r="BJ70">
        <v>0.75</v>
      </c>
      <c r="BK70">
        <f t="shared" si="282"/>
        <v>2.2499999999999999E-2</v>
      </c>
      <c r="BL70">
        <v>44.3</v>
      </c>
      <c r="BM70">
        <f t="shared" si="266"/>
        <v>0.99674999999999991</v>
      </c>
      <c r="BN70" s="847">
        <f>$BG$84</f>
        <v>73.383180836114732</v>
      </c>
      <c r="BO70" s="852">
        <f>$BH$84/1000</f>
        <v>2.8687686579828863E-3</v>
      </c>
      <c r="BP70" s="852">
        <f>$BI$84/1000</f>
        <v>7.9139790094892592E-4</v>
      </c>
      <c r="BQ70" s="22">
        <f t="shared" si="259"/>
        <v>6.3975402000000001E-2</v>
      </c>
      <c r="BR70" s="22">
        <f t="shared" si="260"/>
        <v>4.6947184940291358</v>
      </c>
      <c r="BS70" s="22">
        <f t="shared" si="261"/>
        <v>1.8353062813945565E-4</v>
      </c>
      <c r="BT70" s="22">
        <f t="shared" si="262"/>
        <v>5.0629998855163721E-5</v>
      </c>
      <c r="BU70" s="437">
        <f t="shared" si="275"/>
        <v>4.7140096964351512</v>
      </c>
      <c r="BV70">
        <v>2.34</v>
      </c>
      <c r="BW70">
        <f t="shared" si="276"/>
        <v>4505.7168000000001</v>
      </c>
      <c r="BX70" s="237">
        <f t="shared" si="267"/>
        <v>4.5057168000000001</v>
      </c>
      <c r="BY70">
        <v>2</v>
      </c>
      <c r="BZ70" s="237">
        <f t="shared" si="279"/>
        <v>0.12836800000000001</v>
      </c>
      <c r="CA70" s="101"/>
      <c r="CB70" s="101"/>
      <c r="CC70" s="101"/>
      <c r="CD70" s="101"/>
      <c r="CE70" s="101"/>
      <c r="CF70" s="101"/>
      <c r="CN70" s="747" t="s">
        <v>726</v>
      </c>
      <c r="CO70" s="735">
        <v>0</v>
      </c>
      <c r="CP70" s="742"/>
      <c r="CQ70" s="774" t="e">
        <f>CP70/CO70</f>
        <v>#DIV/0!</v>
      </c>
      <c r="CR70" s="740">
        <v>0</v>
      </c>
      <c r="CS70" s="738">
        <v>0</v>
      </c>
      <c r="CT70" s="101"/>
      <c r="CU70" s="95">
        <f t="shared" si="252"/>
        <v>0</v>
      </c>
      <c r="CW70">
        <f t="shared" si="255"/>
        <v>0</v>
      </c>
      <c r="CX70">
        <f t="shared" si="336"/>
        <v>14.221859999999998</v>
      </c>
      <c r="CY70" s="95">
        <f t="shared" si="256"/>
        <v>0</v>
      </c>
      <c r="CZ70" s="95">
        <f t="shared" si="354"/>
        <v>0</v>
      </c>
      <c r="DA70" s="95"/>
      <c r="DC70" t="s">
        <v>753</v>
      </c>
      <c r="DD70" s="101">
        <f>CZ76</f>
        <v>2.5760867092114003E-4</v>
      </c>
      <c r="DE70" s="22">
        <f t="shared" si="296"/>
        <v>5.96E-2</v>
      </c>
      <c r="DF70">
        <v>3</v>
      </c>
      <c r="DG70">
        <f t="shared" si="313"/>
        <v>0.03</v>
      </c>
      <c r="DH70">
        <v>0.75</v>
      </c>
      <c r="DI70">
        <f t="shared" si="314"/>
        <v>2.2499999999999999E-2</v>
      </c>
      <c r="DJ70">
        <v>44.3</v>
      </c>
      <c r="DK70">
        <f t="shared" si="304"/>
        <v>0.99674999999999991</v>
      </c>
      <c r="DL70" s="847">
        <v>73.253799173196242</v>
      </c>
      <c r="DM70" s="852">
        <v>2.9561710436280596E-3</v>
      </c>
      <c r="DN70" s="852">
        <v>7.4034896106309602E-4</v>
      </c>
      <c r="DO70" s="22">
        <f t="shared" si="265"/>
        <v>5.9406299999999995E-2</v>
      </c>
      <c r="DP70" s="22">
        <f t="shared" si="305"/>
        <v>4.3517371698226475</v>
      </c>
      <c r="DQ70" s="22">
        <f t="shared" si="306"/>
        <v>1.7561518386908159E-4</v>
      </c>
      <c r="DR70" s="22">
        <f t="shared" si="307"/>
        <v>4.3981392485602596E-5</v>
      </c>
      <c r="DS70" s="437">
        <f t="shared" si="272"/>
        <v>4.3689774224505156</v>
      </c>
      <c r="DT70">
        <v>2.34</v>
      </c>
      <c r="DU70">
        <f t="shared" si="308"/>
        <v>4183.92</v>
      </c>
      <c r="DV70" s="237">
        <f t="shared" si="309"/>
        <v>4.1839199999999996</v>
      </c>
      <c r="DW70">
        <v>2</v>
      </c>
      <c r="DX70" s="237">
        <f t="shared" si="310"/>
        <v>0.1192</v>
      </c>
      <c r="DY70" s="101"/>
      <c r="DZ70" s="101"/>
      <c r="EA70" s="101"/>
      <c r="EB70" s="101"/>
      <c r="EC70" s="101"/>
      <c r="ED70" s="101"/>
      <c r="EE70" s="101"/>
      <c r="EG70" s="701" t="s">
        <v>285</v>
      </c>
      <c r="EH70" s="695">
        <v>47</v>
      </c>
      <c r="EI70">
        <v>8</v>
      </c>
      <c r="EJ70">
        <v>45381</v>
      </c>
      <c r="EL70" s="690" t="s">
        <v>709</v>
      </c>
      <c r="EM70" s="690">
        <f t="shared" si="355"/>
        <v>8</v>
      </c>
      <c r="EN70" s="690">
        <v>16</v>
      </c>
      <c r="EO70" s="690"/>
      <c r="EP70" s="690" t="s">
        <v>409</v>
      </c>
      <c r="EQ70" s="690" t="s">
        <v>409</v>
      </c>
      <c r="ES70" s="95">
        <f t="shared" si="350"/>
        <v>0</v>
      </c>
      <c r="ET70" s="95">
        <f t="shared" si="350"/>
        <v>4.2553191489361703E-3</v>
      </c>
      <c r="EU70">
        <f t="shared" si="351"/>
        <v>0</v>
      </c>
      <c r="EV70" s="95">
        <f t="shared" si="352"/>
        <v>0</v>
      </c>
      <c r="EW70" s="857">
        <f t="shared" si="356"/>
        <v>0</v>
      </c>
      <c r="FA70" s="623" t="s">
        <v>788</v>
      </c>
      <c r="FB70" s="624">
        <f>EW87</f>
        <v>8.1856328219928002E-3</v>
      </c>
      <c r="FC70" s="625">
        <f t="shared" si="338"/>
        <v>8.1955695064303455</v>
      </c>
      <c r="FD70" s="622">
        <v>3</v>
      </c>
      <c r="FE70" s="622">
        <f t="shared" si="339"/>
        <v>0.03</v>
      </c>
      <c r="FF70" s="622">
        <v>0.75</v>
      </c>
      <c r="FG70" s="622">
        <f t="shared" si="340"/>
        <v>2.2499999999999999E-2</v>
      </c>
      <c r="FH70" s="622">
        <v>44.3</v>
      </c>
      <c r="FI70" s="622">
        <f t="shared" si="341"/>
        <v>0.99674999999999991</v>
      </c>
      <c r="FJ70" s="847">
        <v>73.231096434849775</v>
      </c>
      <c r="FK70" s="852">
        <v>4.5695578598240177E-3</v>
      </c>
      <c r="FL70" s="852">
        <v>4.4568227585513781E-4</v>
      </c>
      <c r="FM70" s="625">
        <f t="shared" si="342"/>
        <v>8.1689339055344465</v>
      </c>
      <c r="FN70" s="625">
        <f t="shared" si="343"/>
        <v>598.219986606107</v>
      </c>
      <c r="FO70" s="625">
        <f t="shared" si="344"/>
        <v>3.7328416134417841E-2</v>
      </c>
      <c r="FP70" s="625">
        <f t="shared" si="345"/>
        <v>3.6407490543287914E-3</v>
      </c>
      <c r="FQ70" s="437">
        <f t="shared" si="353"/>
        <v>600.32629789874443</v>
      </c>
      <c r="FR70" s="622">
        <v>2.34</v>
      </c>
      <c r="FS70" s="622">
        <f t="shared" si="346"/>
        <v>575328.97935141029</v>
      </c>
      <c r="FT70" s="626">
        <f t="shared" si="347"/>
        <v>575.32897935141034</v>
      </c>
      <c r="FU70" s="622">
        <f>(2.6+207)/2</f>
        <v>104.8</v>
      </c>
      <c r="FV70" s="626">
        <f t="shared" si="348"/>
        <v>858.8956842739002</v>
      </c>
      <c r="FW70" s="626"/>
      <c r="FY70" t="s">
        <v>728</v>
      </c>
      <c r="FZ70" s="22">
        <f>SUM(FQ75:FQ76)</f>
        <v>962.36001258854162</v>
      </c>
      <c r="GA70" s="22">
        <f>SUM(FT75:FT76)</f>
        <v>909.00669700000003</v>
      </c>
      <c r="GB70" s="22">
        <f>SUM(FV75:FV76)</f>
        <v>697.13588800000002</v>
      </c>
      <c r="GC70"/>
      <c r="GD70" s="656" t="s">
        <v>750</v>
      </c>
      <c r="GE70" s="657">
        <v>1128</v>
      </c>
      <c r="GF70">
        <f t="shared" si="321"/>
        <v>0</v>
      </c>
      <c r="GG70" s="95">
        <f t="shared" si="322"/>
        <v>0</v>
      </c>
      <c r="GH70" s="641" t="s">
        <v>726</v>
      </c>
      <c r="GI70" s="641">
        <v>3</v>
      </c>
      <c r="GJ70" s="641">
        <v>2</v>
      </c>
      <c r="GK70" s="641"/>
      <c r="GL70" s="643" t="s">
        <v>409</v>
      </c>
      <c r="GM70" s="643" t="s">
        <v>409</v>
      </c>
      <c r="GO70" s="95"/>
      <c r="GP70" s="95"/>
      <c r="GS70" s="22"/>
      <c r="GT70" s="95"/>
      <c r="GW70" t="s">
        <v>739</v>
      </c>
      <c r="GX70" s="101">
        <f t="shared" si="349"/>
        <v>0</v>
      </c>
      <c r="GY70" s="22">
        <f t="shared" si="323"/>
        <v>0</v>
      </c>
      <c r="GZ70">
        <v>4.5</v>
      </c>
      <c r="HA70">
        <f t="shared" si="324"/>
        <v>4.4999999999999998E-2</v>
      </c>
      <c r="HB70">
        <v>0.86499999999999999</v>
      </c>
      <c r="HC70">
        <f t="shared" si="325"/>
        <v>3.8925000000000001E-2</v>
      </c>
      <c r="HD70">
        <v>43</v>
      </c>
      <c r="HE70">
        <f t="shared" si="326"/>
        <v>1.673775</v>
      </c>
      <c r="HF70">
        <v>74.054734089485606</v>
      </c>
      <c r="HG70">
        <v>1.1457692289250001E-4</v>
      </c>
      <c r="HH70">
        <v>2.5659043229536902E-3</v>
      </c>
      <c r="HI70" s="22">
        <f t="shared" si="327"/>
        <v>0</v>
      </c>
      <c r="HJ70" s="22">
        <f t="shared" si="328"/>
        <v>0</v>
      </c>
      <c r="HK70" s="22">
        <f t="shared" si="329"/>
        <v>0</v>
      </c>
      <c r="HL70" s="22">
        <f t="shared" si="330"/>
        <v>0</v>
      </c>
      <c r="HM70" s="437">
        <f t="shared" si="331"/>
        <v>0</v>
      </c>
      <c r="HN70">
        <v>5.34</v>
      </c>
      <c r="HO70">
        <f t="shared" si="332"/>
        <v>0</v>
      </c>
      <c r="HP70" s="237">
        <f t="shared" si="333"/>
        <v>0</v>
      </c>
      <c r="HQ70">
        <v>138.4</v>
      </c>
      <c r="HR70" s="237">
        <f t="shared" si="334"/>
        <v>0</v>
      </c>
      <c r="HS70" s="237"/>
      <c r="HT70" t="s">
        <v>737</v>
      </c>
      <c r="HU70" s="22">
        <f>SUM(HM77:HM78)</f>
        <v>12963.985942391902</v>
      </c>
      <c r="HV70" s="22">
        <f>SUM(HP77:HP78)</f>
        <v>12650.643851815801</v>
      </c>
      <c r="HW70" s="22">
        <f>SUM(HR77:HR78)</f>
        <v>17560.597407542169</v>
      </c>
      <c r="HX70" s="237"/>
    </row>
    <row r="71" spans="1:233" ht="17.399999999999999" thickBot="1" x14ac:dyDescent="0.5">
      <c r="A71" s="981"/>
      <c r="B71" s="308" t="s">
        <v>754</v>
      </c>
      <c r="C71" s="160">
        <v>42344</v>
      </c>
      <c r="D71" s="161">
        <v>45323.090825744075</v>
      </c>
      <c r="E71" s="162">
        <v>46364</v>
      </c>
      <c r="F71" s="163">
        <v>134031.09082574409</v>
      </c>
      <c r="G71" s="200">
        <v>1166856.6005550672</v>
      </c>
      <c r="H71" s="984"/>
      <c r="I71" s="180">
        <v>-4.6155925483747438E-2</v>
      </c>
      <c r="J71" s="181">
        <v>-2.6539010665994792E-2</v>
      </c>
      <c r="K71" s="182">
        <v>-3.5775295489740677E-2</v>
      </c>
      <c r="L71" s="183">
        <v>-3.5775295489740677E-2</v>
      </c>
      <c r="M71" s="292">
        <v>-3.0216796771965093E-2</v>
      </c>
      <c r="N71" s="870"/>
      <c r="O71" s="206"/>
      <c r="P71" s="206"/>
      <c r="Q71" s="206"/>
      <c r="V71">
        <f t="shared" si="319"/>
        <v>0.88264369439344725</v>
      </c>
      <c r="W71">
        <f t="shared" si="317"/>
        <v>1.13296</v>
      </c>
      <c r="X71">
        <f t="shared" si="318"/>
        <v>322.16494845360825</v>
      </c>
      <c r="Y71">
        <f t="shared" si="320"/>
        <v>3.104E-3</v>
      </c>
      <c r="AG71">
        <f>AG70/AF29</f>
        <v>-1.8281675545253596E-2</v>
      </c>
      <c r="AP71" s="968" t="s">
        <v>727</v>
      </c>
      <c r="AQ71" s="969"/>
      <c r="AR71" s="969"/>
      <c r="AS71" s="969"/>
      <c r="AT71" s="969"/>
      <c r="AU71" s="970"/>
      <c r="AW71" s="95">
        <f t="shared" si="248"/>
        <v>0</v>
      </c>
      <c r="AX71" s="101"/>
      <c r="AY71">
        <f t="shared" si="316"/>
        <v>0</v>
      </c>
      <c r="AZ71">
        <f t="shared" si="335"/>
        <v>44.488572499999997</v>
      </c>
      <c r="BA71" s="95">
        <f t="shared" si="249"/>
        <v>0</v>
      </c>
      <c r="BB71" s="95"/>
      <c r="BC71" s="95"/>
      <c r="BD71" t="s">
        <v>726</v>
      </c>
      <c r="BE71" t="s">
        <v>675</v>
      </c>
      <c r="BF71" s="101">
        <f>BB48</f>
        <v>4.9227446636478805E-4</v>
      </c>
      <c r="BG71" s="22">
        <f t="shared" si="295"/>
        <v>0.11637600000000001</v>
      </c>
      <c r="BH71">
        <v>25</v>
      </c>
      <c r="BI71">
        <f t="shared" si="281"/>
        <v>0.25</v>
      </c>
      <c r="BJ71">
        <v>0.75</v>
      </c>
      <c r="BK71">
        <f t="shared" si="282"/>
        <v>0.1875</v>
      </c>
      <c r="BL71">
        <v>44.3</v>
      </c>
      <c r="BM71">
        <f t="shared" si="266"/>
        <v>8.3062499999999986</v>
      </c>
      <c r="BN71" s="847">
        <f>$BG$87</f>
        <v>73.400742475326624</v>
      </c>
      <c r="BO71" s="852">
        <f>$BH$87/1000</f>
        <v>1.5371001115904509E-2</v>
      </c>
      <c r="BP71" s="852">
        <f>$BI$87/1000</f>
        <v>8.2344648835202758E-4</v>
      </c>
      <c r="BQ71" s="22">
        <f t="shared" si="259"/>
        <v>0.96664814999999993</v>
      </c>
      <c r="BR71" s="22">
        <f t="shared" si="260"/>
        <v>70.952691922400902</v>
      </c>
      <c r="BS71" s="22">
        <f t="shared" si="261"/>
        <v>1.4858349792337027E-2</v>
      </c>
      <c r="BT71" s="22">
        <f t="shared" si="262"/>
        <v>7.9598302458948399E-4</v>
      </c>
      <c r="BU71" s="437">
        <f t="shared" si="275"/>
        <v>71.612774111925461</v>
      </c>
      <c r="BV71">
        <v>2.34</v>
      </c>
      <c r="BW71">
        <f t="shared" si="276"/>
        <v>68079.959999999992</v>
      </c>
      <c r="BX71" s="237">
        <f t="shared" si="267"/>
        <v>68.079959999999986</v>
      </c>
      <c r="BY71">
        <v>509</v>
      </c>
      <c r="BZ71" s="237">
        <f t="shared" si="279"/>
        <v>59.23538400000001</v>
      </c>
      <c r="CN71" s="968" t="s">
        <v>727</v>
      </c>
      <c r="CO71" s="969"/>
      <c r="CP71" s="969"/>
      <c r="CQ71" s="969"/>
      <c r="CR71" s="969"/>
      <c r="CS71" s="970"/>
      <c r="CU71" s="95">
        <f t="shared" si="252"/>
        <v>0</v>
      </c>
      <c r="CV71" s="101"/>
      <c r="CW71">
        <f t="shared" si="255"/>
        <v>0</v>
      </c>
      <c r="CX71">
        <f t="shared" si="336"/>
        <v>41.148420999999999</v>
      </c>
      <c r="CY71" s="95">
        <f t="shared" si="256"/>
        <v>0</v>
      </c>
      <c r="CZ71" s="95">
        <f t="shared" si="354"/>
        <v>0</v>
      </c>
      <c r="DA71" s="95"/>
      <c r="DB71" t="s">
        <v>726</v>
      </c>
      <c r="DC71" t="s">
        <v>675</v>
      </c>
      <c r="DD71" s="101">
        <f>CZ48</f>
        <v>3.8502987257810662E-4</v>
      </c>
      <c r="DE71" s="22">
        <f t="shared" si="296"/>
        <v>8.9080000000000006E-2</v>
      </c>
      <c r="DF71">
        <v>25</v>
      </c>
      <c r="DG71">
        <f t="shared" si="313"/>
        <v>0.25</v>
      </c>
      <c r="DH71">
        <v>0.75</v>
      </c>
      <c r="DI71">
        <f t="shared" si="314"/>
        <v>0.1875</v>
      </c>
      <c r="DJ71">
        <v>44.3</v>
      </c>
      <c r="DK71">
        <f t="shared" si="304"/>
        <v>8.3062499999999986</v>
      </c>
      <c r="DL71" s="847">
        <v>73.215246727304674</v>
      </c>
      <c r="DM71" s="852">
        <v>1.4913910218690771E-2</v>
      </c>
      <c r="DN71" s="852">
        <v>7.9895947600129157E-4</v>
      </c>
      <c r="DO71" s="22">
        <f t="shared" si="265"/>
        <v>0.7399207499999999</v>
      </c>
      <c r="DP71" s="22">
        <f t="shared" si="305"/>
        <v>54.173480269902313</v>
      </c>
      <c r="DQ71" s="22">
        <f t="shared" si="306"/>
        <v>1.1035111634446338E-2</v>
      </c>
      <c r="DR71" s="22">
        <f t="shared" si="307"/>
        <v>5.9116669470248256E-4</v>
      </c>
      <c r="DS71" s="437">
        <f t="shared" si="272"/>
        <v>54.663715104262593</v>
      </c>
      <c r="DT71">
        <v>2.34</v>
      </c>
      <c r="DU71">
        <f t="shared" si="308"/>
        <v>52111.8</v>
      </c>
      <c r="DV71" s="237">
        <f t="shared" si="309"/>
        <v>52.111800000000002</v>
      </c>
      <c r="DW71">
        <v>509</v>
      </c>
      <c r="DX71" s="237">
        <f t="shared" si="310"/>
        <v>45.341720000000002</v>
      </c>
      <c r="EG71" s="701" t="s">
        <v>709</v>
      </c>
      <c r="EH71" s="695">
        <v>2765</v>
      </c>
      <c r="EI71">
        <v>989</v>
      </c>
      <c r="EJ71">
        <v>26</v>
      </c>
      <c r="EL71" s="690" t="s">
        <v>711</v>
      </c>
      <c r="EM71" s="690">
        <f t="shared" si="355"/>
        <v>0</v>
      </c>
      <c r="EN71" s="690">
        <v>2</v>
      </c>
      <c r="EO71" s="690"/>
      <c r="EP71" s="690">
        <v>25.94</v>
      </c>
      <c r="EQ71" s="691">
        <v>9469</v>
      </c>
      <c r="ES71" s="95">
        <f t="shared" si="350"/>
        <v>0.11928597274152695</v>
      </c>
      <c r="ET71" s="95">
        <f t="shared" si="350"/>
        <v>0.13761829652996846</v>
      </c>
      <c r="EU71">
        <f t="shared" si="351"/>
        <v>9.3648410000000002</v>
      </c>
      <c r="EV71" s="95">
        <f t="shared" si="352"/>
        <v>7.0061768850759529E-3</v>
      </c>
      <c r="EW71" s="857">
        <f t="shared" si="356"/>
        <v>4.1802518603217778E-2</v>
      </c>
      <c r="FA71" t="s">
        <v>729</v>
      </c>
      <c r="FB71" s="101">
        <f>EW83</f>
        <v>7.148794122772914E-2</v>
      </c>
      <c r="FC71" s="22">
        <f t="shared" si="338"/>
        <v>71.574721703779957</v>
      </c>
      <c r="FD71">
        <v>4.5</v>
      </c>
      <c r="FE71">
        <f t="shared" si="339"/>
        <v>4.4999999999999998E-2</v>
      </c>
      <c r="FF71">
        <v>0.75</v>
      </c>
      <c r="FG71">
        <f t="shared" si="340"/>
        <v>3.3750000000000002E-2</v>
      </c>
      <c r="FH71">
        <v>44.3</v>
      </c>
      <c r="FI71">
        <f t="shared" si="341"/>
        <v>1.495125</v>
      </c>
      <c r="FJ71" s="847">
        <v>73.231096434849775</v>
      </c>
      <c r="FK71" s="852">
        <v>4.5695578598240177E-3</v>
      </c>
      <c r="FL71" s="852">
        <v>4.4568227585513781E-4</v>
      </c>
      <c r="FM71" s="22">
        <f t="shared" si="342"/>
        <v>107.01315578736401</v>
      </c>
      <c r="FN71" s="22">
        <f t="shared" si="343"/>
        <v>7836.690731262056</v>
      </c>
      <c r="FO71" s="22">
        <f t="shared" si="344"/>
        <v>0.48900280713272132</v>
      </c>
      <c r="FP71" s="22">
        <f t="shared" si="345"/>
        <v>4.7693866817752804E-2</v>
      </c>
      <c r="FQ71" s="437">
        <f t="shared" si="353"/>
        <v>7864.2834405558569</v>
      </c>
      <c r="FR71">
        <v>3.34</v>
      </c>
      <c r="FS71">
        <f t="shared" si="346"/>
        <v>10757680.672078127</v>
      </c>
      <c r="FT71" s="237">
        <f t="shared" si="347"/>
        <v>10757.680672078128</v>
      </c>
      <c r="FU71">
        <v>137</v>
      </c>
      <c r="FV71" s="237">
        <f t="shared" si="348"/>
        <v>9805.7368734178544</v>
      </c>
      <c r="FY71" t="s">
        <v>733</v>
      </c>
      <c r="FZ71" s="22">
        <f>SUM(FQ77:FQ78)</f>
        <v>35108.597794809808</v>
      </c>
      <c r="GA71" s="22">
        <f>SUM(FT77:FT78)</f>
        <v>34180.291220399995</v>
      </c>
      <c r="GB71" s="22">
        <f>SUM(FV77:FV78)</f>
        <v>27233.236970000002</v>
      </c>
      <c r="GC71"/>
      <c r="GD71" s="658" t="s">
        <v>780</v>
      </c>
      <c r="GE71">
        <v>1088</v>
      </c>
      <c r="GF71">
        <f t="shared" si="321"/>
        <v>0</v>
      </c>
      <c r="GG71" s="95">
        <f t="shared" si="322"/>
        <v>0</v>
      </c>
      <c r="GH71" s="1057" t="s">
        <v>732</v>
      </c>
      <c r="GI71" s="1058"/>
      <c r="GJ71" s="1058"/>
      <c r="GK71" s="1058"/>
      <c r="GL71" s="1058"/>
      <c r="GM71" s="1059"/>
      <c r="GO71" s="95"/>
      <c r="GP71" s="95"/>
      <c r="GS71" s="22"/>
      <c r="GT71" s="95"/>
      <c r="GW71" t="s">
        <v>751</v>
      </c>
      <c r="GX71" s="101">
        <f t="shared" si="349"/>
        <v>3.9822957278196148E-3</v>
      </c>
      <c r="GY71" s="22">
        <f t="shared" si="323"/>
        <v>4.3158341308788719</v>
      </c>
      <c r="GZ71">
        <v>4.5</v>
      </c>
      <c r="HA71">
        <f t="shared" si="324"/>
        <v>4.4999999999999998E-2</v>
      </c>
      <c r="HB71">
        <v>0.86499999999999999</v>
      </c>
      <c r="HC71">
        <f t="shared" si="325"/>
        <v>3.8925000000000001E-2</v>
      </c>
      <c r="HD71">
        <v>43</v>
      </c>
      <c r="HE71">
        <f t="shared" si="326"/>
        <v>1.673775</v>
      </c>
      <c r="HF71">
        <v>74.054734089485606</v>
      </c>
      <c r="HG71">
        <v>1.1457692289250001E-4</v>
      </c>
      <c r="HH71">
        <v>2.5659043229536902E-3</v>
      </c>
      <c r="HI71" s="22">
        <f t="shared" si="327"/>
        <v>7.2237352724117843</v>
      </c>
      <c r="HJ71" s="22">
        <f t="shared" si="328"/>
        <v>534.95179473129258</v>
      </c>
      <c r="HK71" s="22">
        <f t="shared" si="329"/>
        <v>8.2767335930295752E-4</v>
      </c>
      <c r="HL71" s="22">
        <f t="shared" si="330"/>
        <v>1.853541356335445E-2</v>
      </c>
      <c r="HM71" s="437">
        <f t="shared" si="331"/>
        <v>540.03662730019562</v>
      </c>
      <c r="HN71">
        <v>6.34</v>
      </c>
      <c r="HO71">
        <f t="shared" si="332"/>
        <v>1231307.4775397421</v>
      </c>
      <c r="HP71" s="237">
        <f t="shared" si="333"/>
        <v>1231.3074775397422</v>
      </c>
      <c r="HQ71">
        <v>138.4</v>
      </c>
      <c r="HR71" s="237">
        <f t="shared" si="334"/>
        <v>597.31144371363598</v>
      </c>
      <c r="HS71" s="237"/>
      <c r="HT71" t="s">
        <v>722</v>
      </c>
      <c r="HU71" s="22">
        <f>SUM(HM79:HM80)</f>
        <v>10696.834645764879</v>
      </c>
      <c r="HV71" s="22">
        <f>SUM(HP79:HP80)</f>
        <v>10484.656106474529</v>
      </c>
      <c r="HW71" s="22">
        <f>SUM(HR79:HR80)</f>
        <v>11397.763925594201</v>
      </c>
      <c r="HX71" s="237"/>
    </row>
    <row r="72" spans="1:233" ht="17.399999999999999" thickBot="1" x14ac:dyDescent="0.5">
      <c r="A72" s="981"/>
      <c r="B72" s="308" t="s">
        <v>755</v>
      </c>
      <c r="C72" s="160">
        <v>41415</v>
      </c>
      <c r="D72" s="161">
        <v>44791.584372036959</v>
      </c>
      <c r="E72" s="162">
        <v>44499</v>
      </c>
      <c r="F72" s="163">
        <v>130705.58437203696</v>
      </c>
      <c r="G72" s="200">
        <v>1297562.184927104</v>
      </c>
      <c r="H72" s="984"/>
      <c r="I72" s="180">
        <v>-5.1094054301752775E-2</v>
      </c>
      <c r="J72" s="181">
        <v>-3.4456571267385598E-2</v>
      </c>
      <c r="K72" s="182">
        <v>-2.5021748679419975E-2</v>
      </c>
      <c r="L72" s="183">
        <v>-2.5021748679419975E-2</v>
      </c>
      <c r="M72" s="292">
        <v>-2.9695999825910535E-2</v>
      </c>
      <c r="N72" s="870"/>
      <c r="O72" s="206"/>
      <c r="P72" s="206"/>
      <c r="Q72" s="206"/>
      <c r="V72">
        <f t="shared" si="319"/>
        <v>0.88264369439344725</v>
      </c>
      <c r="W72">
        <f t="shared" si="317"/>
        <v>1.13296</v>
      </c>
      <c r="X72">
        <f t="shared" si="318"/>
        <v>322.16494845360825</v>
      </c>
      <c r="Y72">
        <f t="shared" si="320"/>
        <v>3.104E-3</v>
      </c>
      <c r="AP72" s="746" t="s">
        <v>285</v>
      </c>
      <c r="AQ72" s="735">
        <f t="shared" ref="AQ72:AQ77" si="358">_xlfn.XLOOKUP(AP72,$AK$46:$AK$51,$AL$46:$AL$51,0,0,1)</f>
        <v>704</v>
      </c>
      <c r="AR72" s="736"/>
      <c r="AS72" s="774">
        <f t="shared" ref="AS72:AS77" si="359">AR72/AQ72</f>
        <v>0</v>
      </c>
      <c r="AT72" s="740">
        <v>34.9</v>
      </c>
      <c r="AU72" s="738">
        <v>11777</v>
      </c>
      <c r="AW72" s="95">
        <f t="shared" si="248"/>
        <v>7.0940567121465566E-3</v>
      </c>
      <c r="AY72">
        <f t="shared" si="316"/>
        <v>8.2910079999999997</v>
      </c>
      <c r="AZ72">
        <f>SUM(AZ66:AZ71)</f>
        <v>1512.7526469999998</v>
      </c>
      <c r="BA72" s="862">
        <f t="shared" si="249"/>
        <v>5.2410040119306531E-3</v>
      </c>
      <c r="BB72" s="862">
        <f>AY72/$AY$81</f>
        <v>6.16181857884536E-3</v>
      </c>
      <c r="BC72" s="862"/>
      <c r="BE72" t="s">
        <v>717</v>
      </c>
      <c r="BF72" s="101">
        <f>BB56</f>
        <v>0.18034171528015927</v>
      </c>
      <c r="BG72" s="22">
        <f t="shared" si="295"/>
        <v>42.633629999999997</v>
      </c>
      <c r="BH72">
        <v>21.22</v>
      </c>
      <c r="BI72">
        <f t="shared" si="281"/>
        <v>0.2122</v>
      </c>
      <c r="BJ72">
        <v>0.86499999999999999</v>
      </c>
      <c r="BK72">
        <f t="shared" si="282"/>
        <v>0.18355299999999999</v>
      </c>
      <c r="BL72">
        <v>43</v>
      </c>
      <c r="BM72">
        <f t="shared" si="266"/>
        <v>7.892779</v>
      </c>
      <c r="BN72" s="847">
        <f>BG88</f>
        <v>73.961370985694629</v>
      </c>
      <c r="BO72" s="852">
        <f>BH88/1000</f>
        <v>5.7428954612108831E-4</v>
      </c>
      <c r="BP72" s="852">
        <f>BI88/1000</f>
        <v>1.0334791465818543E-2</v>
      </c>
      <c r="BQ72" s="22">
        <f t="shared" si="259"/>
        <v>336.49781955776996</v>
      </c>
      <c r="BR72" s="22">
        <f t="shared" si="260"/>
        <v>24887.840068189555</v>
      </c>
      <c r="BS72" s="22">
        <f t="shared" si="261"/>
        <v>0.19324718006456759</v>
      </c>
      <c r="BT72" s="22">
        <f t="shared" si="262"/>
        <v>3.477634793832189</v>
      </c>
      <c r="BU72" s="437">
        <f>BR72+BS72*$BS$43+BT72*$BT$43</f>
        <v>25842.993132871667</v>
      </c>
      <c r="BV72">
        <v>2.72</v>
      </c>
      <c r="BW72">
        <f t="shared" si="276"/>
        <v>24607449.097920001</v>
      </c>
      <c r="BX72" s="237">
        <f t="shared" si="267"/>
        <v>24607.449097920002</v>
      </c>
      <c r="BY72">
        <v>650</v>
      </c>
      <c r="BZ72" s="237">
        <f t="shared" si="279"/>
        <v>27711.859499999999</v>
      </c>
      <c r="CN72" s="746" t="s">
        <v>285</v>
      </c>
      <c r="CO72" s="735">
        <f t="shared" ref="CO72:CO77" si="360">_xlfn.XLOOKUP(CN72,$CI$44:$CI$49,$CJ$44:$CJ$49,0,0,1)</f>
        <v>707</v>
      </c>
      <c r="CP72" s="736"/>
      <c r="CQ72" s="774">
        <f t="shared" ref="CQ72:CQ77" si="361">CP72/CO72</f>
        <v>0</v>
      </c>
      <c r="CR72" s="740">
        <v>34.9</v>
      </c>
      <c r="CS72" s="738">
        <v>12727</v>
      </c>
      <c r="CU72" s="95">
        <f t="shared" si="252"/>
        <v>8.0727114947647272E-3</v>
      </c>
      <c r="CW72">
        <f t="shared" si="255"/>
        <v>8.9979890000000005</v>
      </c>
      <c r="CX72">
        <f>SUM(CX66:CX71)</f>
        <v>1336.0389190000003</v>
      </c>
      <c r="CY72" s="95">
        <f t="shared" si="256"/>
        <v>6.5508659022015707E-3</v>
      </c>
      <c r="CZ72" s="95">
        <f>CW72/$CW$81</f>
        <v>7.8777802728100879E-3</v>
      </c>
      <c r="DA72" s="95"/>
      <c r="DC72" t="s">
        <v>717</v>
      </c>
      <c r="DD72" s="101">
        <f>CZ56</f>
        <v>0.17093154822396275</v>
      </c>
      <c r="DE72" s="22">
        <f t="shared" si="296"/>
        <v>39.546495999999998</v>
      </c>
      <c r="DF72">
        <v>21.22</v>
      </c>
      <c r="DG72">
        <f t="shared" si="313"/>
        <v>0.2122</v>
      </c>
      <c r="DH72">
        <v>0.86499999999999999</v>
      </c>
      <c r="DI72">
        <f t="shared" si="314"/>
        <v>0.18355299999999999</v>
      </c>
      <c r="DJ72">
        <v>43</v>
      </c>
      <c r="DK72">
        <f t="shared" si="304"/>
        <v>7.892779</v>
      </c>
      <c r="DL72" s="847">
        <v>73.883575529983716</v>
      </c>
      <c r="DM72" s="852">
        <v>7.4992217114551842E-4</v>
      </c>
      <c r="DN72" s="852">
        <v>3.6876993771622073E-3</v>
      </c>
      <c r="DO72" s="22">
        <f t="shared" si="265"/>
        <v>312.13175315238396</v>
      </c>
      <c r="DP72" s="22">
        <f t="shared" si="305"/>
        <v>23061.409959340395</v>
      </c>
      <c r="DQ72" s="22">
        <f t="shared" si="306"/>
        <v>0.23407452200749279</v>
      </c>
      <c r="DR72" s="22">
        <f t="shared" si="307"/>
        <v>1.1510480716925942</v>
      </c>
      <c r="DS72" s="437">
        <f t="shared" si="272"/>
        <v>23382.621503668295</v>
      </c>
      <c r="DT72">
        <v>2.72</v>
      </c>
      <c r="DU72">
        <f t="shared" si="308"/>
        <v>22825604.747263998</v>
      </c>
      <c r="DV72" s="237">
        <f t="shared" si="309"/>
        <v>22825.604747263998</v>
      </c>
      <c r="DW72">
        <v>650</v>
      </c>
      <c r="DX72" s="237">
        <f t="shared" si="310"/>
        <v>25705.222399999999</v>
      </c>
      <c r="EG72" s="701" t="s">
        <v>716</v>
      </c>
      <c r="EH72" s="695">
        <v>240</v>
      </c>
      <c r="EI72">
        <v>39</v>
      </c>
      <c r="EJ72">
        <v>1480</v>
      </c>
      <c r="EL72" s="690" t="s">
        <v>716</v>
      </c>
      <c r="EM72" s="690">
        <f t="shared" si="355"/>
        <v>989</v>
      </c>
      <c r="EN72" s="690">
        <v>698</v>
      </c>
      <c r="EO72" s="690"/>
      <c r="EP72" s="690">
        <v>8.32</v>
      </c>
      <c r="EQ72" s="691">
        <v>3037</v>
      </c>
      <c r="ES72" s="95">
        <f t="shared" si="350"/>
        <v>3.9156626506024098E-2</v>
      </c>
      <c r="ET72" s="95">
        <f t="shared" si="350"/>
        <v>3.6559139784946237E-2</v>
      </c>
      <c r="EU72">
        <f t="shared" si="351"/>
        <v>0.11844300000000001</v>
      </c>
      <c r="EV72" s="95">
        <f t="shared" si="352"/>
        <v>8.8611500056333156E-5</v>
      </c>
      <c r="EW72" s="857">
        <f t="shared" si="356"/>
        <v>5.2870259205905611E-4</v>
      </c>
      <c r="FA72" t="s">
        <v>734</v>
      </c>
      <c r="FB72" s="101">
        <f>EW84</f>
        <v>0.11017958123169422</v>
      </c>
      <c r="FC72" s="22">
        <f t="shared" si="338"/>
        <v>110.31333017376976</v>
      </c>
      <c r="FD72">
        <v>4.5</v>
      </c>
      <c r="FE72">
        <f t="shared" si="339"/>
        <v>4.4999999999999998E-2</v>
      </c>
      <c r="FF72">
        <v>0.75</v>
      </c>
      <c r="FG72">
        <f t="shared" si="340"/>
        <v>3.3750000000000002E-2</v>
      </c>
      <c r="FH72">
        <v>44.3</v>
      </c>
      <c r="FI72">
        <f t="shared" si="341"/>
        <v>1.495125</v>
      </c>
      <c r="FJ72" s="847">
        <v>73.231096434849775</v>
      </c>
      <c r="FK72" s="852">
        <v>4.5695578598240177E-3</v>
      </c>
      <c r="FL72" s="852">
        <v>4.4568227585513781E-4</v>
      </c>
      <c r="FM72" s="22">
        <f t="shared" si="342"/>
        <v>164.93221777605751</v>
      </c>
      <c r="FN72" s="22">
        <f t="shared" si="343"/>
        <v>12078.167145172112</v>
      </c>
      <c r="FO72" s="22">
        <f t="shared" si="344"/>
        <v>0.75366731207679016</v>
      </c>
      <c r="FP72" s="22">
        <f t="shared" si="345"/>
        <v>7.3507366180268527E-2</v>
      </c>
      <c r="FQ72" s="437">
        <f t="shared" si="353"/>
        <v>12120.693942039214</v>
      </c>
      <c r="FR72">
        <v>4.34</v>
      </c>
      <c r="FS72">
        <f t="shared" si="346"/>
        <v>21544193.38293723</v>
      </c>
      <c r="FT72" s="237">
        <f t="shared" si="347"/>
        <v>21544.193382937232</v>
      </c>
      <c r="FU72">
        <v>137</v>
      </c>
      <c r="FV72" s="237">
        <f t="shared" si="348"/>
        <v>15112.926233806456</v>
      </c>
      <c r="FY72" t="s">
        <v>737</v>
      </c>
      <c r="FZ72" s="22">
        <f>SUM(FQ79:FQ80)</f>
        <v>19695.954537857815</v>
      </c>
      <c r="GA72" s="22">
        <f>SUM(FT79:FT80)</f>
        <v>19226.760922880003</v>
      </c>
      <c r="GB72" s="22">
        <f>SUM(FV79:FV80)</f>
        <v>25516.471120000002</v>
      </c>
      <c r="GC72"/>
      <c r="GD72" s="658" t="s">
        <v>709</v>
      </c>
      <c r="GE72">
        <v>1</v>
      </c>
      <c r="GF72">
        <f t="shared" si="321"/>
        <v>714.71201799999994</v>
      </c>
      <c r="GG72" s="95">
        <f t="shared" si="322"/>
        <v>0.27898996373376483</v>
      </c>
      <c r="GH72" s="646" t="s">
        <v>285</v>
      </c>
      <c r="GI72" s="646">
        <f t="shared" ref="GI72:GI77" si="362">GE80</f>
        <v>45809</v>
      </c>
      <c r="GJ72" s="647">
        <v>28789</v>
      </c>
      <c r="GK72" s="646"/>
      <c r="GL72" s="646">
        <v>42.74</v>
      </c>
      <c r="GM72" s="648">
        <v>15602</v>
      </c>
      <c r="GO72" s="95">
        <f t="shared" ref="GO72:GO77" si="363">GI72/$GI$92</f>
        <v>0.24501246215889519</v>
      </c>
      <c r="GP72" s="95">
        <f t="shared" ref="GP72:GP77" si="364">GJ72/GJ86</f>
        <v>0.33128883774453394</v>
      </c>
      <c r="GS72" s="22">
        <f t="shared" ref="GS72:GS81" si="365">GM72*GI72/1000000</f>
        <v>714.71201799999994</v>
      </c>
      <c r="GT72" s="95">
        <f t="shared" ref="GT72:GT84" si="366">GS72/$GS$92</f>
        <v>0.27445750769342003</v>
      </c>
      <c r="GW72" t="s">
        <v>753</v>
      </c>
      <c r="GX72" s="101">
        <f t="shared" si="349"/>
        <v>6.7989296923956126E-3</v>
      </c>
      <c r="GY72" s="22">
        <f t="shared" si="323"/>
        <v>7.3683761391454157</v>
      </c>
      <c r="GZ72">
        <v>3</v>
      </c>
      <c r="HA72">
        <f t="shared" si="324"/>
        <v>0.03</v>
      </c>
      <c r="HB72">
        <v>0.75</v>
      </c>
      <c r="HC72">
        <f t="shared" si="325"/>
        <v>2.2499999999999999E-2</v>
      </c>
      <c r="HD72">
        <v>44.3</v>
      </c>
      <c r="HE72">
        <f t="shared" si="326"/>
        <v>0.99674999999999991</v>
      </c>
      <c r="HF72">
        <v>70.9769741921898</v>
      </c>
      <c r="HG72">
        <v>7.3169105356480999E-3</v>
      </c>
      <c r="HH72">
        <v>6.0998104818480998E-4</v>
      </c>
      <c r="HI72" s="22">
        <f t="shared" si="327"/>
        <v>7.3444289166931922</v>
      </c>
      <c r="HJ72" s="22">
        <f t="shared" si="328"/>
        <v>521.28534167650514</v>
      </c>
      <c r="HK72" s="22">
        <f t="shared" si="329"/>
        <v>5.3738529318870978E-2</v>
      </c>
      <c r="HL72" s="22">
        <f t="shared" si="330"/>
        <v>4.4799624489233417E-3</v>
      </c>
      <c r="HM72" s="437">
        <f t="shared" si="331"/>
        <v>524.10977959876357</v>
      </c>
      <c r="HN72">
        <v>2.34</v>
      </c>
      <c r="HO72">
        <f t="shared" si="332"/>
        <v>517260.00496800814</v>
      </c>
      <c r="HP72" s="237">
        <f t="shared" si="333"/>
        <v>517.26000496800816</v>
      </c>
      <c r="HQ72">
        <v>2</v>
      </c>
      <c r="HR72" s="237">
        <f t="shared" si="334"/>
        <v>14.736752278290831</v>
      </c>
      <c r="HS72" s="237"/>
      <c r="HT72" t="s">
        <v>726</v>
      </c>
      <c r="HU72" s="22">
        <f>SUM(HM81:HM82)</f>
        <v>26056.839002311943</v>
      </c>
      <c r="HV72" s="22">
        <f>SUM(HP81:HP82)</f>
        <v>25427.040077577618</v>
      </c>
      <c r="HW72" s="22">
        <f>SUM(HR81:HR82)</f>
        <v>27793.423908049634</v>
      </c>
      <c r="HX72" s="237"/>
    </row>
    <row r="73" spans="1:233" ht="17.399999999999999" thickBot="1" x14ac:dyDescent="0.5">
      <c r="A73" s="981"/>
      <c r="B73" s="308" t="s">
        <v>756</v>
      </c>
      <c r="C73" s="160">
        <v>41585</v>
      </c>
      <c r="D73" s="161">
        <v>44265</v>
      </c>
      <c r="E73" s="162">
        <v>44559</v>
      </c>
      <c r="F73" s="163">
        <v>130409</v>
      </c>
      <c r="G73" s="200">
        <v>1427971.184927104</v>
      </c>
      <c r="H73" s="984"/>
      <c r="I73" s="180">
        <v>-2.4055386059610419E-2</v>
      </c>
      <c r="J73" s="181">
        <v>1.3258426966292136E-3</v>
      </c>
      <c r="K73" s="182">
        <v>1.7744933859791256E-3</v>
      </c>
      <c r="L73" s="183">
        <v>1.7744933859791256E-3</v>
      </c>
      <c r="M73" s="292">
        <v>-2.6904244981734826E-2</v>
      </c>
      <c r="N73" s="870"/>
      <c r="O73" s="206"/>
      <c r="P73" s="206"/>
      <c r="Q73" s="206"/>
      <c r="AP73" s="747" t="s">
        <v>709</v>
      </c>
      <c r="AQ73" s="735">
        <f t="shared" si="358"/>
        <v>0</v>
      </c>
      <c r="AR73" s="740"/>
      <c r="AS73" s="774" t="e">
        <f t="shared" si="359"/>
        <v>#DIV/0!</v>
      </c>
      <c r="AT73" s="740">
        <v>54.7</v>
      </c>
      <c r="AU73" s="738">
        <v>13309</v>
      </c>
      <c r="AW73" s="95">
        <f t="shared" si="248"/>
        <v>0</v>
      </c>
      <c r="AY73">
        <f t="shared" si="316"/>
        <v>0</v>
      </c>
      <c r="BA73" s="95">
        <f t="shared" si="249"/>
        <v>0</v>
      </c>
      <c r="BB73" s="95"/>
      <c r="BC73" s="95"/>
      <c r="BE73" t="s">
        <v>753</v>
      </c>
      <c r="BF73" s="101">
        <f>BB77</f>
        <v>2.8638008706298834E-3</v>
      </c>
      <c r="BG73" s="22">
        <f t="shared" si="295"/>
        <v>0.67701599999999995</v>
      </c>
      <c r="BH73">
        <v>3</v>
      </c>
      <c r="BI73">
        <f t="shared" si="281"/>
        <v>0.03</v>
      </c>
      <c r="BJ73">
        <v>0.75</v>
      </c>
      <c r="BK73">
        <f t="shared" si="282"/>
        <v>2.2499999999999999E-2</v>
      </c>
      <c r="BL73">
        <v>44.3</v>
      </c>
      <c r="BM73">
        <f t="shared" si="266"/>
        <v>0.99674999999999991</v>
      </c>
      <c r="BN73" s="847">
        <f>$BG$87</f>
        <v>73.400742475326624</v>
      </c>
      <c r="BO73" s="852">
        <f>$BH$87/1000</f>
        <v>1.5371001115904509E-2</v>
      </c>
      <c r="BP73" s="852">
        <f>$BI$87/1000</f>
        <v>8.2344648835202758E-4</v>
      </c>
      <c r="BQ73" s="22">
        <f t="shared" si="259"/>
        <v>0.67481569799999985</v>
      </c>
      <c r="BR73" s="22">
        <f t="shared" si="260"/>
        <v>49.531973267205771</v>
      </c>
      <c r="BS73" s="22">
        <f t="shared" si="261"/>
        <v>1.0372592846987877E-2</v>
      </c>
      <c r="BT73" s="22">
        <f t="shared" si="262"/>
        <v>5.5567461680292225E-4</v>
      </c>
      <c r="BU73" s="437">
        <f t="shared" si="275"/>
        <v>49.992775704433207</v>
      </c>
      <c r="BV73">
        <v>2.34</v>
      </c>
      <c r="BW73">
        <f t="shared" si="276"/>
        <v>47526.523199999996</v>
      </c>
      <c r="BX73" s="237">
        <f t="shared" si="267"/>
        <v>47.526523199999993</v>
      </c>
      <c r="BY73">
        <v>2</v>
      </c>
      <c r="BZ73" s="237">
        <f t="shared" si="279"/>
        <v>1.3540319999999999</v>
      </c>
      <c r="CN73" s="747" t="s">
        <v>709</v>
      </c>
      <c r="CO73" s="735">
        <f t="shared" si="360"/>
        <v>0</v>
      </c>
      <c r="CP73" s="740"/>
      <c r="CQ73" s="774" t="e">
        <f t="shared" si="361"/>
        <v>#DIV/0!</v>
      </c>
      <c r="CR73" s="740">
        <v>54.7</v>
      </c>
      <c r="CS73" s="738">
        <v>18942</v>
      </c>
      <c r="CU73" s="95">
        <f t="shared" si="252"/>
        <v>0</v>
      </c>
      <c r="CW73">
        <f t="shared" si="255"/>
        <v>0</v>
      </c>
      <c r="CY73" s="95">
        <f t="shared" si="256"/>
        <v>0</v>
      </c>
      <c r="CZ73" s="95">
        <f t="shared" ref="CZ73:CZ77" si="367">CW73/$CW$80</f>
        <v>0</v>
      </c>
      <c r="DA73" s="95"/>
      <c r="DC73" t="s">
        <v>753</v>
      </c>
      <c r="DD73" s="101">
        <f>CZ77</f>
        <v>3.0312241764596562E-3</v>
      </c>
      <c r="DE73" s="22">
        <f t="shared" si="296"/>
        <v>0.70130000000000003</v>
      </c>
      <c r="DF73">
        <v>3</v>
      </c>
      <c r="DG73">
        <f t="shared" si="313"/>
        <v>0.03</v>
      </c>
      <c r="DH73">
        <v>0.75</v>
      </c>
      <c r="DI73">
        <f t="shared" si="314"/>
        <v>2.2499999999999999E-2</v>
      </c>
      <c r="DJ73">
        <v>44.3</v>
      </c>
      <c r="DK73">
        <f t="shared" si="304"/>
        <v>0.99674999999999991</v>
      </c>
      <c r="DL73" s="847">
        <v>73.215246727304674</v>
      </c>
      <c r="DM73" s="852">
        <v>1.4913910218690771E-2</v>
      </c>
      <c r="DN73" s="852">
        <v>7.9895947600129157E-4</v>
      </c>
      <c r="DO73" s="22">
        <f t="shared" si="265"/>
        <v>0.69902077499999993</v>
      </c>
      <c r="DP73" s="22">
        <f t="shared" si="305"/>
        <v>51.178978509136719</v>
      </c>
      <c r="DQ73" s="22">
        <f t="shared" si="306"/>
        <v>1.0425133079349641E-2</v>
      </c>
      <c r="DR73" s="22">
        <f t="shared" si="307"/>
        <v>5.5848927210801669E-4</v>
      </c>
      <c r="DS73" s="437">
        <f t="shared" si="272"/>
        <v>51.642115046186831</v>
      </c>
      <c r="DT73">
        <v>2.34</v>
      </c>
      <c r="DU73">
        <f t="shared" si="308"/>
        <v>49231.26</v>
      </c>
      <c r="DV73" s="237">
        <f t="shared" si="309"/>
        <v>49.231259999999999</v>
      </c>
      <c r="DW73">
        <v>2</v>
      </c>
      <c r="DX73" s="237">
        <f t="shared" si="310"/>
        <v>1.4025999999999998</v>
      </c>
      <c r="EG73" s="701" t="s">
        <v>722</v>
      </c>
      <c r="EH73" s="695">
        <v>3</v>
      </c>
      <c r="EI73">
        <v>1</v>
      </c>
      <c r="EJ73">
        <v>112</v>
      </c>
      <c r="EL73" s="690" t="s">
        <v>722</v>
      </c>
      <c r="EM73" s="690">
        <f t="shared" si="355"/>
        <v>39</v>
      </c>
      <c r="EN73" s="690">
        <v>34</v>
      </c>
      <c r="EO73" s="690"/>
      <c r="EP73" s="690" t="s">
        <v>409</v>
      </c>
      <c r="EQ73" s="690" t="s">
        <v>409</v>
      </c>
      <c r="ES73" s="95">
        <f t="shared" si="350"/>
        <v>6.8306010928961749E-4</v>
      </c>
      <c r="ET73" s="95">
        <f t="shared" si="350"/>
        <v>7.776049766718507E-4</v>
      </c>
      <c r="EU73">
        <f t="shared" si="351"/>
        <v>0</v>
      </c>
      <c r="EV73" s="95">
        <f t="shared" si="352"/>
        <v>0</v>
      </c>
      <c r="EW73" s="857">
        <f t="shared" si="356"/>
        <v>0</v>
      </c>
      <c r="FA73" t="s">
        <v>739</v>
      </c>
      <c r="FB73" s="101">
        <f>EW85</f>
        <v>0</v>
      </c>
      <c r="FC73" s="22">
        <f t="shared" si="338"/>
        <v>0</v>
      </c>
      <c r="FD73">
        <v>4.5</v>
      </c>
      <c r="FE73">
        <f t="shared" si="339"/>
        <v>4.4999999999999998E-2</v>
      </c>
      <c r="FF73">
        <v>0.86499999999999999</v>
      </c>
      <c r="FG73">
        <f t="shared" si="340"/>
        <v>3.8925000000000001E-2</v>
      </c>
      <c r="FH73">
        <v>43</v>
      </c>
      <c r="FI73">
        <f t="shared" si="341"/>
        <v>1.673775</v>
      </c>
      <c r="FJ73" s="847">
        <v>73.883575529983716</v>
      </c>
      <c r="FK73" s="852">
        <v>1.1024651844300431E-4</v>
      </c>
      <c r="FL73" s="852">
        <v>2.53299651715476E-3</v>
      </c>
      <c r="FM73" s="22">
        <f t="shared" si="342"/>
        <v>0</v>
      </c>
      <c r="FN73" s="22">
        <f t="shared" si="343"/>
        <v>0</v>
      </c>
      <c r="FO73" s="22">
        <f t="shared" si="344"/>
        <v>0</v>
      </c>
      <c r="FP73" s="22">
        <f t="shared" si="345"/>
        <v>0</v>
      </c>
      <c r="FQ73" s="437">
        <f>FN73+FO73*$FO$64+FP73*$FP$64</f>
        <v>0</v>
      </c>
      <c r="FR73">
        <v>5.34</v>
      </c>
      <c r="FS73">
        <f t="shared" si="346"/>
        <v>0</v>
      </c>
      <c r="FT73" s="237">
        <f t="shared" si="347"/>
        <v>0</v>
      </c>
      <c r="FU73">
        <v>137</v>
      </c>
      <c r="FV73" s="237">
        <f t="shared" si="348"/>
        <v>0</v>
      </c>
      <c r="FY73" t="s">
        <v>722</v>
      </c>
      <c r="FZ73" s="22">
        <f>SUM(FQ81:FQ82)</f>
        <v>8791.5637964087127</v>
      </c>
      <c r="GA73" s="22">
        <f>SUM(FT81:FT82)</f>
        <v>8636.503415000001</v>
      </c>
      <c r="GB73" s="22">
        <f>SUM(FV81:FV82)</f>
        <v>9708.3187369999996</v>
      </c>
      <c r="GC73"/>
      <c r="GD73" s="658" t="s">
        <v>786</v>
      </c>
      <c r="GE73">
        <v>39</v>
      </c>
      <c r="GF73">
        <f t="shared" si="321"/>
        <v>10.902998</v>
      </c>
      <c r="GG73" s="95">
        <f t="shared" si="322"/>
        <v>4.2560177246233335E-3</v>
      </c>
      <c r="GH73" s="643" t="s">
        <v>709</v>
      </c>
      <c r="GI73" s="643">
        <f t="shared" si="362"/>
        <v>479</v>
      </c>
      <c r="GJ73" s="643">
        <v>330</v>
      </c>
      <c r="GK73" s="643"/>
      <c r="GL73" s="643">
        <v>72.19</v>
      </c>
      <c r="GM73" s="645">
        <v>26351</v>
      </c>
      <c r="GO73" s="95">
        <f t="shared" si="363"/>
        <v>2.561963137682787E-3</v>
      </c>
      <c r="GP73" s="95">
        <f t="shared" si="364"/>
        <v>0.92436974789915971</v>
      </c>
      <c r="GS73" s="22">
        <f t="shared" si="365"/>
        <v>12.622128999999999</v>
      </c>
      <c r="GT73" s="95">
        <f t="shared" si="366"/>
        <v>4.8470404580839722E-3</v>
      </c>
      <c r="GV73" t="s">
        <v>728</v>
      </c>
      <c r="GW73" t="s">
        <v>675</v>
      </c>
      <c r="GX73" s="101">
        <f>GT66</f>
        <v>8.0334016766093336E-5</v>
      </c>
      <c r="GY73" s="22">
        <f t="shared" si="323"/>
        <v>8.7062417039412282E-2</v>
      </c>
      <c r="GZ73">
        <v>8</v>
      </c>
      <c r="HA73">
        <f t="shared" si="324"/>
        <v>0.08</v>
      </c>
      <c r="HB73">
        <v>0.86499999999999999</v>
      </c>
      <c r="HC73">
        <f t="shared" si="325"/>
        <v>6.9199999999999998E-2</v>
      </c>
      <c r="HD73">
        <v>44.3</v>
      </c>
      <c r="HE73">
        <f t="shared" si="326"/>
        <v>3.0655599999999996</v>
      </c>
      <c r="HF73">
        <v>70.9769741921898</v>
      </c>
      <c r="HG73">
        <v>7.3169105356480999E-3</v>
      </c>
      <c r="HH73">
        <v>6.0998104818480998E-4</v>
      </c>
      <c r="HI73" s="22">
        <f t="shared" si="327"/>
        <v>0.2668950631793407</v>
      </c>
      <c r="HJ73" s="22">
        <f t="shared" si="328"/>
        <v>18.943404011302931</v>
      </c>
      <c r="HK73" s="22">
        <f t="shared" si="329"/>
        <v>1.9528472996893833E-3</v>
      </c>
      <c r="HL73" s="22">
        <f t="shared" si="330"/>
        <v>1.6280093039348532E-4</v>
      </c>
      <c r="HM73" s="437">
        <f t="shared" si="331"/>
        <v>19.046043514831094</v>
      </c>
      <c r="HN73">
        <v>2.72</v>
      </c>
      <c r="HO73">
        <f t="shared" si="332"/>
        <v>18944.781947776115</v>
      </c>
      <c r="HP73" s="237">
        <f t="shared" si="333"/>
        <v>18.944781947776114</v>
      </c>
      <c r="HQ73">
        <v>271.3</v>
      </c>
      <c r="HR73" s="237">
        <f t="shared" si="334"/>
        <v>23.620033742792554</v>
      </c>
      <c r="HS73" s="237"/>
      <c r="HU73" s="437">
        <f>SUM(HU67:HU72)</f>
        <v>262145.19157468452</v>
      </c>
      <c r="HV73" s="437">
        <f>SUM(HV67:HV72)</f>
        <v>266372.73445874371</v>
      </c>
      <c r="HW73" s="437">
        <f>SUM(HW67:HW72)</f>
        <v>238612.59137530503</v>
      </c>
      <c r="HX73" s="237"/>
    </row>
    <row r="74" spans="1:233" ht="17.399999999999999" thickBot="1" x14ac:dyDescent="0.5">
      <c r="A74" s="982"/>
      <c r="B74" s="167" t="s">
        <v>758</v>
      </c>
      <c r="C74" s="168">
        <v>40810</v>
      </c>
      <c r="D74" s="169">
        <v>45965</v>
      </c>
      <c r="E74" s="170">
        <v>43664</v>
      </c>
      <c r="F74" s="204">
        <v>130439</v>
      </c>
      <c r="G74" s="200">
        <v>1558410.184927104</v>
      </c>
      <c r="H74" s="984"/>
      <c r="I74" s="298">
        <v>-6.838480445839722E-3</v>
      </c>
      <c r="J74" s="299">
        <v>2.2456386839948484E-2</v>
      </c>
      <c r="K74" s="300">
        <v>1.5302826274781411E-2</v>
      </c>
      <c r="L74" s="187">
        <v>1.5302826274781411E-2</v>
      </c>
      <c r="M74" s="301">
        <v>-2.3506548029273211E-2</v>
      </c>
      <c r="N74" s="870"/>
      <c r="O74" s="206"/>
      <c r="P74" s="206"/>
      <c r="Q74" s="206"/>
      <c r="AP74" s="747" t="s">
        <v>711</v>
      </c>
      <c r="AQ74" s="735">
        <f t="shared" si="358"/>
        <v>4</v>
      </c>
      <c r="AR74" s="740"/>
      <c r="AS74" s="774">
        <f t="shared" si="359"/>
        <v>0</v>
      </c>
      <c r="AT74" s="740">
        <v>165.9</v>
      </c>
      <c r="AU74" s="738">
        <v>55708</v>
      </c>
      <c r="AW74" s="95">
        <f t="shared" si="248"/>
        <v>4.0307140409923616E-5</v>
      </c>
      <c r="AY74">
        <f t="shared" si="316"/>
        <v>0.222832</v>
      </c>
      <c r="BA74" s="864">
        <f t="shared" si="249"/>
        <v>1.4085903740371875E-4</v>
      </c>
      <c r="BB74" s="863">
        <f t="shared" ref="BB74:BB77" si="368">AY74/$AY$80</f>
        <v>9.425869929280818E-4</v>
      </c>
      <c r="BC74" s="864"/>
      <c r="BE74" t="s">
        <v>723</v>
      </c>
      <c r="BF74" s="101">
        <f>BB62+BB63</f>
        <v>1.1186114083473944E-2</v>
      </c>
      <c r="BG74" s="22">
        <f t="shared" si="295"/>
        <v>2.64445</v>
      </c>
      <c r="BN74" s="847">
        <f>$BG$87</f>
        <v>73.400742475326624</v>
      </c>
      <c r="BO74" s="852">
        <f>$BH$87/1000</f>
        <v>1.5371001115904509E-2</v>
      </c>
      <c r="BP74" s="852">
        <f>$BI$87/1000</f>
        <v>8.2344648835202758E-4</v>
      </c>
      <c r="BU74" s="237"/>
      <c r="BX74" s="237"/>
      <c r="BZ74" s="237"/>
      <c r="CN74" s="747" t="s">
        <v>711</v>
      </c>
      <c r="CO74" s="735">
        <f t="shared" si="360"/>
        <v>4</v>
      </c>
      <c r="CP74" s="740"/>
      <c r="CQ74" s="774">
        <f t="shared" si="361"/>
        <v>0</v>
      </c>
      <c r="CR74" s="740">
        <v>165.9</v>
      </c>
      <c r="CS74" s="738">
        <v>59444</v>
      </c>
      <c r="CU74" s="95">
        <f t="shared" si="252"/>
        <v>4.5673049475330843E-5</v>
      </c>
      <c r="CW74">
        <f t="shared" si="255"/>
        <v>0.23777599999999999</v>
      </c>
      <c r="CY74" s="95">
        <f t="shared" si="256"/>
        <v>1.7310964602889383E-4</v>
      </c>
      <c r="CZ74" s="95">
        <f t="shared" si="367"/>
        <v>1.0277375727675334E-3</v>
      </c>
      <c r="DA74" s="95"/>
      <c r="DD74" s="101">
        <f>SUM(DD46:DD72)</f>
        <v>1.9927578595368143</v>
      </c>
      <c r="DE74" s="22">
        <f>SUM(DE46:DE72)</f>
        <v>1249.2009256785152</v>
      </c>
      <c r="DS74" s="237"/>
      <c r="DV74" s="237"/>
      <c r="DX74" s="237"/>
      <c r="EG74" s="701" t="s">
        <v>726</v>
      </c>
      <c r="EH74" s="698">
        <v>1128</v>
      </c>
      <c r="EJ74">
        <v>1</v>
      </c>
      <c r="EL74" s="690" t="s">
        <v>726</v>
      </c>
      <c r="EM74" s="690">
        <f t="shared" si="355"/>
        <v>1</v>
      </c>
      <c r="EN74" s="690">
        <v>1</v>
      </c>
      <c r="EO74" s="690"/>
      <c r="EP74" s="763"/>
      <c r="EQ74" s="764"/>
      <c r="EU74">
        <f t="shared" si="351"/>
        <v>0</v>
      </c>
      <c r="EV74" s="95">
        <f t="shared" si="352"/>
        <v>0</v>
      </c>
      <c r="EW74" s="857">
        <f t="shared" si="356"/>
        <v>0</v>
      </c>
      <c r="FA74" t="s">
        <v>751</v>
      </c>
      <c r="FB74" s="101">
        <f>EW86</f>
        <v>0</v>
      </c>
      <c r="FC74" s="22">
        <f t="shared" si="338"/>
        <v>0</v>
      </c>
      <c r="FD74">
        <v>4.5</v>
      </c>
      <c r="FE74">
        <f t="shared" si="339"/>
        <v>4.4999999999999998E-2</v>
      </c>
      <c r="FF74">
        <v>0.86499999999999999</v>
      </c>
      <c r="FG74">
        <f t="shared" si="340"/>
        <v>3.8925000000000001E-2</v>
      </c>
      <c r="FH74">
        <v>43</v>
      </c>
      <c r="FI74">
        <f t="shared" si="341"/>
        <v>1.673775</v>
      </c>
      <c r="FJ74" s="847">
        <v>73.883575529983716</v>
      </c>
      <c r="FK74" s="852">
        <v>1.1024651844300431E-4</v>
      </c>
      <c r="FL74" s="852">
        <v>2.53299651715476E-3</v>
      </c>
      <c r="FM74" s="22">
        <f t="shared" si="342"/>
        <v>0</v>
      </c>
      <c r="FN74" s="22">
        <f t="shared" si="343"/>
        <v>0</v>
      </c>
      <c r="FO74" s="22">
        <f t="shared" si="344"/>
        <v>0</v>
      </c>
      <c r="FP74" s="22">
        <f t="shared" si="345"/>
        <v>0</v>
      </c>
      <c r="FQ74" s="437">
        <f t="shared" si="353"/>
        <v>0</v>
      </c>
      <c r="FR74">
        <v>6.34</v>
      </c>
      <c r="FS74">
        <f t="shared" si="346"/>
        <v>0</v>
      </c>
      <c r="FT74" s="237">
        <f t="shared" si="347"/>
        <v>0</v>
      </c>
      <c r="FU74">
        <v>137</v>
      </c>
      <c r="FV74" s="237">
        <f t="shared" si="348"/>
        <v>0</v>
      </c>
      <c r="FY74" t="s">
        <v>726</v>
      </c>
      <c r="FZ74" s="22">
        <f>SUM(FQ83:FQ84)</f>
        <v>28661.221421932438</v>
      </c>
      <c r="GA74" s="22">
        <f>SUM(FT83:FT84)</f>
        <v>27978.458773248003</v>
      </c>
      <c r="GB74" s="22">
        <f>SUM(FV83:FV84)</f>
        <v>31508.146799999999</v>
      </c>
      <c r="GC74"/>
      <c r="GD74" s="656" t="s">
        <v>757</v>
      </c>
      <c r="GE74" s="657">
        <v>12533</v>
      </c>
      <c r="GF74">
        <f t="shared" si="321"/>
        <v>61.582920000000001</v>
      </c>
      <c r="GG74" s="95">
        <f t="shared" si="322"/>
        <v>2.4039076137963224E-2</v>
      </c>
      <c r="GH74" s="641" t="s">
        <v>711</v>
      </c>
      <c r="GI74" s="641">
        <f t="shared" si="362"/>
        <v>1002</v>
      </c>
      <c r="GJ74" s="641">
        <v>610</v>
      </c>
      <c r="GK74" s="641"/>
      <c r="GL74" s="641">
        <v>144</v>
      </c>
      <c r="GM74" s="642">
        <v>52560</v>
      </c>
      <c r="GO74" s="95">
        <f t="shared" si="363"/>
        <v>5.3592631815410291E-3</v>
      </c>
      <c r="GP74" s="95">
        <f t="shared" si="364"/>
        <v>0.9951060358890701</v>
      </c>
      <c r="GS74" s="22">
        <f t="shared" si="365"/>
        <v>52.665120000000002</v>
      </c>
      <c r="GT74" s="95">
        <f t="shared" si="366"/>
        <v>2.0224002414319122E-2</v>
      </c>
      <c r="GW74" t="s">
        <v>717</v>
      </c>
      <c r="GX74" s="101">
        <f>GT73</f>
        <v>4.8470404580839722E-3</v>
      </c>
      <c r="GY74" s="22">
        <f t="shared" si="323"/>
        <v>5.2530058218963935</v>
      </c>
      <c r="GZ74">
        <v>10.5</v>
      </c>
      <c r="HA74">
        <f t="shared" si="324"/>
        <v>0.105</v>
      </c>
      <c r="HB74">
        <v>0.75</v>
      </c>
      <c r="HC74">
        <f t="shared" si="325"/>
        <v>7.8750000000000001E-2</v>
      </c>
      <c r="HD74">
        <v>43</v>
      </c>
      <c r="HE74">
        <f t="shared" si="326"/>
        <v>3.38625</v>
      </c>
      <c r="HF74">
        <v>74.054734089485606</v>
      </c>
      <c r="HG74">
        <v>1.1457692289250001E-4</v>
      </c>
      <c r="HH74">
        <v>2.5659043229536902E-3</v>
      </c>
      <c r="HI74" s="22">
        <f t="shared" si="327"/>
        <v>17.787990964396663</v>
      </c>
      <c r="HJ74" s="22">
        <f t="shared" si="328"/>
        <v>1317.2849408545676</v>
      </c>
      <c r="HK74" s="22">
        <f t="shared" si="329"/>
        <v>2.0380932691401632E-3</v>
      </c>
      <c r="HL74" s="22">
        <f t="shared" si="330"/>
        <v>4.564228291220658E-2</v>
      </c>
      <c r="HM74" s="437">
        <f t="shared" si="331"/>
        <v>1329.8060192690205</v>
      </c>
      <c r="HN74">
        <v>2.34</v>
      </c>
      <c r="HO74">
        <f t="shared" si="332"/>
        <v>1290663.5304399438</v>
      </c>
      <c r="HP74" s="237">
        <f t="shared" si="333"/>
        <v>1290.6635304399438</v>
      </c>
      <c r="HQ74">
        <v>239.5</v>
      </c>
      <c r="HR74" s="237">
        <f t="shared" si="334"/>
        <v>1258.0948943441861</v>
      </c>
      <c r="HS74" s="237"/>
      <c r="HX74" s="237"/>
    </row>
    <row r="75" spans="1:233" ht="17.399999999999999" thickBot="1" x14ac:dyDescent="0.5">
      <c r="A75" s="296" t="s">
        <v>760</v>
      </c>
      <c r="B75" s="188"/>
      <c r="C75" s="174">
        <v>40513.583333333336</v>
      </c>
      <c r="D75" s="174">
        <v>44141.43207725868</v>
      </c>
      <c r="E75" s="174">
        <v>45212.5</v>
      </c>
      <c r="F75" s="175">
        <v>129867.51541059201</v>
      </c>
      <c r="G75" s="175"/>
      <c r="H75" s="984"/>
      <c r="I75" s="189">
        <v>-3.8560478160581502E-2</v>
      </c>
      <c r="J75" s="189">
        <v>-2.9885171297642343E-2</v>
      </c>
      <c r="K75" s="190">
        <v>-3.1206037336698467E-3</v>
      </c>
      <c r="L75" s="191"/>
      <c r="M75" s="190">
        <v>-2.3506548029273211E-2</v>
      </c>
      <c r="N75" s="891"/>
      <c r="O75" s="872"/>
      <c r="P75" s="872"/>
      <c r="Q75" s="872"/>
      <c r="AP75" s="747" t="s">
        <v>716</v>
      </c>
      <c r="AQ75" s="735">
        <f t="shared" si="358"/>
        <v>97</v>
      </c>
      <c r="AR75" s="742"/>
      <c r="AS75" s="774">
        <f t="shared" si="359"/>
        <v>0</v>
      </c>
      <c r="AT75" s="740">
        <v>47.3</v>
      </c>
      <c r="AU75" s="738">
        <v>13769</v>
      </c>
      <c r="AW75" s="95">
        <f t="shared" si="248"/>
        <v>9.7744815494064767E-4</v>
      </c>
      <c r="AY75">
        <f t="shared" si="316"/>
        <v>1.335593</v>
      </c>
      <c r="BA75" s="865">
        <f t="shared" si="249"/>
        <v>8.442698730126056E-4</v>
      </c>
      <c r="BB75" s="863">
        <f t="shared" si="368"/>
        <v>5.6496041396468886E-3</v>
      </c>
      <c r="BC75" s="865"/>
      <c r="BQ75" s="22">
        <f>SUM(BQ46:BQ74)</f>
        <v>3579.6053076494763</v>
      </c>
      <c r="BR75" s="22">
        <f>SUM(BR46:BR74)</f>
        <v>263970.78718984401</v>
      </c>
      <c r="BS75" s="22">
        <f>SUM(BS46:BS74)</f>
        <v>9.7680737912131743</v>
      </c>
      <c r="BT75" s="22">
        <f>SUM(BT46:BT74)</f>
        <v>11.507776704015839</v>
      </c>
      <c r="BU75" s="437">
        <f>BR75+BS75*BS43+BT75*BT43</f>
        <v>267403.49882901844</v>
      </c>
      <c r="BW75" s="22">
        <f>SUM(BW46:BW72)</f>
        <v>278359749.1912846</v>
      </c>
      <c r="BX75" s="437">
        <f>SUM(BX46:BX74)</f>
        <v>278407.27571448451</v>
      </c>
      <c r="BZ75" s="237">
        <f>SUM(BZ46:BZ72)</f>
        <v>243881.7088849982</v>
      </c>
      <c r="CN75" s="747" t="s">
        <v>716</v>
      </c>
      <c r="CO75" s="735">
        <f t="shared" si="360"/>
        <v>105</v>
      </c>
      <c r="CP75" s="742"/>
      <c r="CQ75" s="774">
        <f t="shared" si="361"/>
        <v>0</v>
      </c>
      <c r="CR75" s="740">
        <v>47.3</v>
      </c>
      <c r="CS75" s="738">
        <v>16144</v>
      </c>
      <c r="CU75" s="95">
        <f t="shared" si="252"/>
        <v>1.1989175487274347E-3</v>
      </c>
      <c r="CW75">
        <f t="shared" si="255"/>
        <v>1.69512</v>
      </c>
      <c r="CY75" s="95">
        <f t="shared" si="256"/>
        <v>1.2341095113741444E-3</v>
      </c>
      <c r="CZ75" s="95">
        <f t="shared" si="367"/>
        <v>7.326805541138303E-3</v>
      </c>
      <c r="DA75" s="95"/>
      <c r="DD75" s="101"/>
      <c r="DE75" s="22"/>
      <c r="DO75" s="22">
        <f>SUM(DO46:DO74)</f>
        <v>3706.0810307162446</v>
      </c>
      <c r="DP75" s="22">
        <f>SUM(DP46:DP74)</f>
        <v>272978.64629494597</v>
      </c>
      <c r="DQ75" s="22">
        <f>SUM(DQ46:DQ74)</f>
        <v>6.5273408337098422</v>
      </c>
      <c r="DR75" s="22">
        <f>SUM(DR46:DR74)</f>
        <v>7.3062924950119958</v>
      </c>
      <c r="DS75" s="437">
        <f>DP75+DQ75*DQ43+DR75*DR43</f>
        <v>275167.77890292881</v>
      </c>
      <c r="DU75" s="22">
        <f>SUM(DU46:DU72)</f>
        <v>284578567.76943684</v>
      </c>
      <c r="DV75" s="437">
        <f>SUM(DV46:DV74)</f>
        <v>284627.79902943678</v>
      </c>
      <c r="DX75" s="237">
        <f>SUM(DX46:DX72)</f>
        <v>248769.3026211379</v>
      </c>
      <c r="EG75" s="697" t="s">
        <v>750</v>
      </c>
      <c r="EH75" s="695">
        <v>1088</v>
      </c>
      <c r="EI75">
        <v>707</v>
      </c>
      <c r="EL75" s="762" t="s">
        <v>732</v>
      </c>
      <c r="EM75" s="763"/>
      <c r="EN75" s="763"/>
      <c r="EO75" s="763"/>
      <c r="EP75" s="687">
        <v>42.74</v>
      </c>
      <c r="EQ75" s="689">
        <v>15602</v>
      </c>
      <c r="ES75" s="703">
        <f t="shared" ref="ES75:ET80" si="369">EM76/EM90</f>
        <v>0.27189661323175712</v>
      </c>
      <c r="ET75" s="95">
        <f t="shared" si="369"/>
        <v>0.32208034405982988</v>
      </c>
      <c r="EU75">
        <f t="shared" si="351"/>
        <v>368.62845399999998</v>
      </c>
      <c r="EV75" s="95">
        <f t="shared" si="352"/>
        <v>0.27578430360922135</v>
      </c>
      <c r="EW75" s="857">
        <f>EU75/$EU$89</f>
        <v>0.33131294592641941</v>
      </c>
      <c r="EZ75" t="s">
        <v>728</v>
      </c>
      <c r="FA75" t="s">
        <v>717</v>
      </c>
      <c r="FB75" s="101">
        <f>EW76</f>
        <v>1.6358306294776102E-2</v>
      </c>
      <c r="FC75" s="22">
        <f t="shared" ref="FC75:FC84" si="370">FB75*$EZ$64</f>
        <v>3.6646820000000004</v>
      </c>
      <c r="FD75">
        <v>10.5</v>
      </c>
      <c r="FE75">
        <f t="shared" si="339"/>
        <v>0.105</v>
      </c>
      <c r="FF75">
        <v>0.75</v>
      </c>
      <c r="FG75">
        <f t="shared" si="340"/>
        <v>7.8750000000000001E-2</v>
      </c>
      <c r="FH75">
        <v>44.3</v>
      </c>
      <c r="FI75">
        <f t="shared" si="341"/>
        <v>3.4886249999999999</v>
      </c>
      <c r="FJ75" s="847">
        <v>73.883575529983716</v>
      </c>
      <c r="FK75" s="852">
        <v>1.1024651844300431E-4</v>
      </c>
      <c r="FL75" s="852">
        <v>2.53299651715476E-3</v>
      </c>
      <c r="FM75" s="22">
        <f t="shared" si="342"/>
        <v>12.784701242250001</v>
      </c>
      <c r="FN75" s="22">
        <f t="shared" si="343"/>
        <v>944.57943986005466</v>
      </c>
      <c r="FO75" s="22">
        <f t="shared" si="344"/>
        <v>1.4094688012920148E-3</v>
      </c>
      <c r="FP75" s="22">
        <f t="shared" si="345"/>
        <v>3.2383603719483386E-2</v>
      </c>
      <c r="FQ75" s="437">
        <f t="shared" si="353"/>
        <v>953.46216584575211</v>
      </c>
      <c r="FR75">
        <v>2.34</v>
      </c>
      <c r="FS75">
        <f t="shared" si="346"/>
        <v>900412.36739999999</v>
      </c>
      <c r="FT75" s="237">
        <f t="shared" si="347"/>
        <v>900.41236739999999</v>
      </c>
      <c r="FU75">
        <v>188</v>
      </c>
      <c r="FV75" s="237">
        <f t="shared" si="348"/>
        <v>688.96021600000006</v>
      </c>
      <c r="FY75"/>
      <c r="FZ75" s="437">
        <f>SUM(FZ69:FZ74)</f>
        <v>282125.59829145751</v>
      </c>
      <c r="GA75" s="437">
        <f>SUM(GA69:GA74)</f>
        <v>287264.28159736458</v>
      </c>
      <c r="GB75" s="437">
        <f>SUM(GB69:GB74)</f>
        <v>258789.80171359368</v>
      </c>
      <c r="GC75"/>
      <c r="GD75" s="658" t="s">
        <v>780</v>
      </c>
      <c r="GE75">
        <v>12533</v>
      </c>
      <c r="GF75">
        <f t="shared" si="321"/>
        <v>212.56773999999999</v>
      </c>
      <c r="GG75" s="95">
        <f t="shared" si="322"/>
        <v>8.2976450066589408E-2</v>
      </c>
      <c r="GH75" s="643" t="s">
        <v>716</v>
      </c>
      <c r="GI75" s="643">
        <f t="shared" si="362"/>
        <v>13580</v>
      </c>
      <c r="GJ75" s="649">
        <v>7346</v>
      </c>
      <c r="GK75" s="643"/>
      <c r="GL75" s="643">
        <v>43.39</v>
      </c>
      <c r="GM75" s="645">
        <v>15838</v>
      </c>
      <c r="GO75" s="95">
        <f t="shared" si="363"/>
        <v>7.2633526951424318E-2</v>
      </c>
      <c r="GP75" s="95">
        <f t="shared" si="364"/>
        <v>0.82280465949820791</v>
      </c>
      <c r="GS75" s="22">
        <f t="shared" si="365"/>
        <v>215.08004</v>
      </c>
      <c r="GT75" s="95">
        <f t="shared" si="366"/>
        <v>8.2593170740555666E-2</v>
      </c>
      <c r="GV75" t="s">
        <v>733</v>
      </c>
      <c r="GW75" t="s">
        <v>675</v>
      </c>
      <c r="GX75" s="101">
        <f>GT68</f>
        <v>1.2510025196407591E-2</v>
      </c>
      <c r="GY75" s="22">
        <f t="shared" si="323"/>
        <v>13.557806202999341</v>
      </c>
      <c r="GZ75">
        <v>12</v>
      </c>
      <c r="HA75">
        <f t="shared" si="324"/>
        <v>0.12</v>
      </c>
      <c r="HB75">
        <v>0.75</v>
      </c>
      <c r="HC75">
        <f t="shared" si="325"/>
        <v>0.09</v>
      </c>
      <c r="HD75">
        <v>44.3</v>
      </c>
      <c r="HE75">
        <f t="shared" si="326"/>
        <v>3.9869999999999997</v>
      </c>
      <c r="HF75">
        <v>70.9769741921898</v>
      </c>
      <c r="HG75">
        <v>7.3169105356480999E-3</v>
      </c>
      <c r="HH75">
        <v>6.0998104818480998E-4</v>
      </c>
      <c r="HI75" s="22">
        <f t="shared" si="327"/>
        <v>54.054973331358369</v>
      </c>
      <c r="HJ75" s="22">
        <f t="shared" si="328"/>
        <v>3836.6584470993307</v>
      </c>
      <c r="HK75" s="22">
        <f t="shared" si="329"/>
        <v>0.39551540387239309</v>
      </c>
      <c r="HL75" s="22">
        <f t="shared" si="330"/>
        <v>3.2972509292263925E-2</v>
      </c>
      <c r="HM75" s="437">
        <f t="shared" si="331"/>
        <v>3857.4463011715161</v>
      </c>
      <c r="HN75">
        <v>2.34</v>
      </c>
      <c r="HO75">
        <f t="shared" si="332"/>
        <v>3807031.9818022149</v>
      </c>
      <c r="HP75" s="237">
        <f t="shared" si="333"/>
        <v>3807.0319818022149</v>
      </c>
      <c r="HQ75">
        <v>271.3</v>
      </c>
      <c r="HR75" s="237">
        <f t="shared" si="334"/>
        <v>3678.2328228737219</v>
      </c>
      <c r="HS75" s="237"/>
      <c r="HT75" t="s">
        <v>285</v>
      </c>
      <c r="HU75" s="22">
        <f>HU67</f>
        <v>174864.49908137057</v>
      </c>
      <c r="HV75" s="22">
        <f>HV67</f>
        <v>181042.73979258962</v>
      </c>
      <c r="HW75" s="22">
        <f>HW67</f>
        <v>155463.02486083072</v>
      </c>
      <c r="HX75" s="237"/>
      <c r="HY75">
        <f>HU75/HU78</f>
        <v>0.66705209441750168</v>
      </c>
    </row>
    <row r="76" spans="1:233" ht="17.399999999999999" thickBot="1" x14ac:dyDescent="0.5">
      <c r="A76" s="981">
        <v>2010</v>
      </c>
      <c r="B76" s="288" t="s">
        <v>710</v>
      </c>
      <c r="C76" s="152">
        <v>38769</v>
      </c>
      <c r="D76" s="153">
        <v>40948</v>
      </c>
      <c r="E76" s="154">
        <v>40896</v>
      </c>
      <c r="F76" s="155">
        <v>120613</v>
      </c>
      <c r="G76" s="199">
        <v>120613</v>
      </c>
      <c r="H76" s="1063" t="s">
        <v>789</v>
      </c>
      <c r="I76" s="309">
        <v>-3.2009188284936707E-2</v>
      </c>
      <c r="J76" s="305">
        <v>-2.674916706330319E-2</v>
      </c>
      <c r="K76" s="306">
        <v>-2.7518423556351035E-2</v>
      </c>
      <c r="L76" s="179">
        <v>-2.7518423556351035E-2</v>
      </c>
      <c r="M76" s="307">
        <v>-2.7518423556351035E-2</v>
      </c>
      <c r="N76" s="870"/>
      <c r="O76" s="206"/>
      <c r="P76" s="206"/>
      <c r="Q76" s="206"/>
      <c r="W76" t="s">
        <v>747</v>
      </c>
      <c r="AP76" s="747" t="s">
        <v>722</v>
      </c>
      <c r="AQ76" s="735">
        <f t="shared" si="358"/>
        <v>4</v>
      </c>
      <c r="AR76" s="740"/>
      <c r="AS76" s="774">
        <f t="shared" si="359"/>
        <v>0</v>
      </c>
      <c r="AT76" s="740">
        <v>42</v>
      </c>
      <c r="AU76" s="738">
        <v>16046</v>
      </c>
      <c r="AW76" s="95">
        <f t="shared" si="248"/>
        <v>4.0307140409923616E-5</v>
      </c>
      <c r="AY76">
        <f t="shared" si="316"/>
        <v>6.4184000000000005E-2</v>
      </c>
      <c r="BA76" s="95">
        <f t="shared" si="249"/>
        <v>4.0572702559418239E-5</v>
      </c>
      <c r="BB76" s="863">
        <f t="shared" si="368"/>
        <v>2.7150051857047463E-4</v>
      </c>
      <c r="BC76" s="95"/>
      <c r="BF76" s="101">
        <f>SUM(BF46:BF74)</f>
        <v>2.0004922744663656</v>
      </c>
      <c r="BG76">
        <f>SUM(BG46:BG74)</f>
        <v>1252.8552383026445</v>
      </c>
      <c r="CN76" s="747" t="s">
        <v>722</v>
      </c>
      <c r="CO76" s="735">
        <f t="shared" si="360"/>
        <v>4</v>
      </c>
      <c r="CP76" s="740"/>
      <c r="CQ76" s="774">
        <f t="shared" si="361"/>
        <v>0</v>
      </c>
      <c r="CR76" s="740">
        <v>42</v>
      </c>
      <c r="CS76" s="738">
        <v>14900</v>
      </c>
      <c r="CU76" s="95">
        <f t="shared" si="252"/>
        <v>4.5673049475330843E-5</v>
      </c>
      <c r="CW76">
        <f t="shared" si="255"/>
        <v>5.96E-2</v>
      </c>
      <c r="CY76" s="95">
        <f t="shared" si="256"/>
        <v>4.3390985226944993E-5</v>
      </c>
      <c r="CZ76" s="95">
        <f t="shared" si="367"/>
        <v>2.5760867092114003E-4</v>
      </c>
      <c r="DA76" s="95"/>
      <c r="EG76" s="701" t="s">
        <v>285</v>
      </c>
      <c r="EH76" s="695">
        <v>1</v>
      </c>
      <c r="EJ76">
        <v>888</v>
      </c>
      <c r="EL76" s="687" t="s">
        <v>285</v>
      </c>
      <c r="EM76" s="687">
        <f t="shared" ref="EM76:EM81" si="371">SUMIF($EG$85:$EG$90,EL76,$EI$84:$EI$89)</f>
        <v>23627</v>
      </c>
      <c r="EN76" s="688">
        <v>16925</v>
      </c>
      <c r="EO76" s="687"/>
      <c r="EP76" s="690">
        <v>62.36</v>
      </c>
      <c r="EQ76" s="691">
        <v>22762</v>
      </c>
      <c r="ES76" s="703">
        <f t="shared" si="369"/>
        <v>0.9526627218934911</v>
      </c>
      <c r="ET76" s="95">
        <f t="shared" si="369"/>
        <v>0.91489361702127658</v>
      </c>
      <c r="EU76">
        <f t="shared" si="351"/>
        <v>3.664682</v>
      </c>
      <c r="EV76" s="95">
        <f t="shared" si="352"/>
        <v>2.7416813931548769E-3</v>
      </c>
      <c r="EW76" s="857">
        <f t="shared" ref="EW76:EW81" si="372">EU76/$EU$100</f>
        <v>1.6358306294776102E-2</v>
      </c>
      <c r="FA76" t="s">
        <v>675</v>
      </c>
      <c r="FB76" s="101">
        <f>EW69</f>
        <v>1.7630115393872564E-4</v>
      </c>
      <c r="FC76" s="22">
        <f t="shared" si="370"/>
        <v>3.9496000000000003E-2</v>
      </c>
      <c r="FD76">
        <v>8</v>
      </c>
      <c r="FE76">
        <f t="shared" si="339"/>
        <v>0.08</v>
      </c>
      <c r="FF76">
        <v>0.86499999999999999</v>
      </c>
      <c r="FG76">
        <f t="shared" si="340"/>
        <v>6.9199999999999998E-2</v>
      </c>
      <c r="FH76">
        <v>44.3</v>
      </c>
      <c r="FI76">
        <f t="shared" si="341"/>
        <v>3.0655599999999996</v>
      </c>
      <c r="FJ76" s="847">
        <v>73.231096434849775</v>
      </c>
      <c r="FK76" s="852">
        <v>4.5695578598240177E-3</v>
      </c>
      <c r="FL76" s="852">
        <v>4.4568227585513781E-4</v>
      </c>
      <c r="FM76" s="22">
        <f t="shared" si="342"/>
        <v>0.12107735775999999</v>
      </c>
      <c r="FN76" s="22">
        <f t="shared" si="343"/>
        <v>8.8666276621993667</v>
      </c>
      <c r="FO76" s="22">
        <f t="shared" si="344"/>
        <v>5.5326999179893248E-4</v>
      </c>
      <c r="FP76" s="22">
        <f t="shared" si="345"/>
        <v>5.3962032361003528E-5</v>
      </c>
      <c r="FQ76" s="437">
        <f t="shared" si="353"/>
        <v>8.8978467427895289</v>
      </c>
      <c r="FR76">
        <v>2.72</v>
      </c>
      <c r="FS76">
        <f t="shared" si="346"/>
        <v>8594.3296000000009</v>
      </c>
      <c r="FT76" s="237">
        <f t="shared" si="347"/>
        <v>8.5943296000000018</v>
      </c>
      <c r="FU76">
        <v>207</v>
      </c>
      <c r="FV76" s="237">
        <f t="shared" si="348"/>
        <v>8.1756720000000005</v>
      </c>
      <c r="FY76"/>
      <c r="FZ76"/>
      <c r="GA76"/>
      <c r="GB76"/>
      <c r="GC76"/>
      <c r="GD76" s="656" t="s">
        <v>762</v>
      </c>
      <c r="GE76" s="657">
        <v>7399</v>
      </c>
      <c r="GF76">
        <f t="shared" si="321"/>
        <v>38.782625000000003</v>
      </c>
      <c r="GG76" s="95">
        <f t="shared" si="322"/>
        <v>1.5138913114303059E-2</v>
      </c>
      <c r="GH76" s="641" t="s">
        <v>722</v>
      </c>
      <c r="GI76" s="641">
        <f t="shared" si="362"/>
        <v>2443</v>
      </c>
      <c r="GJ76" s="644">
        <v>1642</v>
      </c>
      <c r="GK76" s="641"/>
      <c r="GL76" s="641">
        <v>47.6</v>
      </c>
      <c r="GM76" s="642">
        <v>17373</v>
      </c>
      <c r="GO76" s="95">
        <f t="shared" si="363"/>
        <v>1.306654685878716E-2</v>
      </c>
      <c r="GP76" s="95">
        <f t="shared" si="364"/>
        <v>0.95799299883313882</v>
      </c>
      <c r="GS76" s="22">
        <f t="shared" si="365"/>
        <v>42.442239000000001</v>
      </c>
      <c r="GT76" s="95">
        <f t="shared" si="366"/>
        <v>1.6298300355246684E-2</v>
      </c>
      <c r="GW76" t="s">
        <v>717</v>
      </c>
      <c r="GX76" s="101">
        <f>GT75</f>
        <v>8.2593170740555666E-2</v>
      </c>
      <c r="GY76" s="22">
        <f t="shared" si="323"/>
        <v>89.510787149593327</v>
      </c>
      <c r="GZ76">
        <v>13</v>
      </c>
      <c r="HA76">
        <f t="shared" si="324"/>
        <v>0.13</v>
      </c>
      <c r="HB76">
        <v>0.86499999999999999</v>
      </c>
      <c r="HC76">
        <f t="shared" si="325"/>
        <v>0.11245000000000001</v>
      </c>
      <c r="HD76">
        <v>43</v>
      </c>
      <c r="HE76">
        <f t="shared" si="326"/>
        <v>4.83535</v>
      </c>
      <c r="HF76">
        <v>74.054734089485606</v>
      </c>
      <c r="HG76">
        <v>1.1457692289250001E-4</v>
      </c>
      <c r="HH76">
        <v>2.5659043229536902E-3</v>
      </c>
      <c r="HI76" s="22">
        <f t="shared" si="327"/>
        <v>432.81598464378612</v>
      </c>
      <c r="HJ76" s="22">
        <f t="shared" si="328"/>
        <v>32052.072652474468</v>
      </c>
      <c r="HK76" s="22">
        <f t="shared" si="329"/>
        <v>4.9590723699172549E-2</v>
      </c>
      <c r="HL76" s="22">
        <f t="shared" si="330"/>
        <v>1.1105644060409487</v>
      </c>
      <c r="HM76" s="437">
        <f t="shared" si="331"/>
        <v>32356.734538889883</v>
      </c>
      <c r="HN76">
        <v>2.72</v>
      </c>
      <c r="HO76">
        <f t="shared" si="332"/>
        <v>31651014.336096205</v>
      </c>
      <c r="HP76" s="237">
        <f t="shared" si="333"/>
        <v>31651.014336096207</v>
      </c>
      <c r="HQ76">
        <v>239.5</v>
      </c>
      <c r="HR76" s="237">
        <f t="shared" si="334"/>
        <v>21437.833522327601</v>
      </c>
      <c r="HS76" s="237"/>
      <c r="HT76" s="16" t="s">
        <v>346</v>
      </c>
      <c r="HU76" s="22">
        <f>HU68+HU70</f>
        <v>14312.838005175754</v>
      </c>
      <c r="HV76" s="22">
        <f>HV68+HV70</f>
        <v>13960.252164203521</v>
      </c>
      <c r="HW76" s="22">
        <f>HW68+HW70</f>
        <v>18842.312335629147</v>
      </c>
      <c r="HX76" s="237"/>
      <c r="HY76">
        <f>HU76/HU78</f>
        <v>5.459889582257723E-2</v>
      </c>
    </row>
    <row r="77" spans="1:233" ht="17.399999999999999" thickBot="1" x14ac:dyDescent="0.5">
      <c r="A77" s="981"/>
      <c r="B77" s="159" t="s">
        <v>715</v>
      </c>
      <c r="C77" s="160">
        <v>40353</v>
      </c>
      <c r="D77" s="161">
        <v>42290</v>
      </c>
      <c r="E77" s="162">
        <v>42919</v>
      </c>
      <c r="F77" s="163">
        <v>125562</v>
      </c>
      <c r="G77" s="200">
        <v>246175</v>
      </c>
      <c r="H77" s="1064"/>
      <c r="I77" s="310">
        <v>-2.688820295167358E-2</v>
      </c>
      <c r="J77" s="181">
        <v>-2.0851869595966511E-2</v>
      </c>
      <c r="K77" s="182">
        <v>-2.2688885948457749E-2</v>
      </c>
      <c r="L77" s="183">
        <v>-2.2688885948457749E-2</v>
      </c>
      <c r="M77" s="292">
        <v>-2.5061088383108276E-2</v>
      </c>
      <c r="N77" s="870"/>
      <c r="O77" s="206"/>
      <c r="P77" s="206"/>
      <c r="Q77" s="206"/>
      <c r="V77">
        <v>2019</v>
      </c>
      <c r="AP77" s="747" t="s">
        <v>726</v>
      </c>
      <c r="AQ77" s="735">
        <f t="shared" si="358"/>
        <v>24</v>
      </c>
      <c r="AR77" s="742"/>
      <c r="AS77" s="774">
        <f t="shared" si="359"/>
        <v>0</v>
      </c>
      <c r="AT77" s="740">
        <v>77</v>
      </c>
      <c r="AU77" s="738">
        <v>28209</v>
      </c>
      <c r="AW77" s="95">
        <f t="shared" si="248"/>
        <v>2.418428424595417E-4</v>
      </c>
      <c r="AY77">
        <f>AQ77*AU77/1000000</f>
        <v>0.67701599999999995</v>
      </c>
      <c r="BA77" s="95">
        <f t="shared" si="249"/>
        <v>4.2796286918807014E-4</v>
      </c>
      <c r="BB77" s="863">
        <f t="shared" si="368"/>
        <v>2.8638008706298834E-3</v>
      </c>
      <c r="BC77" s="95"/>
      <c r="BF77" s="101">
        <f>SUM(BF55:BF74)</f>
        <v>1.000492274466366</v>
      </c>
      <c r="BG77" s="22">
        <f>SUM(BG46:BG54)</f>
        <v>1016.3341573026447</v>
      </c>
      <c r="BH77" s="22">
        <f>SUM(BG55:BG74)</f>
        <v>236.52108100000001</v>
      </c>
      <c r="BI77" s="22">
        <f>BH77+BG77</f>
        <v>1252.8552383026447</v>
      </c>
      <c r="BX77" s="23">
        <f>SUM(CM66:CM71)</f>
        <v>0</v>
      </c>
      <c r="CN77" s="747" t="s">
        <v>726</v>
      </c>
      <c r="CO77" s="735">
        <f t="shared" si="360"/>
        <v>25</v>
      </c>
      <c r="CP77" s="742"/>
      <c r="CQ77" s="774">
        <f t="shared" si="361"/>
        <v>0</v>
      </c>
      <c r="CR77" s="740">
        <v>77</v>
      </c>
      <c r="CS77" s="738">
        <v>28052</v>
      </c>
      <c r="CU77" s="95">
        <f t="shared" si="252"/>
        <v>2.8545655922081778E-4</v>
      </c>
      <c r="CW77">
        <f t="shared" si="255"/>
        <v>0.70130000000000003</v>
      </c>
      <c r="CY77" s="95">
        <f>CW77/$CW$79</f>
        <v>5.105721130814853E-4</v>
      </c>
      <c r="CZ77" s="95">
        <f t="shared" si="367"/>
        <v>3.0312241764596562E-3</v>
      </c>
      <c r="DA77" s="95"/>
      <c r="DV77" s="23">
        <f>SUM(EK66:EK71)</f>
        <v>0</v>
      </c>
      <c r="EG77" s="701" t="s">
        <v>709</v>
      </c>
      <c r="EH77" s="695">
        <v>39</v>
      </c>
      <c r="EL77" s="690" t="s">
        <v>709</v>
      </c>
      <c r="EM77" s="690">
        <f t="shared" si="371"/>
        <v>161</v>
      </c>
      <c r="EN77" s="690">
        <v>172</v>
      </c>
      <c r="EO77" s="690"/>
      <c r="EP77" s="690">
        <v>168.38</v>
      </c>
      <c r="EQ77" s="691">
        <v>61460</v>
      </c>
      <c r="ES77" s="703">
        <f t="shared" si="369"/>
        <v>0.94589877835951131</v>
      </c>
      <c r="ET77" s="95">
        <f t="shared" si="369"/>
        <v>0.98936170212765961</v>
      </c>
      <c r="EU77">
        <f t="shared" si="351"/>
        <v>33.311320000000002</v>
      </c>
      <c r="EV77" s="95">
        <f t="shared" si="352"/>
        <v>2.4921405520432038E-2</v>
      </c>
      <c r="EW77" s="857">
        <f t="shared" si="372"/>
        <v>0.14869415017273016</v>
      </c>
      <c r="EZ77" t="s">
        <v>733</v>
      </c>
      <c r="FA77" t="s">
        <v>717</v>
      </c>
      <c r="FB77" s="101">
        <f>EW78</f>
        <v>0.46296808902690478</v>
      </c>
      <c r="FC77" s="22">
        <f t="shared" si="370"/>
        <v>103.71677800000001</v>
      </c>
      <c r="FD77">
        <v>13</v>
      </c>
      <c r="FE77">
        <f t="shared" si="339"/>
        <v>0.13</v>
      </c>
      <c r="FF77">
        <v>0.75</v>
      </c>
      <c r="FG77">
        <f t="shared" si="340"/>
        <v>9.7500000000000003E-2</v>
      </c>
      <c r="FH77">
        <v>43</v>
      </c>
      <c r="FI77">
        <f t="shared" si="341"/>
        <v>4.1924999999999999</v>
      </c>
      <c r="FJ77" s="847">
        <v>73.883575529983716</v>
      </c>
      <c r="FK77" s="852">
        <v>7.7403237955161073E-5</v>
      </c>
      <c r="FL77" s="852">
        <v>1.9766762674137761E-3</v>
      </c>
      <c r="FM77" s="22">
        <f t="shared" si="342"/>
        <v>434.83259176500002</v>
      </c>
      <c r="FN77" s="22">
        <f t="shared" si="343"/>
        <v>32126.986636567955</v>
      </c>
      <c r="FO77" s="22">
        <f t="shared" si="344"/>
        <v>3.3657450571045709E-2</v>
      </c>
      <c r="FP77" s="22">
        <f t="shared" si="345"/>
        <v>0.85952326443989857</v>
      </c>
      <c r="FQ77" s="437">
        <f t="shared" si="353"/>
        <v>32362.639479787063</v>
      </c>
      <c r="FR77">
        <v>2.34</v>
      </c>
      <c r="FS77">
        <f t="shared" si="346"/>
        <v>31550643.867599998</v>
      </c>
      <c r="FT77" s="237">
        <f t="shared" si="347"/>
        <v>31550.643867599996</v>
      </c>
      <c r="FU77">
        <v>240</v>
      </c>
      <c r="FV77" s="237">
        <f t="shared" si="348"/>
        <v>24892.026720000002</v>
      </c>
      <c r="FY77" t="s">
        <v>285</v>
      </c>
      <c r="FZ77" s="22">
        <f>FZ69</f>
        <v>188905.90072786019</v>
      </c>
      <c r="GA77" s="22">
        <f>GA69</f>
        <v>196333.26056883659</v>
      </c>
      <c r="GB77" s="22">
        <f>GB69</f>
        <v>164126.49219859371</v>
      </c>
      <c r="GC77"/>
      <c r="GD77" s="658" t="s">
        <v>780</v>
      </c>
      <c r="GE77">
        <v>7390</v>
      </c>
      <c r="GF77">
        <f t="shared" si="321"/>
        <v>106.231824</v>
      </c>
      <c r="GG77" s="95">
        <f t="shared" si="322"/>
        <v>4.1467908722267618E-2</v>
      </c>
      <c r="GH77" s="643" t="s">
        <v>726</v>
      </c>
      <c r="GI77" s="643">
        <f t="shared" si="362"/>
        <v>3204</v>
      </c>
      <c r="GJ77" s="649">
        <v>1959</v>
      </c>
      <c r="GK77" s="643"/>
      <c r="GL77" s="643">
        <v>90.51</v>
      </c>
      <c r="GM77" s="645">
        <v>33038</v>
      </c>
      <c r="GO77" s="95">
        <f t="shared" si="363"/>
        <v>1.713680562241263E-2</v>
      </c>
      <c r="GP77" s="95">
        <f t="shared" si="364"/>
        <v>0.99492127983748091</v>
      </c>
      <c r="GS77" s="22">
        <f t="shared" si="365"/>
        <v>105.853752</v>
      </c>
      <c r="GT77" s="95">
        <f t="shared" si="366"/>
        <v>4.0649039364435847E-2</v>
      </c>
      <c r="GV77" t="s">
        <v>737</v>
      </c>
      <c r="GW77" t="s">
        <v>675</v>
      </c>
      <c r="GX77" s="101">
        <f>GT67</f>
        <v>0</v>
      </c>
      <c r="GY77" s="22">
        <f t="shared" si="323"/>
        <v>0</v>
      </c>
      <c r="GZ77">
        <v>25</v>
      </c>
      <c r="HA77">
        <f t="shared" si="324"/>
        <v>0.25</v>
      </c>
      <c r="HB77">
        <v>0.75</v>
      </c>
      <c r="HC77">
        <f t="shared" si="325"/>
        <v>0.1875</v>
      </c>
      <c r="HD77">
        <v>44.3</v>
      </c>
      <c r="HE77">
        <f t="shared" si="326"/>
        <v>8.3062499999999986</v>
      </c>
      <c r="HF77">
        <v>71.051104664576499</v>
      </c>
      <c r="HG77">
        <v>1.53682172957139E-2</v>
      </c>
      <c r="HH77">
        <v>8.2329735512008E-4</v>
      </c>
      <c r="HI77" s="22">
        <f t="shared" si="327"/>
        <v>0</v>
      </c>
      <c r="HJ77" s="22">
        <f t="shared" si="328"/>
        <v>0</v>
      </c>
      <c r="HK77" s="22">
        <f t="shared" si="329"/>
        <v>0</v>
      </c>
      <c r="HL77" s="22">
        <f t="shared" si="330"/>
        <v>0</v>
      </c>
      <c r="HM77" s="437">
        <f t="shared" si="331"/>
        <v>0</v>
      </c>
      <c r="HN77">
        <v>2.34</v>
      </c>
      <c r="HO77">
        <f t="shared" si="332"/>
        <v>0</v>
      </c>
      <c r="HP77" s="237">
        <f t="shared" si="333"/>
        <v>0</v>
      </c>
      <c r="HQ77">
        <v>801.2</v>
      </c>
      <c r="HR77" s="237">
        <f t="shared" si="334"/>
        <v>0</v>
      </c>
      <c r="HS77" s="237"/>
      <c r="HT77" t="s">
        <v>288</v>
      </c>
      <c r="HU77" s="22">
        <f>HU69+HU71+HU72</f>
        <v>72967.854488138226</v>
      </c>
      <c r="HV77" s="22">
        <f>HV69+HV71+HV72</f>
        <v>71369.742501950575</v>
      </c>
      <c r="HW77" s="22">
        <f>HW69+HW71+HW72</f>
        <v>64307.254178845156</v>
      </c>
      <c r="HX77" s="237"/>
      <c r="HY77">
        <f>HU77/HU78</f>
        <v>0.27834900975992094</v>
      </c>
    </row>
    <row r="78" spans="1:233" ht="17.399999999999999" thickBot="1" x14ac:dyDescent="0.5">
      <c r="A78" s="981"/>
      <c r="B78" s="159" t="s">
        <v>718</v>
      </c>
      <c r="C78" s="160">
        <v>39577.55385956086</v>
      </c>
      <c r="D78" s="161">
        <v>44527</v>
      </c>
      <c r="E78" s="162">
        <v>44702</v>
      </c>
      <c r="F78" s="163">
        <v>128806.55385956087</v>
      </c>
      <c r="G78" s="200">
        <v>374981.55385956087</v>
      </c>
      <c r="H78" s="1064"/>
      <c r="I78" s="310">
        <v>-7.2016838388687665E-2</v>
      </c>
      <c r="J78" s="181">
        <v>-1.1170836374897693E-2</v>
      </c>
      <c r="K78" s="182">
        <v>-2.2934431771517327E-2</v>
      </c>
      <c r="L78" s="183">
        <v>-2.2934431771517327E-2</v>
      </c>
      <c r="M78" s="292">
        <v>-2.4331624243661421E-2</v>
      </c>
      <c r="N78" s="870"/>
      <c r="O78" s="206"/>
      <c r="P78" s="206"/>
      <c r="Q78" s="206"/>
      <c r="AP78" s="968" t="s">
        <v>322</v>
      </c>
      <c r="AQ78" s="969"/>
      <c r="AR78" s="969"/>
      <c r="AS78" s="969"/>
      <c r="AT78" s="969"/>
      <c r="AU78" s="970"/>
      <c r="BG78" s="923" t="s">
        <v>790</v>
      </c>
      <c r="BH78" s="923" t="s">
        <v>791</v>
      </c>
      <c r="BI78" s="924" t="s">
        <v>792</v>
      </c>
      <c r="DE78" s="923" t="s">
        <v>790</v>
      </c>
      <c r="DF78" s="923" t="s">
        <v>791</v>
      </c>
      <c r="DG78" s="924" t="s">
        <v>792</v>
      </c>
      <c r="EG78" s="701" t="s">
        <v>716</v>
      </c>
      <c r="EH78" s="698">
        <v>12533</v>
      </c>
      <c r="EL78" s="690" t="s">
        <v>711</v>
      </c>
      <c r="EM78" s="690">
        <f t="shared" si="371"/>
        <v>542</v>
      </c>
      <c r="EN78" s="690">
        <v>465</v>
      </c>
      <c r="EO78" s="690"/>
      <c r="EP78" s="690">
        <v>42.88</v>
      </c>
      <c r="EQ78" s="691">
        <v>15653</v>
      </c>
      <c r="ES78" s="703">
        <f t="shared" si="369"/>
        <v>0.79917983355445665</v>
      </c>
      <c r="ET78" s="95">
        <f t="shared" si="369"/>
        <v>0.83418769716088326</v>
      </c>
      <c r="EU78">
        <f t="shared" si="351"/>
        <v>103.71677800000001</v>
      </c>
      <c r="EV78" s="95">
        <f t="shared" si="352"/>
        <v>7.7594279776683248E-2</v>
      </c>
      <c r="EW78" s="857">
        <f t="shared" si="372"/>
        <v>0.46296808902690478</v>
      </c>
      <c r="FA78" t="s">
        <v>675</v>
      </c>
      <c r="FB78" s="101">
        <f>EW71</f>
        <v>4.1802518603217778E-2</v>
      </c>
      <c r="FC78" s="22">
        <f t="shared" si="370"/>
        <v>9.3648410000000002</v>
      </c>
      <c r="FD78">
        <v>12</v>
      </c>
      <c r="FE78">
        <f t="shared" si="339"/>
        <v>0.12</v>
      </c>
      <c r="FF78">
        <v>0.75</v>
      </c>
      <c r="FG78">
        <f t="shared" si="340"/>
        <v>0.09</v>
      </c>
      <c r="FH78">
        <v>44.3</v>
      </c>
      <c r="FI78">
        <f t="shared" si="341"/>
        <v>3.9869999999999997</v>
      </c>
      <c r="FJ78" s="847">
        <v>73.253799173196242</v>
      </c>
      <c r="FK78" s="852">
        <v>2.9561710436280596E-3</v>
      </c>
      <c r="FL78" s="852">
        <v>7.4034896106309602E-4</v>
      </c>
      <c r="FM78" s="22">
        <f t="shared" si="342"/>
        <v>37.337621067000001</v>
      </c>
      <c r="FN78" s="22">
        <f t="shared" si="343"/>
        <v>2735.1225952469194</v>
      </c>
      <c r="FO78" s="22">
        <f t="shared" si="344"/>
        <v>0.11037639423622242</v>
      </c>
      <c r="FP78" s="22">
        <f t="shared" si="345"/>
        <v>2.7642868965521018E-2</v>
      </c>
      <c r="FQ78" s="437">
        <f t="shared" si="353"/>
        <v>2745.9583150227463</v>
      </c>
      <c r="FR78">
        <v>2.34</v>
      </c>
      <c r="FS78">
        <f t="shared" si="346"/>
        <v>2629647.3528</v>
      </c>
      <c r="FT78" s="237">
        <f t="shared" si="347"/>
        <v>2629.6473528000001</v>
      </c>
      <c r="FU78">
        <v>250</v>
      </c>
      <c r="FV78" s="237">
        <f t="shared" si="348"/>
        <v>2341.2102500000001</v>
      </c>
      <c r="FY78" s="16" t="s">
        <v>346</v>
      </c>
      <c r="FZ78" s="22">
        <f>FZ70+FZ72</f>
        <v>20658.314550446357</v>
      </c>
      <c r="GA78" s="22">
        <f>GA70+GA72</f>
        <v>20135.767619880004</v>
      </c>
      <c r="GB78" s="22">
        <f>GB70+GB72</f>
        <v>26213.607008000003</v>
      </c>
      <c r="GC78"/>
      <c r="GD78" s="658" t="s">
        <v>786</v>
      </c>
      <c r="GE78">
        <v>9</v>
      </c>
      <c r="GF78">
        <f t="shared" si="321"/>
        <v>0</v>
      </c>
      <c r="GG78" s="95">
        <f t="shared" si="322"/>
        <v>0</v>
      </c>
      <c r="GH78" s="1060" t="s">
        <v>759</v>
      </c>
      <c r="GI78" s="1061"/>
      <c r="GJ78" s="1061"/>
      <c r="GK78" s="1061"/>
      <c r="GL78" s="1061"/>
      <c r="GM78" s="1062"/>
      <c r="GO78" s="95"/>
      <c r="GP78" s="95"/>
      <c r="GS78" s="22">
        <f t="shared" si="365"/>
        <v>0</v>
      </c>
      <c r="GT78" s="95">
        <f t="shared" si="366"/>
        <v>0</v>
      </c>
      <c r="GW78" t="s">
        <v>717</v>
      </c>
      <c r="GX78" s="101">
        <f>GT74</f>
        <v>2.0224002414319122E-2</v>
      </c>
      <c r="GY78" s="22">
        <f t="shared" si="323"/>
        <v>21.917869954495966</v>
      </c>
      <c r="GZ78">
        <v>21.22</v>
      </c>
      <c r="HA78">
        <f t="shared" si="324"/>
        <v>0.2122</v>
      </c>
      <c r="HB78">
        <v>0.86499999999999999</v>
      </c>
      <c r="HC78">
        <f t="shared" si="325"/>
        <v>0.18355299999999999</v>
      </c>
      <c r="HD78">
        <v>43</v>
      </c>
      <c r="HE78">
        <f t="shared" si="326"/>
        <v>7.892779</v>
      </c>
      <c r="HF78">
        <v>74.054734089485507</v>
      </c>
      <c r="HG78">
        <v>1.4363980931045299E-3</v>
      </c>
      <c r="HH78">
        <v>3.0837733297494202E-3</v>
      </c>
      <c r="HI78" s="22">
        <f t="shared" si="327"/>
        <v>172.99290370157672</v>
      </c>
      <c r="HJ78" s="22">
        <f t="shared" si="328"/>
        <v>12810.943482988238</v>
      </c>
      <c r="HK78" s="22">
        <f t="shared" si="329"/>
        <v>0.24848667699756039</v>
      </c>
      <c r="HL78" s="22">
        <f t="shared" si="330"/>
        <v>0.53347090267083208</v>
      </c>
      <c r="HM78" s="437">
        <f t="shared" si="331"/>
        <v>12963.985942391902</v>
      </c>
      <c r="HN78">
        <v>2.72</v>
      </c>
      <c r="HO78">
        <f t="shared" si="332"/>
        <v>12650643.851815801</v>
      </c>
      <c r="HP78" s="237">
        <f t="shared" si="333"/>
        <v>12650.643851815801</v>
      </c>
      <c r="HQ78">
        <v>801.2</v>
      </c>
      <c r="HR78" s="237">
        <f t="shared" si="334"/>
        <v>17560.597407542169</v>
      </c>
      <c r="HS78" s="237"/>
      <c r="HU78" s="437">
        <f>SUM(HU75:HU77)</f>
        <v>262145.19157468458</v>
      </c>
      <c r="HV78" s="437">
        <f>SUM(HV75:HV77)</f>
        <v>266372.73445874371</v>
      </c>
      <c r="HW78" s="437">
        <f>SUM(HW75:HW77)</f>
        <v>238612.59137530503</v>
      </c>
      <c r="HX78" s="237"/>
    </row>
    <row r="79" spans="1:233" ht="17.399999999999999" thickBot="1" x14ac:dyDescent="0.3">
      <c r="A79" s="981"/>
      <c r="B79" s="159" t="s">
        <v>725</v>
      </c>
      <c r="C79" s="160">
        <v>38546</v>
      </c>
      <c r="D79" s="161">
        <v>41213</v>
      </c>
      <c r="E79" s="162">
        <v>42389</v>
      </c>
      <c r="F79" s="163">
        <v>122148</v>
      </c>
      <c r="G79" s="200">
        <v>497129.55385956087</v>
      </c>
      <c r="H79" s="1064"/>
      <c r="I79" s="310">
        <v>-3.968708737138444E-2</v>
      </c>
      <c r="J79" s="181">
        <v>-5.3816964285714287E-2</v>
      </c>
      <c r="K79" s="182">
        <v>-4.5495037899507706E-2</v>
      </c>
      <c r="L79" s="183">
        <v>-4.5495037899507706E-2</v>
      </c>
      <c r="M79" s="292">
        <v>-2.9618109088643152E-2</v>
      </c>
      <c r="N79" s="870"/>
      <c r="O79" s="206"/>
      <c r="P79" s="206"/>
      <c r="Q79" s="206"/>
      <c r="V79">
        <f>4773400   +   433300   +   218980   +   210070</f>
        <v>5635750</v>
      </c>
      <c r="X79">
        <v>1575223200</v>
      </c>
      <c r="AP79" s="746" t="s">
        <v>285</v>
      </c>
      <c r="AQ79" s="735">
        <f>AQ72+AQ68+AQ65+AQ58+AQ51+AQ44</f>
        <v>99238</v>
      </c>
      <c r="AR79" s="736"/>
      <c r="AS79" s="774">
        <f t="shared" ref="AS79:AS84" si="373">AR79/AQ79</f>
        <v>0</v>
      </c>
      <c r="AT79" s="737">
        <v>34.6</v>
      </c>
      <c r="AU79" s="738">
        <v>13171</v>
      </c>
      <c r="AY79">
        <f>SUM(AY44:AY78)</f>
        <v>1581.9503249999998</v>
      </c>
      <c r="BE79">
        <v>2023</v>
      </c>
      <c r="BG79" s="854" t="s">
        <v>793</v>
      </c>
      <c r="BH79" s="854" t="s">
        <v>793</v>
      </c>
      <c r="BI79" s="854" t="s">
        <v>793</v>
      </c>
      <c r="CW79">
        <f>SUM(CW44:CW78)</f>
        <v>1373.5571960000002</v>
      </c>
      <c r="DC79">
        <v>2023</v>
      </c>
      <c r="DE79" s="854" t="s">
        <v>793</v>
      </c>
      <c r="DF79" s="854" t="s">
        <v>793</v>
      </c>
      <c r="DG79" s="854" t="s">
        <v>793</v>
      </c>
      <c r="EG79" s="697" t="s">
        <v>757</v>
      </c>
      <c r="EH79" s="695">
        <v>12533</v>
      </c>
      <c r="EI79">
        <v>8377</v>
      </c>
      <c r="EL79" s="690" t="s">
        <v>716</v>
      </c>
      <c r="EM79" s="690">
        <f t="shared" si="371"/>
        <v>6626</v>
      </c>
      <c r="EN79" s="692">
        <v>4231</v>
      </c>
      <c r="EO79" s="690"/>
      <c r="EP79" s="690">
        <v>43.49</v>
      </c>
      <c r="EQ79" s="691">
        <v>15875</v>
      </c>
      <c r="ES79" s="703">
        <f t="shared" si="369"/>
        <v>0.9387550200803213</v>
      </c>
      <c r="ET79" s="95">
        <f t="shared" si="369"/>
        <v>0.96344086021505382</v>
      </c>
      <c r="EU79">
        <f t="shared" si="351"/>
        <v>14.843125000000001</v>
      </c>
      <c r="EV79" s="95">
        <f t="shared" si="352"/>
        <v>1.1104679649904681E-2</v>
      </c>
      <c r="EW79" s="857">
        <f t="shared" si="372"/>
        <v>6.6256331414744449E-2</v>
      </c>
      <c r="EZ79" t="s">
        <v>737</v>
      </c>
      <c r="FA79" t="s">
        <v>717</v>
      </c>
      <c r="FB79" s="101">
        <f>EW77</f>
        <v>0.14869415017273016</v>
      </c>
      <c r="FC79" s="22">
        <f t="shared" si="370"/>
        <v>33.311320000000002</v>
      </c>
      <c r="FD79">
        <v>21.22</v>
      </c>
      <c r="FE79">
        <f t="shared" si="339"/>
        <v>0.2122</v>
      </c>
      <c r="FF79">
        <v>0.86499999999999999</v>
      </c>
      <c r="FG79">
        <f t="shared" si="340"/>
        <v>0.18355299999999999</v>
      </c>
      <c r="FH79">
        <v>43</v>
      </c>
      <c r="FI79">
        <f t="shared" si="341"/>
        <v>7.892779</v>
      </c>
      <c r="FJ79" s="847">
        <v>73.883575529983716</v>
      </c>
      <c r="FK79" s="852">
        <v>7.4992217114551842E-4</v>
      </c>
      <c r="FL79" s="852">
        <v>3.6876993771622073E-3</v>
      </c>
      <c r="FM79" s="22">
        <f t="shared" si="342"/>
        <v>262.91888695828004</v>
      </c>
      <c r="FN79" s="22">
        <f t="shared" si="343"/>
        <v>19425.387442841333</v>
      </c>
      <c r="FO79" s="22">
        <f t="shared" si="344"/>
        <v>0.19716870254291649</v>
      </c>
      <c r="FP79" s="22">
        <f t="shared" si="345"/>
        <v>0.96956581568023015</v>
      </c>
      <c r="FQ79" s="437">
        <f t="shared" si="353"/>
        <v>19695.954537857815</v>
      </c>
      <c r="FR79">
        <v>2.72</v>
      </c>
      <c r="FS79">
        <f t="shared" si="346"/>
        <v>19226760.922880001</v>
      </c>
      <c r="FT79" s="237">
        <f t="shared" si="347"/>
        <v>19226.760922880003</v>
      </c>
      <c r="FU79">
        <v>766</v>
      </c>
      <c r="FV79" s="237">
        <f t="shared" si="348"/>
        <v>25516.471120000002</v>
      </c>
      <c r="FY79" t="s">
        <v>288</v>
      </c>
      <c r="FZ79" s="22">
        <f>FZ71+FZ73+FZ74</f>
        <v>72561.38301315096</v>
      </c>
      <c r="GA79" s="22">
        <f>GA71+GA73+GA74</f>
        <v>70795.253408648001</v>
      </c>
      <c r="GB79" s="22">
        <f>GB71+GB73+GB74</f>
        <v>68449.702506999995</v>
      </c>
      <c r="GC79"/>
      <c r="GD79" s="656" t="s">
        <v>732</v>
      </c>
      <c r="GE79" s="657">
        <v>66517</v>
      </c>
      <c r="GF79">
        <f t="shared" si="321"/>
        <v>167.81888799999999</v>
      </c>
      <c r="GG79" s="95">
        <f t="shared" si="322"/>
        <v>6.550860248296643E-2</v>
      </c>
      <c r="GH79" s="638" t="s">
        <v>723</v>
      </c>
      <c r="GI79" s="638">
        <f>GE110+GE115</f>
        <v>12968</v>
      </c>
      <c r="GJ79" s="639">
        <v>1612</v>
      </c>
      <c r="GK79" s="638"/>
      <c r="GL79" s="638">
        <v>36.57</v>
      </c>
      <c r="GM79" s="640">
        <v>13348</v>
      </c>
      <c r="GO79" s="95">
        <f t="shared" ref="GO79:GO84" si="374">GI79/$GI$92</f>
        <v>6.9360204529165734E-2</v>
      </c>
      <c r="GP79" s="95">
        <f t="shared" ref="GP79:GP84" si="375">GJ79/$GJ$86</f>
        <v>1.8550057537399311E-2</v>
      </c>
      <c r="GS79" s="22">
        <f t="shared" si="365"/>
        <v>173.09686400000001</v>
      </c>
      <c r="GT79" s="95">
        <f t="shared" si="366"/>
        <v>6.6471155775341795E-2</v>
      </c>
      <c r="GV79" t="str">
        <f>GH76</f>
        <v>Vörubifreiðar ≤12t</v>
      </c>
      <c r="GW79" t="s">
        <v>675</v>
      </c>
      <c r="GX79" s="101">
        <f>GT69</f>
        <v>4.5685059090850211E-4</v>
      </c>
      <c r="GY79" s="22">
        <f t="shared" si="323"/>
        <v>0.49511425261092656</v>
      </c>
      <c r="GZ79">
        <v>25</v>
      </c>
      <c r="HA79">
        <f t="shared" si="324"/>
        <v>0.25</v>
      </c>
      <c r="HB79">
        <v>0.75</v>
      </c>
      <c r="HC79">
        <f t="shared" si="325"/>
        <v>0.1875</v>
      </c>
      <c r="HD79">
        <v>44.3</v>
      </c>
      <c r="HE79">
        <f t="shared" si="326"/>
        <v>8.3062499999999986</v>
      </c>
      <c r="HF79">
        <v>71.051977446800905</v>
      </c>
      <c r="HG79">
        <v>6.0214126798913805E-3</v>
      </c>
      <c r="HH79">
        <v>1.2119593011540399E-3</v>
      </c>
      <c r="HI79" s="22">
        <f t="shared" si="327"/>
        <v>4.1125427607495082</v>
      </c>
      <c r="HJ79" s="22">
        <f t="shared" si="328"/>
        <v>292.2042954857784</v>
      </c>
      <c r="HK79" s="22">
        <f t="shared" si="329"/>
        <v>2.4763317126172593E-2</v>
      </c>
      <c r="HL79" s="22">
        <f t="shared" si="330"/>
        <v>4.9842344502840797E-3</v>
      </c>
      <c r="HM79" s="437">
        <f t="shared" si="331"/>
        <v>294.3029383410659</v>
      </c>
      <c r="HN79">
        <v>2.34</v>
      </c>
      <c r="HO79">
        <f t="shared" si="332"/>
        <v>289641.83777739201</v>
      </c>
      <c r="HP79" s="237">
        <f t="shared" si="333"/>
        <v>289.64183777739203</v>
      </c>
      <c r="HQ79">
        <v>512.9</v>
      </c>
      <c r="HR79" s="237">
        <f t="shared" si="334"/>
        <v>253.9441001641442</v>
      </c>
      <c r="HS79" s="237"/>
      <c r="HX79" s="237"/>
    </row>
    <row r="80" spans="1:233" ht="18" thickTop="1" thickBot="1" x14ac:dyDescent="0.5">
      <c r="A80" s="981"/>
      <c r="B80" s="159" t="s">
        <v>730</v>
      </c>
      <c r="C80" s="160">
        <v>42047</v>
      </c>
      <c r="D80" s="161">
        <v>46617</v>
      </c>
      <c r="E80" s="162">
        <v>48759</v>
      </c>
      <c r="F80" s="163">
        <v>137423</v>
      </c>
      <c r="G80" s="200">
        <v>634552.55385956087</v>
      </c>
      <c r="H80" s="1064"/>
      <c r="I80" s="310">
        <v>2.1972145930048852E-2</v>
      </c>
      <c r="J80" s="181">
        <v>4.0769280027321823E-2</v>
      </c>
      <c r="K80" s="182">
        <v>3.202961894891776E-2</v>
      </c>
      <c r="L80" s="183">
        <v>3.202961894891776E-2</v>
      </c>
      <c r="M80" s="292">
        <v>-1.6900240510951292E-2</v>
      </c>
      <c r="N80" s="870"/>
      <c r="O80" s="206"/>
      <c r="P80" s="206"/>
      <c r="Q80" s="206"/>
      <c r="X80">
        <v>147168000</v>
      </c>
      <c r="AP80" s="747" t="s">
        <v>709</v>
      </c>
      <c r="AQ80" s="735">
        <f>AQ73+AQ59+AQ52+AQ45</f>
        <v>153</v>
      </c>
      <c r="AR80" s="740"/>
      <c r="AS80" s="774">
        <f t="shared" si="373"/>
        <v>0</v>
      </c>
      <c r="AT80" s="740">
        <v>51.9</v>
      </c>
      <c r="AU80" s="738">
        <v>13309</v>
      </c>
      <c r="AY80">
        <f>AY79-AY44-AY51-AY58-AY65-AY68-AY72</f>
        <v>236.40470499999972</v>
      </c>
      <c r="BA80" s="101">
        <f>SUM(BA44:BA77)</f>
        <v>1</v>
      </c>
      <c r="BB80" s="101">
        <f>SUM(BB44:BB77)</f>
        <v>2.0000000000000013</v>
      </c>
      <c r="BC80" s="101"/>
      <c r="BD80" s="850" t="s">
        <v>794</v>
      </c>
      <c r="BE80" s="847">
        <v>8333.4590159055933</v>
      </c>
      <c r="BF80" s="849" t="s">
        <v>795</v>
      </c>
      <c r="BG80" s="846"/>
      <c r="BH80" s="846"/>
      <c r="BI80" s="846"/>
      <c r="BO80" t="s">
        <v>796</v>
      </c>
      <c r="BQ80" s="85">
        <f>SUMIF($BO$46:$BO$73,$BO46,BQ$46:BQ$73)</f>
        <v>1256.1503682608727</v>
      </c>
      <c r="BR80" s="85">
        <f>BR57+BR61+BR62+BR65+BR66+BR68+BR60</f>
        <v>24136.032161161565</v>
      </c>
      <c r="BS80" s="85">
        <f>BS57+BS61+BS62+BS65+BS66+BS68+BS60</f>
        <v>0.52794824774989191</v>
      </c>
      <c r="BT80" s="85">
        <f>BT57+BT61+BT62+BT65+BT66+BT68+BT60</f>
        <v>2.7455438520035549</v>
      </c>
      <c r="BU80" s="85">
        <f>SUMIF($BO$46:$BO$73,$BO46,BU$46:BU$73)</f>
        <v>92549.716846537078</v>
      </c>
      <c r="BW80">
        <v>92639.748975766663</v>
      </c>
      <c r="BX80" s="714">
        <f t="shared" ref="BX80:BX85" si="376">BW80-BU80</f>
        <v>90.032129229584825</v>
      </c>
      <c r="CW80">
        <f>CW79-CW44-CW51-CW58-CW65-CW72-CW68</f>
        <v>231.3586720000001</v>
      </c>
      <c r="CY80" s="101">
        <f>SUM(CY44:CY77)</f>
        <v>0.99999999999999989</v>
      </c>
      <c r="CZ80" s="101">
        <f>SUM(CZ44:CZ77)</f>
        <v>2</v>
      </c>
      <c r="DA80" s="101"/>
      <c r="DB80" s="850" t="s">
        <v>794</v>
      </c>
      <c r="DC80" s="847">
        <v>8333.4590159055933</v>
      </c>
      <c r="DD80" s="849" t="s">
        <v>795</v>
      </c>
      <c r="DE80" s="846"/>
      <c r="DF80" s="846"/>
      <c r="DG80" s="846"/>
      <c r="DM80" t="s">
        <v>796</v>
      </c>
      <c r="DO80" s="85">
        <f>SUMIF($DM$46:$DM$73,$DM46,DO$46:DO$73)</f>
        <v>1284.9551520138709</v>
      </c>
      <c r="DP80" s="85">
        <f>DP57+DP61+DP62+DP65+DP66+DP68+DP60</f>
        <v>22395.207801755041</v>
      </c>
      <c r="DQ80" s="85">
        <f>DQ57+DQ61+DQ62+DQ65+DQ66+DQ68+DQ60</f>
        <v>0.37297605737163031</v>
      </c>
      <c r="DR80" s="85">
        <f>DR57+DR61+DR62+DR65+DR66+DR68+DR60</f>
        <v>0.99377393113333456</v>
      </c>
      <c r="DS80" s="85">
        <f>SUMIF($DM$46:$DM$73,$DM46,DS$46:DS$73)</f>
        <v>94429.992737704451</v>
      </c>
      <c r="DU80">
        <v>92639.748975766663</v>
      </c>
      <c r="DV80" s="714">
        <f t="shared" ref="DV80:DV85" si="377">DU80-DS80</f>
        <v>-1790.2437619377888</v>
      </c>
      <c r="EG80" s="701" t="s">
        <v>285</v>
      </c>
      <c r="EH80" s="698">
        <v>7399</v>
      </c>
      <c r="EJ80">
        <v>8445</v>
      </c>
      <c r="EL80" s="690" t="s">
        <v>722</v>
      </c>
      <c r="EM80" s="690">
        <f t="shared" si="371"/>
        <v>935</v>
      </c>
      <c r="EN80" s="690">
        <v>896</v>
      </c>
      <c r="EO80" s="690"/>
      <c r="EP80" s="690">
        <v>90.84</v>
      </c>
      <c r="EQ80" s="691">
        <v>33156</v>
      </c>
      <c r="ES80" s="703">
        <f t="shared" si="369"/>
        <v>0.99863387978142082</v>
      </c>
      <c r="ET80" s="95">
        <f t="shared" si="369"/>
        <v>0.99066874027993779</v>
      </c>
      <c r="EU80">
        <f t="shared" si="351"/>
        <v>48.474072</v>
      </c>
      <c r="EV80" s="95">
        <f t="shared" si="352"/>
        <v>3.6265209710651516E-2</v>
      </c>
      <c r="EW80" s="857">
        <f t="shared" si="372"/>
        <v>0.21637722376212451</v>
      </c>
      <c r="FA80" t="s">
        <v>675</v>
      </c>
      <c r="FB80" s="101">
        <f>EW70</f>
        <v>0</v>
      </c>
      <c r="FC80" s="22">
        <f t="shared" si="370"/>
        <v>0</v>
      </c>
      <c r="FD80">
        <v>25</v>
      </c>
      <c r="FE80">
        <f t="shared" si="339"/>
        <v>0.25</v>
      </c>
      <c r="FF80">
        <v>0.75</v>
      </c>
      <c r="FG80">
        <f t="shared" si="340"/>
        <v>0.1875</v>
      </c>
      <c r="FH80">
        <v>44.3</v>
      </c>
      <c r="FI80">
        <f t="shared" si="341"/>
        <v>8.3062499999999986</v>
      </c>
      <c r="FJ80" s="847">
        <v>73.215246727304674</v>
      </c>
      <c r="FK80" s="852">
        <v>1.4913910218690771E-2</v>
      </c>
      <c r="FL80" s="852">
        <v>7.9895947600129157E-4</v>
      </c>
      <c r="FM80" s="22">
        <f t="shared" si="342"/>
        <v>0</v>
      </c>
      <c r="FN80" s="22">
        <f t="shared" si="343"/>
        <v>0</v>
      </c>
      <c r="FO80" s="22">
        <f t="shared" si="344"/>
        <v>0</v>
      </c>
      <c r="FP80" s="22">
        <f t="shared" si="345"/>
        <v>0</v>
      </c>
      <c r="FQ80" s="437">
        <f t="shared" si="353"/>
        <v>0</v>
      </c>
      <c r="FR80">
        <v>2.34</v>
      </c>
      <c r="FS80">
        <f t="shared" si="346"/>
        <v>0</v>
      </c>
      <c r="FT80" s="237">
        <f t="shared" si="347"/>
        <v>0</v>
      </c>
      <c r="FU80">
        <v>600</v>
      </c>
      <c r="FV80" s="237">
        <f t="shared" si="348"/>
        <v>0</v>
      </c>
      <c r="FY80"/>
      <c r="FZ80" s="437">
        <f>SUM(FZ77:FZ79)</f>
        <v>282125.59829145751</v>
      </c>
      <c r="GA80" s="437">
        <f>SUM(GA77:GA79)</f>
        <v>287264.28159736458</v>
      </c>
      <c r="GB80" s="437">
        <f>SUM(GB77:GB79)</f>
        <v>258789.80171359371</v>
      </c>
      <c r="GC80"/>
      <c r="GD80" s="658" t="s">
        <v>780</v>
      </c>
      <c r="GE80">
        <v>45809</v>
      </c>
      <c r="GF80">
        <f t="shared" si="321"/>
        <v>96.328649999999996</v>
      </c>
      <c r="GG80" s="95">
        <f t="shared" si="322"/>
        <v>3.7602175272254242E-2</v>
      </c>
      <c r="GH80" s="641" t="s">
        <v>729</v>
      </c>
      <c r="GI80" s="641">
        <f>GE77</f>
        <v>7390</v>
      </c>
      <c r="GJ80" s="644">
        <v>2507</v>
      </c>
      <c r="GK80" s="641"/>
      <c r="GL80" s="641">
        <v>32.869999999999997</v>
      </c>
      <c r="GM80" s="642">
        <v>11997</v>
      </c>
      <c r="GO80" s="95">
        <f t="shared" si="374"/>
        <v>3.9525903105377451E-2</v>
      </c>
      <c r="GP80" s="95">
        <f t="shared" si="375"/>
        <v>2.8849252013808977E-2</v>
      </c>
      <c r="GS80" s="22">
        <f t="shared" si="365"/>
        <v>88.657830000000004</v>
      </c>
      <c r="GT80" s="95">
        <f t="shared" si="366"/>
        <v>3.4045610604671449E-2</v>
      </c>
      <c r="GW80" t="s">
        <v>717</v>
      </c>
      <c r="GX80" s="101">
        <f>GT76</f>
        <v>1.6298300355246684E-2</v>
      </c>
      <c r="GY80" s="22">
        <f t="shared" si="323"/>
        <v>17.663369512490185</v>
      </c>
      <c r="GZ80">
        <v>21.22</v>
      </c>
      <c r="HA80">
        <f t="shared" si="324"/>
        <v>0.2122</v>
      </c>
      <c r="HB80">
        <v>0.86499999999999999</v>
      </c>
      <c r="HC80">
        <f t="shared" si="325"/>
        <v>0.18355299999999999</v>
      </c>
      <c r="HD80">
        <v>43</v>
      </c>
      <c r="HE80">
        <f t="shared" si="326"/>
        <v>7.892779</v>
      </c>
      <c r="HF80">
        <v>74.054734089485805</v>
      </c>
      <c r="HG80">
        <v>1.0094332347649E-4</v>
      </c>
      <c r="HH80">
        <v>2.0471581355555601E-3</v>
      </c>
      <c r="HI80" s="22">
        <f t="shared" si="327"/>
        <v>139.41307195742277</v>
      </c>
      <c r="HJ80" s="22">
        <f t="shared" si="328"/>
        <v>10324.197972405294</v>
      </c>
      <c r="HK80" s="22">
        <f t="shared" si="329"/>
        <v>1.4072818819449304E-2</v>
      </c>
      <c r="HL80" s="22">
        <f t="shared" si="330"/>
        <v>0.28540060446043075</v>
      </c>
      <c r="HM80" s="437">
        <f t="shared" si="331"/>
        <v>10402.531707423812</v>
      </c>
      <c r="HN80">
        <v>2.72</v>
      </c>
      <c r="HO80">
        <f t="shared" si="332"/>
        <v>10195014.268697137</v>
      </c>
      <c r="HP80" s="237">
        <f t="shared" si="333"/>
        <v>10195.014268697138</v>
      </c>
      <c r="HQ80">
        <v>630.9</v>
      </c>
      <c r="HR80" s="237">
        <f t="shared" si="334"/>
        <v>11143.819825430057</v>
      </c>
      <c r="HS80" s="237"/>
      <c r="HU80" s="96">
        <f>(HU78-JK24)/JK24</f>
        <v>-0.12382660860392734</v>
      </c>
      <c r="HV80" s="96">
        <f>(HV78-JL24)/JL24</f>
        <v>-0.11410647590963129</v>
      </c>
      <c r="HW80" s="96" t="e">
        <f>(HW78-HT58)/HT58</f>
        <v>#DIV/0!</v>
      </c>
      <c r="HX80" s="237"/>
    </row>
    <row r="81" spans="1:232" ht="17.399999999999999" thickBot="1" x14ac:dyDescent="0.5">
      <c r="A81" s="981"/>
      <c r="B81" s="159" t="s">
        <v>735</v>
      </c>
      <c r="C81" s="160">
        <v>38698</v>
      </c>
      <c r="D81" s="161">
        <v>44896</v>
      </c>
      <c r="E81" s="162">
        <v>47264</v>
      </c>
      <c r="F81" s="163">
        <v>130858</v>
      </c>
      <c r="G81" s="200">
        <v>765410.55385956087</v>
      </c>
      <c r="H81" s="1064"/>
      <c r="I81" s="310">
        <v>-1.6269256189943567E-2</v>
      </c>
      <c r="J81" s="181">
        <v>-5.8474611922089944E-3</v>
      </c>
      <c r="K81" s="182">
        <v>-1.042076287848992E-2</v>
      </c>
      <c r="L81" s="183">
        <v>-1.042076287848992E-2</v>
      </c>
      <c r="M81" s="292">
        <v>-1.5798500110504654E-2</v>
      </c>
      <c r="N81" s="870"/>
      <c r="O81" s="206"/>
      <c r="P81" s="206"/>
      <c r="Q81" s="206"/>
      <c r="X81">
        <v>74306700</v>
      </c>
      <c r="AP81" s="747" t="s">
        <v>711</v>
      </c>
      <c r="AQ81" s="735">
        <f>AQ74+AQ60+AQ53+AQ46</f>
        <v>638</v>
      </c>
      <c r="AR81" s="740"/>
      <c r="AS81" s="774">
        <f t="shared" si="373"/>
        <v>0</v>
      </c>
      <c r="AT81" s="740">
        <v>162.9</v>
      </c>
      <c r="AU81" s="738">
        <v>55708</v>
      </c>
      <c r="AY81">
        <f>-(-AY44-AY51-AY58-AY65-AY68-AY72)</f>
        <v>1345.5456200000001</v>
      </c>
      <c r="BD81" s="848" t="s">
        <v>797</v>
      </c>
      <c r="BE81" s="859">
        <v>3921.4722157441179</v>
      </c>
      <c r="BF81" s="849" t="s">
        <v>795</v>
      </c>
      <c r="BG81" s="847">
        <v>73.340256807427139</v>
      </c>
      <c r="BH81" s="847">
        <v>5.8958816211975202</v>
      </c>
      <c r="BI81" s="847">
        <v>0.59086290854477619</v>
      </c>
      <c r="BJ81">
        <f>BH81/1000</f>
        <v>5.89588162119752E-3</v>
      </c>
      <c r="BK81">
        <f>BI81/1000</f>
        <v>5.9086290854477614E-4</v>
      </c>
      <c r="BL81">
        <v>5.89588162119752E-3</v>
      </c>
      <c r="BM81">
        <v>5.9086290854477614E-4</v>
      </c>
      <c r="BO81" t="s">
        <v>798</v>
      </c>
      <c r="BQ81" s="85">
        <f>SUMIF($BO$46:$BO$73,$BO47,BQ$46:BQ$73)</f>
        <v>1584.7518017440491</v>
      </c>
      <c r="BR81" s="85">
        <f>BR58+BR64+BR63+BR67</f>
        <v>37050.237234629181</v>
      </c>
      <c r="BS81" s="85">
        <f>BS58+BS64+BS63+BS67</f>
        <v>0.60996655350866424</v>
      </c>
      <c r="BT81" s="85">
        <f>BT58+BT64+BT63+BT67</f>
        <v>1.3618893315827709</v>
      </c>
      <c r="BU81" s="85">
        <f>SUMIF($BO$46:$BO$73,$BO47,BU$46:BU$73)</f>
        <v>118445.6854727169</v>
      </c>
      <c r="BW81">
        <v>120589.55231205575</v>
      </c>
      <c r="BX81" s="714">
        <f t="shared" si="376"/>
        <v>2143.8668393388507</v>
      </c>
      <c r="CN81" s="968" t="s">
        <v>322</v>
      </c>
      <c r="CO81" s="969"/>
      <c r="CP81" s="969"/>
      <c r="CQ81" s="969"/>
      <c r="CR81" s="969"/>
      <c r="CS81" s="970"/>
      <c r="CW81">
        <f>CW44+CW51+CW58+CW65+CW68+CW72</f>
        <v>1142.1985240000001</v>
      </c>
      <c r="DB81" s="848" t="s">
        <v>797</v>
      </c>
      <c r="DC81" s="859">
        <v>3921.4722157441179</v>
      </c>
      <c r="DD81" s="849" t="s">
        <v>795</v>
      </c>
      <c r="DE81" s="847">
        <v>73.231096434849775</v>
      </c>
      <c r="DF81" s="852">
        <v>4.5695578598240177E-3</v>
      </c>
      <c r="DG81" s="852">
        <v>4.4568227585513781E-4</v>
      </c>
      <c r="DH81">
        <f>DF81/1000</f>
        <v>4.5695578598240173E-6</v>
      </c>
      <c r="DI81">
        <f>DG81/1000</f>
        <v>4.4568227585513783E-7</v>
      </c>
      <c r="DJ81">
        <v>4.5695578598240177E-3</v>
      </c>
      <c r="DK81">
        <v>4.4568227585513781E-4</v>
      </c>
      <c r="DM81" t="s">
        <v>798</v>
      </c>
      <c r="DO81" s="85">
        <f>SUMIF($DM$46:$DM$73,$DM47,DO$46:DO$73)</f>
        <v>1733.081043561355</v>
      </c>
      <c r="DP81" s="85">
        <f>DP58+DP64+DP63+DP67</f>
        <v>41076.303246011907</v>
      </c>
      <c r="DQ81" s="85">
        <f>DQ58+DQ64+DQ63+DQ67</f>
        <v>6.7735993545427434E-2</v>
      </c>
      <c r="DR81" s="85">
        <f>DR58+DR64+DR63+DR67</f>
        <v>1.4052613899935533</v>
      </c>
      <c r="DS81" s="85">
        <f>SUMIF($DM$46:$DM$73,$DM47,DS$46:DS$73)</f>
        <v>129250.35744436468</v>
      </c>
      <c r="DU81">
        <v>120589.55231205575</v>
      </c>
      <c r="DV81" s="714">
        <f t="shared" si="377"/>
        <v>-8660.8051323089312</v>
      </c>
      <c r="EG81" s="697" t="s">
        <v>762</v>
      </c>
      <c r="EH81" s="695">
        <v>7390</v>
      </c>
      <c r="EI81">
        <v>6102</v>
      </c>
      <c r="EL81" s="690" t="s">
        <v>726</v>
      </c>
      <c r="EM81" s="690">
        <f t="shared" si="371"/>
        <v>1462</v>
      </c>
      <c r="EN81" s="692">
        <v>1274</v>
      </c>
      <c r="EO81" s="690"/>
      <c r="EP81" s="763"/>
      <c r="EQ81" s="764"/>
      <c r="EU81">
        <f t="shared" si="351"/>
        <v>0</v>
      </c>
      <c r="EV81" s="95">
        <f t="shared" si="352"/>
        <v>0</v>
      </c>
      <c r="EW81" s="857">
        <f t="shared" si="372"/>
        <v>0</v>
      </c>
      <c r="EZ81" t="str">
        <f>EL94</f>
        <v>Vörubifreiðar ≤12t</v>
      </c>
      <c r="FA81" t="s">
        <v>717</v>
      </c>
      <c r="FB81" s="101">
        <f>EW79</f>
        <v>6.6256331414744449E-2</v>
      </c>
      <c r="FC81" s="22">
        <f t="shared" si="370"/>
        <v>14.843125000000001</v>
      </c>
      <c r="FD81">
        <v>21.22</v>
      </c>
      <c r="FE81">
        <f t="shared" si="339"/>
        <v>0.2122</v>
      </c>
      <c r="FF81">
        <v>0.86499999999999999</v>
      </c>
      <c r="FG81">
        <f t="shared" si="340"/>
        <v>0.18355299999999999</v>
      </c>
      <c r="FH81">
        <v>43</v>
      </c>
      <c r="FI81">
        <f t="shared" si="341"/>
        <v>7.892779</v>
      </c>
      <c r="FJ81" s="847">
        <v>73.883575529983716</v>
      </c>
      <c r="FK81" s="852">
        <v>7.7403237955161073E-5</v>
      </c>
      <c r="FL81" s="852">
        <v>1.9766762674137761E-3</v>
      </c>
      <c r="FM81" s="22">
        <f t="shared" si="342"/>
        <v>117.15350529437501</v>
      </c>
      <c r="FN81" s="22">
        <f t="shared" si="343"/>
        <v>8655.7198570193032</v>
      </c>
      <c r="FO81" s="22">
        <f t="shared" si="344"/>
        <v>9.0680606475817306E-3</v>
      </c>
      <c r="FP81" s="22">
        <f t="shared" si="345"/>
        <v>0.23157455355972525</v>
      </c>
      <c r="FQ81" s="437">
        <f t="shared" si="353"/>
        <v>8719.2099383484074</v>
      </c>
      <c r="FR81">
        <v>2.72</v>
      </c>
      <c r="FS81">
        <f t="shared" si="346"/>
        <v>8567214.2599999998</v>
      </c>
      <c r="FT81" s="237">
        <f t="shared" si="347"/>
        <v>8567.2142600000006</v>
      </c>
      <c r="FU81">
        <v>650</v>
      </c>
      <c r="FV81" s="237">
        <f t="shared" si="348"/>
        <v>9648.03125</v>
      </c>
      <c r="FY81"/>
      <c r="FZ81"/>
      <c r="GA81"/>
      <c r="GB81"/>
      <c r="GC81"/>
      <c r="GD81" s="658" t="s">
        <v>709</v>
      </c>
      <c r="GE81">
        <v>479</v>
      </c>
      <c r="GF81">
        <f t="shared" si="321"/>
        <v>183.40792200000001</v>
      </c>
      <c r="GG81" s="95">
        <f t="shared" si="322"/>
        <v>7.1593828309271801E-2</v>
      </c>
      <c r="GH81" s="643" t="s">
        <v>734</v>
      </c>
      <c r="GI81" s="643">
        <f>GE75</f>
        <v>12533</v>
      </c>
      <c r="GJ81" s="649">
        <v>3078</v>
      </c>
      <c r="GK81" s="643"/>
      <c r="GL81" s="643">
        <v>40.06</v>
      </c>
      <c r="GM81" s="645">
        <v>14622</v>
      </c>
      <c r="GO81" s="95">
        <f t="shared" si="374"/>
        <v>6.7033578297658394E-2</v>
      </c>
      <c r="GP81" s="95">
        <f t="shared" si="375"/>
        <v>3.5420023014959723E-2</v>
      </c>
      <c r="GS81" s="22">
        <f t="shared" si="365"/>
        <v>183.25752600000001</v>
      </c>
      <c r="GT81" s="95">
        <f t="shared" si="366"/>
        <v>7.0372965033900031E-2</v>
      </c>
      <c r="GV81" t="str">
        <f>GH76</f>
        <v>Vörubifreiðar ≤12t</v>
      </c>
      <c r="GW81" t="s">
        <v>675</v>
      </c>
      <c r="GX81" s="101">
        <f>GT70</f>
        <v>0</v>
      </c>
      <c r="GY81" s="22">
        <f t="shared" si="323"/>
        <v>0</v>
      </c>
      <c r="GZ81">
        <v>25</v>
      </c>
      <c r="HA81">
        <f t="shared" si="324"/>
        <v>0.25</v>
      </c>
      <c r="HB81">
        <v>0.75</v>
      </c>
      <c r="HC81">
        <f t="shared" si="325"/>
        <v>0.1875</v>
      </c>
      <c r="HD81">
        <v>44.3</v>
      </c>
      <c r="HE81">
        <f t="shared" si="326"/>
        <v>8.3062499999999986</v>
      </c>
      <c r="HF81">
        <v>71.051104664576499</v>
      </c>
      <c r="HG81">
        <v>1.53682172957139E-2</v>
      </c>
      <c r="HH81">
        <v>8.2329735512008E-4</v>
      </c>
      <c r="HI81" s="22">
        <f t="shared" si="327"/>
        <v>0</v>
      </c>
      <c r="HJ81" s="22">
        <f t="shared" si="328"/>
        <v>0</v>
      </c>
      <c r="HK81" s="22">
        <f t="shared" si="329"/>
        <v>0</v>
      </c>
      <c r="HL81" s="22">
        <f t="shared" si="330"/>
        <v>0</v>
      </c>
      <c r="HM81" s="437">
        <f t="shared" si="331"/>
        <v>0</v>
      </c>
      <c r="HN81">
        <v>2.34</v>
      </c>
      <c r="HO81">
        <f t="shared" si="332"/>
        <v>0</v>
      </c>
      <c r="HP81" s="237">
        <f t="shared" si="333"/>
        <v>0</v>
      </c>
      <c r="HQ81">
        <v>512.9</v>
      </c>
      <c r="HR81" s="237">
        <f t="shared" si="334"/>
        <v>0</v>
      </c>
      <c r="HS81" s="237"/>
      <c r="HX81" s="237"/>
    </row>
    <row r="82" spans="1:232" ht="17.399999999999999" thickBot="1" x14ac:dyDescent="0.5">
      <c r="A82" s="981"/>
      <c r="B82" s="159" t="s">
        <v>740</v>
      </c>
      <c r="C82" s="160">
        <v>32469.834451891707</v>
      </c>
      <c r="D82" s="161">
        <v>40894</v>
      </c>
      <c r="E82" s="162">
        <v>45038</v>
      </c>
      <c r="F82" s="163">
        <v>118401.83445189171</v>
      </c>
      <c r="G82" s="200">
        <v>883812.38831145258</v>
      </c>
      <c r="H82" s="1064"/>
      <c r="I82" s="310">
        <v>-0.1049717610702986</v>
      </c>
      <c r="J82" s="181">
        <v>-3.2356479889996563E-2</v>
      </c>
      <c r="K82" s="182">
        <v>-5.9384681459744737E-2</v>
      </c>
      <c r="L82" s="183">
        <v>-5.9384681459744737E-2</v>
      </c>
      <c r="M82" s="292">
        <v>-2.1870496150340091E-2</v>
      </c>
      <c r="N82" s="870"/>
      <c r="O82" s="206"/>
      <c r="P82" s="206"/>
      <c r="Q82" s="206"/>
      <c r="X82">
        <v>10019250</v>
      </c>
      <c r="AP82" s="747" t="s">
        <v>716</v>
      </c>
      <c r="AQ82" s="735">
        <f>AQ75+AQ69+AQ66+AQ61+AQ54+AQ47</f>
        <v>9690</v>
      </c>
      <c r="AR82" s="742"/>
      <c r="AS82" s="774">
        <f t="shared" si="373"/>
        <v>0</v>
      </c>
      <c r="AT82" s="740">
        <v>44.2</v>
      </c>
      <c r="AU82" s="738">
        <v>13769</v>
      </c>
      <c r="AY82">
        <f>AY81+AY80</f>
        <v>1581.9503249999998</v>
      </c>
      <c r="BD82" s="848" t="s">
        <v>799</v>
      </c>
      <c r="BE82" s="859">
        <v>3771.429296054755</v>
      </c>
      <c r="BF82" s="849" t="s">
        <v>795</v>
      </c>
      <c r="BG82" s="847">
        <v>73.961370985694614</v>
      </c>
      <c r="BH82" s="847">
        <v>1.2069660652303538</v>
      </c>
      <c r="BI82" s="847">
        <v>2.7234591213219015</v>
      </c>
      <c r="BJ82">
        <f t="shared" ref="BJ82:BJ88" si="378">BH82/1000</f>
        <v>1.2069660652303537E-3</v>
      </c>
      <c r="BK82">
        <f t="shared" ref="BK82:BK88" si="379">BI82/1000</f>
        <v>2.7234591213219014E-3</v>
      </c>
      <c r="BL82">
        <v>1.2069660652303537E-3</v>
      </c>
      <c r="BM82">
        <v>2.7234591213219014E-3</v>
      </c>
      <c r="BO82" t="s">
        <v>800</v>
      </c>
      <c r="BQ82" s="85">
        <f>SUMIF($BO$46:$BO$73,$BO68,BQ$46:BQ$73)</f>
        <v>1.030623552</v>
      </c>
      <c r="BR82" s="85">
        <f>BR72</f>
        <v>24887.840068189555</v>
      </c>
      <c r="BS82" s="85">
        <f>BS72</f>
        <v>0.19324718006456759</v>
      </c>
      <c r="BT82" s="85">
        <f>BT72</f>
        <v>3.477634793832189</v>
      </c>
      <c r="BU82" s="85">
        <f>SUMIF($BO$46:$BO$73,$BO68,BU$46:BU$73)</f>
        <v>75.94120967778268</v>
      </c>
      <c r="BW82">
        <v>62.050147396069065</v>
      </c>
      <c r="BX82" s="714">
        <f t="shared" si="376"/>
        <v>-13.891062281713616</v>
      </c>
      <c r="CN82" s="746" t="s">
        <v>285</v>
      </c>
      <c r="CO82" s="735">
        <f>CO72+CO68+CO65+CO58+CO51+CO44</f>
        <v>87579</v>
      </c>
      <c r="CP82" s="736"/>
      <c r="CQ82" s="774">
        <f t="shared" ref="CQ82:CQ87" si="380">CP82/CO82</f>
        <v>0</v>
      </c>
      <c r="CR82" s="737">
        <v>34.6</v>
      </c>
      <c r="CS82" s="738">
        <v>12628</v>
      </c>
      <c r="CW82">
        <f>CS82*CO82*0.000001</f>
        <v>1105.9476119999999</v>
      </c>
      <c r="DB82" s="848" t="s">
        <v>799</v>
      </c>
      <c r="DC82" s="859">
        <v>3771.429296054755</v>
      </c>
      <c r="DD82" s="849" t="s">
        <v>795</v>
      </c>
      <c r="DE82" s="847">
        <v>73.883575529983716</v>
      </c>
      <c r="DF82" s="852">
        <v>1.1024651844300431E-4</v>
      </c>
      <c r="DG82" s="852">
        <v>2.53299651715476E-3</v>
      </c>
      <c r="DH82">
        <f t="shared" ref="DH82:DH88" si="381">DF82/1000</f>
        <v>1.1024651844300431E-7</v>
      </c>
      <c r="DI82">
        <f t="shared" ref="DI82:DI88" si="382">DG82/1000</f>
        <v>2.5329965171547602E-6</v>
      </c>
      <c r="DJ82">
        <v>1.1024651844300431E-4</v>
      </c>
      <c r="DK82">
        <v>2.53299651715476E-3</v>
      </c>
      <c r="DM82" t="s">
        <v>800</v>
      </c>
      <c r="DO82" s="85">
        <f>SUMIF($DM$46:$DM$73,$DM68,DO$46:DO$73)</f>
        <v>0.79932704999999993</v>
      </c>
      <c r="DP82" s="85">
        <f>DP72</f>
        <v>23061.409959340395</v>
      </c>
      <c r="DQ82" s="85">
        <f>DQ72</f>
        <v>0.23407452200749279</v>
      </c>
      <c r="DR82" s="85">
        <f>DR72</f>
        <v>1.1510480716925942</v>
      </c>
      <c r="DS82" s="85">
        <f>SUMIF($DM$46:$DM$73,$DM68,DS$46:DS$73)</f>
        <v>58.785715228923088</v>
      </c>
      <c r="DU82">
        <v>62.050147396069065</v>
      </c>
      <c r="DV82" s="714">
        <f t="shared" si="377"/>
        <v>3.2644321671459764</v>
      </c>
      <c r="EG82" s="701" t="s">
        <v>285</v>
      </c>
      <c r="EH82" s="695">
        <v>9</v>
      </c>
      <c r="EI82">
        <v>2</v>
      </c>
      <c r="EJ82">
        <v>6159</v>
      </c>
      <c r="EL82" s="762" t="s">
        <v>759</v>
      </c>
      <c r="EM82" s="763"/>
      <c r="EN82" s="763"/>
      <c r="EO82" s="763"/>
      <c r="EP82" s="687">
        <v>35.450000000000003</v>
      </c>
      <c r="EQ82" s="689">
        <v>12941</v>
      </c>
      <c r="ES82" s="703">
        <f t="shared" ref="ES82:ES87" si="383">EM83/$EM$90</f>
        <v>0.12628744375525047</v>
      </c>
      <c r="ET82" s="95">
        <f t="shared" ref="ET82:ET87" si="384">EN83/$EN$90</f>
        <v>3.1989191040742923E-2</v>
      </c>
      <c r="EU82">
        <f t="shared" si="351"/>
        <v>142.014534</v>
      </c>
      <c r="EV82" s="95">
        <f t="shared" si="352"/>
        <v>0.10624621875113875</v>
      </c>
      <c r="EW82" s="857">
        <f t="shared" ref="EW82:EW87" si="385">EU82/$EU$89</f>
        <v>0.12763869178668355</v>
      </c>
      <c r="FA82" t="s">
        <v>675</v>
      </c>
      <c r="FB82" s="101">
        <f>EW72</f>
        <v>5.2870259205905611E-4</v>
      </c>
      <c r="FC82" s="22">
        <f t="shared" si="370"/>
        <v>0.11844300000000001</v>
      </c>
      <c r="FD82">
        <v>25</v>
      </c>
      <c r="FE82">
        <f t="shared" si="339"/>
        <v>0.25</v>
      </c>
      <c r="FF82">
        <v>0.75</v>
      </c>
      <c r="FG82">
        <f t="shared" si="340"/>
        <v>0.1875</v>
      </c>
      <c r="FH82">
        <v>44.3</v>
      </c>
      <c r="FI82">
        <f t="shared" si="341"/>
        <v>8.3062499999999986</v>
      </c>
      <c r="FJ82" s="847">
        <v>73.253799173196242</v>
      </c>
      <c r="FK82" s="852">
        <v>2.9561710436280596E-3</v>
      </c>
      <c r="FL82" s="852">
        <v>7.4034896106309602E-4</v>
      </c>
      <c r="FM82" s="22">
        <f t="shared" si="342"/>
        <v>0.98381716874999992</v>
      </c>
      <c r="FN82" s="22">
        <f t="shared" si="343"/>
        <v>72.068345302755006</v>
      </c>
      <c r="FO82" s="22">
        <f t="shared" si="344"/>
        <v>2.90833182648289E-3</v>
      </c>
      <c r="FP82" s="22">
        <f t="shared" si="345"/>
        <v>7.2836801876009901E-4</v>
      </c>
      <c r="FQ82" s="437">
        <f t="shared" si="353"/>
        <v>72.353858060305711</v>
      </c>
      <c r="FR82">
        <v>2.34</v>
      </c>
      <c r="FS82">
        <f t="shared" si="346"/>
        <v>69289.154999999999</v>
      </c>
      <c r="FT82" s="237">
        <f t="shared" si="347"/>
        <v>69.289154999999994</v>
      </c>
      <c r="FU82">
        <v>509</v>
      </c>
      <c r="FV82" s="237">
        <f t="shared" si="348"/>
        <v>60.287487000000006</v>
      </c>
      <c r="FY82"/>
      <c r="FZ82" s="96">
        <f>FZ80/FZ75</f>
        <v>1</v>
      </c>
      <c r="GA82" s="96">
        <f>GA80/GA75</f>
        <v>1</v>
      </c>
      <c r="GB82" s="96">
        <f>GB80/GB75</f>
        <v>1.0000000000000002</v>
      </c>
      <c r="GC82"/>
      <c r="GD82" s="658" t="s">
        <v>711</v>
      </c>
      <c r="GE82">
        <v>1002</v>
      </c>
      <c r="GF82">
        <f t="shared" si="321"/>
        <v>15.729944</v>
      </c>
      <c r="GG82" s="95">
        <f t="shared" si="322"/>
        <v>6.1402304642569367E-3</v>
      </c>
      <c r="GH82" s="641" t="s">
        <v>739</v>
      </c>
      <c r="GI82" s="641">
        <f>GE92</f>
        <v>718</v>
      </c>
      <c r="GJ82" s="641">
        <v>15</v>
      </c>
      <c r="GK82" s="641"/>
      <c r="GL82" s="641" t="s">
        <v>409</v>
      </c>
      <c r="GM82" s="650" t="s">
        <v>409</v>
      </c>
      <c r="GO82" s="95">
        <f t="shared" si="374"/>
        <v>3.8402704234994597E-3</v>
      </c>
      <c r="GP82" s="95">
        <f t="shared" si="375"/>
        <v>1.7261219792865363E-4</v>
      </c>
      <c r="GS82" s="22"/>
      <c r="GT82" s="95">
        <f t="shared" si="366"/>
        <v>0</v>
      </c>
      <c r="GW82" t="s">
        <v>717</v>
      </c>
      <c r="GX82" s="101">
        <f>GT77</f>
        <v>4.0649039364435847E-2</v>
      </c>
      <c r="GY82" s="22">
        <f t="shared" si="323"/>
        <v>44.05361215414429</v>
      </c>
      <c r="GZ82">
        <v>21.22</v>
      </c>
      <c r="HA82">
        <f t="shared" si="324"/>
        <v>0.2122</v>
      </c>
      <c r="HB82">
        <v>0.86499999999999999</v>
      </c>
      <c r="HC82">
        <f t="shared" si="325"/>
        <v>0.18355299999999999</v>
      </c>
      <c r="HD82">
        <v>43</v>
      </c>
      <c r="HE82">
        <f t="shared" si="326"/>
        <v>7.892779</v>
      </c>
      <c r="HF82">
        <v>74.054734089485507</v>
      </c>
      <c r="HG82">
        <v>1.4363980931045299E-3</v>
      </c>
      <c r="HH82">
        <v>3.0837733297494202E-3</v>
      </c>
      <c r="HI82" s="22">
        <f t="shared" si="327"/>
        <v>347.70542488437479</v>
      </c>
      <c r="HJ82" s="22">
        <f t="shared" si="328"/>
        <v>25749.232781283954</v>
      </c>
      <c r="HK82" s="22">
        <f t="shared" si="329"/>
        <v>0.49944340926601632</v>
      </c>
      <c r="HL82" s="22">
        <f t="shared" si="330"/>
        <v>1.0722447158676254</v>
      </c>
      <c r="HM82" s="437">
        <f t="shared" si="331"/>
        <v>26056.839002311943</v>
      </c>
      <c r="HN82">
        <v>2.72</v>
      </c>
      <c r="HO82">
        <f t="shared" si="332"/>
        <v>25427040.077577617</v>
      </c>
      <c r="HP82" s="237">
        <f t="shared" si="333"/>
        <v>25427.040077577618</v>
      </c>
      <c r="HQ82">
        <v>630.9</v>
      </c>
      <c r="HR82" s="237">
        <f t="shared" si="334"/>
        <v>27793.423908049634</v>
      </c>
      <c r="HS82" s="237"/>
      <c r="HT82" s="237"/>
      <c r="HU82" s="237"/>
      <c r="HV82" s="237"/>
      <c r="HW82" s="237"/>
      <c r="HX82" s="237"/>
    </row>
    <row r="83" spans="1:232" ht="17.399999999999999" thickBot="1" x14ac:dyDescent="0.5">
      <c r="A83" s="981"/>
      <c r="B83" s="159" t="s">
        <v>752</v>
      </c>
      <c r="C83" s="160">
        <v>39203</v>
      </c>
      <c r="D83" s="161">
        <v>44069</v>
      </c>
      <c r="E83" s="162">
        <v>46872</v>
      </c>
      <c r="F83" s="163">
        <v>130144</v>
      </c>
      <c r="G83" s="200">
        <v>1013956.3883114526</v>
      </c>
      <c r="H83" s="1064"/>
      <c r="I83" s="310">
        <v>6.6764245178851144E-3</v>
      </c>
      <c r="J83" s="181">
        <v>4.3497825108744564E-3</v>
      </c>
      <c r="K83" s="182">
        <v>6.9050665059613436E-3</v>
      </c>
      <c r="L83" s="183">
        <v>6.9050665059613436E-3</v>
      </c>
      <c r="M83" s="292">
        <v>-1.8269418444956553E-2</v>
      </c>
      <c r="N83" s="870"/>
      <c r="O83" s="206"/>
      <c r="P83" s="206"/>
      <c r="Q83" s="206"/>
      <c r="X83">
        <f>SUM(X79:X82)</f>
        <v>1806717150</v>
      </c>
      <c r="AP83" s="747" t="s">
        <v>722</v>
      </c>
      <c r="AQ83" s="735">
        <f>AQ76+AQ62+AQ55+AQ48</f>
        <v>1197</v>
      </c>
      <c r="AR83" s="740"/>
      <c r="AS83" s="774">
        <f t="shared" si="373"/>
        <v>0</v>
      </c>
      <c r="AT83" s="740">
        <v>40.799999999999997</v>
      </c>
      <c r="AU83" s="738">
        <v>16046</v>
      </c>
      <c r="BD83" s="850" t="s">
        <v>801</v>
      </c>
      <c r="BE83" s="847">
        <v>1414.6191342633972</v>
      </c>
      <c r="BF83" s="849" t="s">
        <v>795</v>
      </c>
      <c r="BG83" s="858"/>
      <c r="BH83" s="851">
        <v>0</v>
      </c>
      <c r="BI83" s="851">
        <v>0</v>
      </c>
      <c r="BJ83">
        <f t="shared" si="378"/>
        <v>0</v>
      </c>
      <c r="BK83">
        <f t="shared" si="379"/>
        <v>0</v>
      </c>
      <c r="BL83">
        <v>0</v>
      </c>
      <c r="BM83">
        <v>0</v>
      </c>
      <c r="BO83" t="s">
        <v>802</v>
      </c>
      <c r="BQ83" s="85">
        <f>SUMIF($BO$46:$BO$73,$BO69,BQ$46:BQ$73)</f>
        <v>137.757154985472</v>
      </c>
      <c r="BR83" s="85">
        <f>BR71</f>
        <v>70.952691922400902</v>
      </c>
      <c r="BS83" s="85">
        <f>BS71</f>
        <v>1.4858349792337027E-2</v>
      </c>
      <c r="BT83" s="85">
        <f>BT71</f>
        <v>7.9598302458948399E-4</v>
      </c>
      <c r="BU83" s="85">
        <f>SUMIF($BO$46:$BO$73,$BO69,BU$46:BU$73)</f>
        <v>10263.184661616513</v>
      </c>
      <c r="BW83">
        <v>7521.4400843765761</v>
      </c>
      <c r="BX83" s="714">
        <f t="shared" si="376"/>
        <v>-2741.7445772399369</v>
      </c>
      <c r="CN83" s="747" t="s">
        <v>709</v>
      </c>
      <c r="CO83" s="735">
        <f>CO73+CO59+CO52+CO45</f>
        <v>158</v>
      </c>
      <c r="CP83" s="740"/>
      <c r="CQ83" s="774">
        <f t="shared" si="380"/>
        <v>0</v>
      </c>
      <c r="CR83" s="740">
        <v>51.9</v>
      </c>
      <c r="CS83" s="738">
        <v>18942</v>
      </c>
      <c r="CW83">
        <f t="shared" ref="CW83:CW95" si="386">CS83*CO83*0.000001</f>
        <v>2.9928360000000001</v>
      </c>
      <c r="DB83" s="850" t="s">
        <v>801</v>
      </c>
      <c r="DC83" s="847">
        <v>1414.6191342633972</v>
      </c>
      <c r="DD83" s="849" t="s">
        <v>795</v>
      </c>
      <c r="DE83" s="858"/>
      <c r="DF83" s="851">
        <v>0</v>
      </c>
      <c r="DG83" s="851">
        <v>0</v>
      </c>
      <c r="DH83">
        <f t="shared" si="381"/>
        <v>0</v>
      </c>
      <c r="DI83">
        <f t="shared" si="382"/>
        <v>0</v>
      </c>
      <c r="DJ83">
        <v>0</v>
      </c>
      <c r="DK83">
        <v>0</v>
      </c>
      <c r="DM83" t="s">
        <v>802</v>
      </c>
      <c r="DO83" s="85">
        <f>SUMIF($DM$46:$DM$73,$DM69,DO$46:DO$73)</f>
        <v>109.330711565768</v>
      </c>
      <c r="DP83" s="85">
        <f>DP71</f>
        <v>54.173480269902313</v>
      </c>
      <c r="DQ83" s="85">
        <f>DQ71</f>
        <v>1.1035111634446338E-2</v>
      </c>
      <c r="DR83" s="85">
        <f>DR71</f>
        <v>5.9116669470248256E-4</v>
      </c>
      <c r="DS83" s="85">
        <f>SUMIF($DM$46:$DM$73,$DM69,DS$46:DS$73)</f>
        <v>8136.9944881770252</v>
      </c>
      <c r="DU83">
        <v>7521.4400843765761</v>
      </c>
      <c r="DV83" s="714">
        <f t="shared" si="377"/>
        <v>-615.55440380044911</v>
      </c>
      <c r="EG83" s="701" t="s">
        <v>716</v>
      </c>
      <c r="EH83" s="698">
        <v>66517</v>
      </c>
      <c r="EJ83">
        <v>2</v>
      </c>
      <c r="EL83" s="687" t="s">
        <v>723</v>
      </c>
      <c r="EM83" s="687">
        <f>EI114</f>
        <v>10974</v>
      </c>
      <c r="EN83" s="688">
        <v>1681</v>
      </c>
      <c r="EO83" s="687"/>
      <c r="EP83" s="690">
        <v>35.71</v>
      </c>
      <c r="EQ83" s="691">
        <v>13035</v>
      </c>
      <c r="ES83" s="703">
        <f t="shared" si="383"/>
        <v>7.0221066319895969E-2</v>
      </c>
      <c r="ET83" s="95">
        <f t="shared" si="384"/>
        <v>3.3169042227254565E-2</v>
      </c>
      <c r="EU83">
        <f t="shared" si="351"/>
        <v>79.539569999999998</v>
      </c>
      <c r="EV83" s="95">
        <f t="shared" si="352"/>
        <v>5.9506434416012048E-2</v>
      </c>
      <c r="EW83" s="857">
        <f t="shared" si="385"/>
        <v>7.148794122772914E-2</v>
      </c>
      <c r="EZ83" t="str">
        <f>EL95</f>
        <v>Vörubifreiðar &gt;12t</v>
      </c>
      <c r="FA83" t="s">
        <v>717</v>
      </c>
      <c r="FB83" s="101">
        <f>EW80</f>
        <v>0.21637722376212451</v>
      </c>
      <c r="FC83" s="22">
        <f t="shared" si="370"/>
        <v>48.474072</v>
      </c>
      <c r="FD83">
        <v>21.22</v>
      </c>
      <c r="FE83">
        <f t="shared" si="339"/>
        <v>0.2122</v>
      </c>
      <c r="FF83">
        <v>0.86499999999999999</v>
      </c>
      <c r="FG83">
        <f t="shared" si="340"/>
        <v>0.18355299999999999</v>
      </c>
      <c r="FH83">
        <v>43</v>
      </c>
      <c r="FI83">
        <f t="shared" si="341"/>
        <v>7.892779</v>
      </c>
      <c r="FJ83" s="847">
        <v>73.883575529983716</v>
      </c>
      <c r="FK83" s="852">
        <v>7.4992217114551842E-4</v>
      </c>
      <c r="FL83" s="852">
        <v>3.6876993771622073E-3</v>
      </c>
      <c r="FM83" s="22">
        <f t="shared" si="342"/>
        <v>382.59513752608802</v>
      </c>
      <c r="FN83" s="22">
        <f t="shared" si="343"/>
        <v>28267.496740813232</v>
      </c>
      <c r="FO83" s="22">
        <f t="shared" si="344"/>
        <v>0.28691657620328215</v>
      </c>
      <c r="FP83" s="22">
        <f t="shared" si="345"/>
        <v>1.4108958503602438</v>
      </c>
      <c r="FQ83" s="437">
        <f t="shared" si="353"/>
        <v>28661.221421932438</v>
      </c>
      <c r="FR83">
        <v>2.72</v>
      </c>
      <c r="FS83">
        <f t="shared" si="346"/>
        <v>27978458.773248002</v>
      </c>
      <c r="FT83" s="237">
        <f t="shared" si="347"/>
        <v>27978.458773248003</v>
      </c>
      <c r="FU83">
        <v>650</v>
      </c>
      <c r="FV83" s="237">
        <f t="shared" si="348"/>
        <v>31508.146799999999</v>
      </c>
      <c r="FY83"/>
      <c r="FZ83"/>
      <c r="GA83"/>
      <c r="GB83"/>
      <c r="GC83"/>
      <c r="GD83" s="658" t="s">
        <v>786</v>
      </c>
      <c r="GE83">
        <v>13580</v>
      </c>
      <c r="GF83">
        <f t="shared" si="321"/>
        <v>10.003344</v>
      </c>
      <c r="GG83" s="95">
        <f t="shared" si="322"/>
        <v>3.9048351076928084E-3</v>
      </c>
      <c r="GH83" s="643" t="s">
        <v>751</v>
      </c>
      <c r="GI83" s="643">
        <f>GE90</f>
        <v>624</v>
      </c>
      <c r="GJ83" s="643">
        <v>235</v>
      </c>
      <c r="GK83" s="643"/>
      <c r="GL83" s="643">
        <v>45.53</v>
      </c>
      <c r="GM83" s="645">
        <v>16619</v>
      </c>
      <c r="GO83" s="95">
        <f t="shared" si="374"/>
        <v>3.3375052148518982E-3</v>
      </c>
      <c r="GP83" s="95">
        <f t="shared" si="375"/>
        <v>2.7042577675489067E-3</v>
      </c>
      <c r="GS83" s="22">
        <f>GM83*GI83/1000000</f>
        <v>10.370255999999999</v>
      </c>
      <c r="GT83" s="95">
        <f t="shared" si="366"/>
        <v>3.9822957278196148E-3</v>
      </c>
      <c r="GX83" s="101">
        <f>SUM(GX65:GX82)</f>
        <v>0.99806026664412195</v>
      </c>
      <c r="HJ83"/>
      <c r="HO83"/>
      <c r="HP83" s="237"/>
      <c r="HR83" s="237"/>
      <c r="HS83" s="237"/>
      <c r="HT83" s="237"/>
      <c r="HU83" s="237"/>
      <c r="HV83" s="237"/>
      <c r="HW83" s="237"/>
      <c r="HX83" s="237"/>
    </row>
    <row r="84" spans="1:232" ht="17.399999999999999" thickBot="1" x14ac:dyDescent="0.5">
      <c r="A84" s="981"/>
      <c r="B84" s="159" t="s">
        <v>754</v>
      </c>
      <c r="C84" s="160">
        <v>41946</v>
      </c>
      <c r="D84" s="161">
        <v>44929</v>
      </c>
      <c r="E84" s="162">
        <v>46070</v>
      </c>
      <c r="F84" s="163">
        <v>132945</v>
      </c>
      <c r="G84" s="200">
        <v>1146901.3883114527</v>
      </c>
      <c r="H84" s="1064"/>
      <c r="I84" s="310">
        <v>-9.3992064991498207E-3</v>
      </c>
      <c r="J84" s="181">
        <v>-6.3411267362608924E-3</v>
      </c>
      <c r="K84" s="182">
        <v>-8.1032752852555623E-3</v>
      </c>
      <c r="L84" s="183">
        <v>-8.1032752852555623E-3</v>
      </c>
      <c r="M84" s="292">
        <v>-1.7101683475177598E-2</v>
      </c>
      <c r="N84" s="870"/>
      <c r="O84" s="206"/>
      <c r="P84" s="206"/>
      <c r="Q84" s="206"/>
      <c r="X84">
        <f>X83/1000000</f>
        <v>1806.7171499999999</v>
      </c>
      <c r="AP84" s="748" t="s">
        <v>726</v>
      </c>
      <c r="AQ84" s="735">
        <f>AQ77+AQ63+AQ56+AQ49</f>
        <v>1585</v>
      </c>
      <c r="AR84" s="744"/>
      <c r="AS84" s="774">
        <f t="shared" si="373"/>
        <v>0</v>
      </c>
      <c r="AT84" s="745">
        <v>76.900000000000006</v>
      </c>
      <c r="AU84" s="738">
        <v>28209</v>
      </c>
      <c r="AV84">
        <f>SUM(AQ79:AQ84)</f>
        <v>112501</v>
      </c>
      <c r="BD84" s="848" t="s">
        <v>797</v>
      </c>
      <c r="BE84" s="859">
        <v>115.88785826182558</v>
      </c>
      <c r="BF84" s="849" t="s">
        <v>795</v>
      </c>
      <c r="BG84" s="847">
        <v>73.383180836114732</v>
      </c>
      <c r="BH84" s="847">
        <v>2.8687686579828862</v>
      </c>
      <c r="BI84" s="847">
        <v>0.79139790094892593</v>
      </c>
      <c r="BJ84">
        <f t="shared" si="378"/>
        <v>2.8687686579828863E-3</v>
      </c>
      <c r="BK84">
        <f t="shared" si="379"/>
        <v>7.9139790094892592E-4</v>
      </c>
      <c r="BL84">
        <v>2.8687686579828863E-3</v>
      </c>
      <c r="BM84">
        <v>7.9139790094892592E-4</v>
      </c>
      <c r="BO84" t="s">
        <v>803</v>
      </c>
      <c r="BQ84" s="85">
        <f>SUMIF($BO$46:$BO$73,$BO71,BQ$46:BQ$73)</f>
        <v>1.6414638479999999</v>
      </c>
      <c r="BR84" s="85">
        <f>BR74+BR70</f>
        <v>4.6947184940291358</v>
      </c>
      <c r="BS84" s="85">
        <f>BS74+BS70</f>
        <v>1.8353062813945565E-4</v>
      </c>
      <c r="BT84" s="85">
        <f>BT74+BT70</f>
        <v>5.0629998855163721E-5</v>
      </c>
      <c r="BU84" s="85">
        <f>SUMIF($BO$46:$BO$73,$BO71,BU$46:BU$73)</f>
        <v>121.60554981635866</v>
      </c>
      <c r="BW84">
        <v>0</v>
      </c>
      <c r="BX84" s="714">
        <f t="shared" si="376"/>
        <v>-121.60554981635866</v>
      </c>
      <c r="CN84" s="747" t="s">
        <v>711</v>
      </c>
      <c r="CO84" s="735">
        <f>CO74+CO60+CO53+CO46</f>
        <v>588</v>
      </c>
      <c r="CP84" s="740"/>
      <c r="CQ84" s="774">
        <f t="shared" si="380"/>
        <v>0</v>
      </c>
      <c r="CR84" s="740">
        <v>162.9</v>
      </c>
      <c r="CS84" s="738">
        <v>59444</v>
      </c>
      <c r="CT84">
        <f>SUM(CO82:CO87)</f>
        <v>99218</v>
      </c>
      <c r="CW84">
        <f t="shared" si="386"/>
        <v>34.953071999999999</v>
      </c>
      <c r="DB84" s="848" t="s">
        <v>797</v>
      </c>
      <c r="DC84" s="859">
        <v>115.88785826182558</v>
      </c>
      <c r="DD84" s="849" t="s">
        <v>795</v>
      </c>
      <c r="DE84" s="847">
        <v>73.253799173196242</v>
      </c>
      <c r="DF84" s="852">
        <v>2.9561710436280596E-3</v>
      </c>
      <c r="DG84" s="852">
        <v>7.4034896106309602E-4</v>
      </c>
      <c r="DH84">
        <f t="shared" si="381"/>
        <v>2.9561710436280595E-6</v>
      </c>
      <c r="DI84">
        <f t="shared" si="382"/>
        <v>7.4034896106309599E-7</v>
      </c>
      <c r="DJ84">
        <v>2.9561710436280596E-3</v>
      </c>
      <c r="DK84">
        <v>7.4034896106309602E-4</v>
      </c>
      <c r="DM84" t="s">
        <v>803</v>
      </c>
      <c r="DO84" s="85">
        <f>SUMIF($DM$46:$DM$73,$DM71,DO$46:DO$73)</f>
        <v>1.4389415249999997</v>
      </c>
      <c r="DP84" s="85">
        <f>DP74+DP70</f>
        <v>4.3517371698226475</v>
      </c>
      <c r="DQ84" s="85">
        <f>DQ74+DQ70</f>
        <v>1.7561518386908159E-4</v>
      </c>
      <c r="DR84" s="85">
        <f>DR74+DR70</f>
        <v>4.3981392485602596E-5</v>
      </c>
      <c r="DS84" s="85">
        <f>SUMIF($DM$46:$DM$73,$DM71,DS$46:DS$73)</f>
        <v>106.30583015044942</v>
      </c>
      <c r="DU84">
        <v>0</v>
      </c>
      <c r="DV84" s="714">
        <f t="shared" si="377"/>
        <v>-106.30583015044942</v>
      </c>
      <c r="EG84" s="697" t="s">
        <v>732</v>
      </c>
      <c r="EH84" s="695">
        <v>45809</v>
      </c>
      <c r="EI84">
        <v>23627</v>
      </c>
      <c r="EL84" s="690" t="s">
        <v>729</v>
      </c>
      <c r="EM84" s="690">
        <f>EI81</f>
        <v>6102</v>
      </c>
      <c r="EN84" s="692">
        <v>1743</v>
      </c>
      <c r="EO84" s="690"/>
      <c r="EP84" s="690">
        <v>40.090000000000003</v>
      </c>
      <c r="EQ84" s="691">
        <v>14634</v>
      </c>
      <c r="ES84" s="703">
        <f t="shared" si="383"/>
        <v>9.6401486817726728E-2</v>
      </c>
      <c r="ET84" s="95">
        <f t="shared" si="384"/>
        <v>4.0229119488477419E-2</v>
      </c>
      <c r="EU84">
        <f t="shared" si="351"/>
        <v>122.589018</v>
      </c>
      <c r="EV84" s="95">
        <f t="shared" si="352"/>
        <v>9.1713286352193252E-2</v>
      </c>
      <c r="EW84" s="857">
        <f t="shared" si="385"/>
        <v>0.11017958123169422</v>
      </c>
      <c r="FA84" t="s">
        <v>675</v>
      </c>
      <c r="FB84" s="101">
        <f>EW73</f>
        <v>0</v>
      </c>
      <c r="FC84" s="22">
        <f t="shared" si="370"/>
        <v>0</v>
      </c>
      <c r="FD84">
        <v>25</v>
      </c>
      <c r="FE84">
        <f t="shared" si="339"/>
        <v>0.25</v>
      </c>
      <c r="FF84">
        <v>0.75</v>
      </c>
      <c r="FG84">
        <f t="shared" si="340"/>
        <v>0.1875</v>
      </c>
      <c r="FH84">
        <v>44.3</v>
      </c>
      <c r="FI84">
        <f t="shared" si="341"/>
        <v>8.3062499999999986</v>
      </c>
      <c r="FJ84" s="847">
        <v>73.215246727304674</v>
      </c>
      <c r="FK84" s="852">
        <v>1.4913910218690771E-2</v>
      </c>
      <c r="FL84" s="852">
        <v>7.9895947600129157E-4</v>
      </c>
      <c r="FM84" s="22">
        <f t="shared" si="342"/>
        <v>0</v>
      </c>
      <c r="FN84" s="22">
        <f t="shared" si="343"/>
        <v>0</v>
      </c>
      <c r="FO84" s="22">
        <f t="shared" si="344"/>
        <v>0</v>
      </c>
      <c r="FP84" s="22">
        <f t="shared" si="345"/>
        <v>0</v>
      </c>
      <c r="FQ84" s="437">
        <f t="shared" si="353"/>
        <v>0</v>
      </c>
      <c r="FR84">
        <v>2.34</v>
      </c>
      <c r="FS84">
        <f t="shared" si="346"/>
        <v>0</v>
      </c>
      <c r="FT84" s="237">
        <f t="shared" si="347"/>
        <v>0</v>
      </c>
      <c r="FU84">
        <v>509</v>
      </c>
      <c r="FV84" s="237">
        <f t="shared" si="348"/>
        <v>0</v>
      </c>
      <c r="GC84"/>
      <c r="GD84" s="658" t="s">
        <v>722</v>
      </c>
      <c r="GE84">
        <v>2443</v>
      </c>
      <c r="GF84">
        <f t="shared" si="321"/>
        <v>14.015616</v>
      </c>
      <c r="GG84" s="95">
        <f t="shared" si="322"/>
        <v>5.4710374263587302E-3</v>
      </c>
      <c r="GH84" s="641" t="s">
        <v>753</v>
      </c>
      <c r="GI84" s="641">
        <f>GE71</f>
        <v>1088</v>
      </c>
      <c r="GJ84" s="641">
        <v>680</v>
      </c>
      <c r="GK84" s="641"/>
      <c r="GL84" s="641">
        <v>44.58</v>
      </c>
      <c r="GM84" s="642">
        <v>16273</v>
      </c>
      <c r="GO84" s="95">
        <f t="shared" si="374"/>
        <v>5.8192398617930531E-3</v>
      </c>
      <c r="GP84" s="95">
        <f t="shared" si="375"/>
        <v>7.8250863060989641E-3</v>
      </c>
      <c r="GS84" s="22">
        <f>GM84*GI84/1000000</f>
        <v>17.705024000000002</v>
      </c>
      <c r="GT84" s="95">
        <f t="shared" si="366"/>
        <v>6.7989296923956126E-3</v>
      </c>
      <c r="GX84" s="101"/>
      <c r="GY84" s="22"/>
      <c r="HI84" s="22">
        <f>SUM(HI65:HI83)</f>
        <v>3563.9084960650898</v>
      </c>
      <c r="HJ84" s="22">
        <f>SUM(HJ65:HJ83)</f>
        <v>259971.81823892068</v>
      </c>
      <c r="HK84" s="22">
        <f>SUM(HK65:HK83)</f>
        <v>10.339385180037766</v>
      </c>
      <c r="HL84" s="22">
        <f>SUM(HL65:HL83)</f>
        <v>6.8324529575043229</v>
      </c>
      <c r="HM84" s="437">
        <f>HJ84+HK84*HK62+HL84*HL62</f>
        <v>262145.19157468446</v>
      </c>
      <c r="HO84" s="22">
        <f>SUM(HO65:HO83)</f>
        <v>266372734.45874372</v>
      </c>
      <c r="HP84" s="437">
        <f>SUM(HP65:HP83)</f>
        <v>266372.73445874377</v>
      </c>
      <c r="HR84" s="237">
        <f>SUM(HR65:HR82)</f>
        <v>238612.59137530503</v>
      </c>
      <c r="HS84" s="237"/>
      <c r="HT84" s="237"/>
      <c r="HU84" s="237"/>
      <c r="HV84" s="237"/>
      <c r="HW84" s="237"/>
      <c r="HX84" s="237"/>
    </row>
    <row r="85" spans="1:232" ht="16.5" customHeight="1" thickBot="1" x14ac:dyDescent="0.5">
      <c r="A85" s="981"/>
      <c r="B85" s="159" t="s">
        <v>755</v>
      </c>
      <c r="C85" s="160">
        <v>41381</v>
      </c>
      <c r="D85" s="161">
        <v>44334</v>
      </c>
      <c r="E85" s="162">
        <v>45824</v>
      </c>
      <c r="F85" s="163">
        <v>131539</v>
      </c>
      <c r="G85" s="200">
        <v>1278440.3883114527</v>
      </c>
      <c r="H85" s="1064"/>
      <c r="I85" s="310">
        <v>-8.2095858988289264E-4</v>
      </c>
      <c r="J85" s="181">
        <v>2.9775950021348793E-2</v>
      </c>
      <c r="K85" s="182">
        <v>6.3762817171668651E-3</v>
      </c>
      <c r="L85" s="183">
        <v>6.3762817171668651E-3</v>
      </c>
      <c r="M85" s="292">
        <v>-1.4736709221165878E-2</v>
      </c>
      <c r="N85" s="870"/>
      <c r="O85" s="206"/>
      <c r="P85" s="206"/>
      <c r="Q85" s="206"/>
      <c r="X85">
        <f>X84*0.65</f>
        <v>1174.3661474999999</v>
      </c>
      <c r="AP85" s="968" t="str">
        <f>AK25</f>
        <v>Bensín /Rafmagn</v>
      </c>
      <c r="AQ85" s="969"/>
      <c r="AR85" s="969"/>
      <c r="AS85" s="969"/>
      <c r="AT85" s="969"/>
      <c r="AU85" s="970"/>
      <c r="BD85" s="848" t="s">
        <v>799</v>
      </c>
      <c r="BE85" s="859">
        <v>1270.8288606177218</v>
      </c>
      <c r="BF85" s="849" t="s">
        <v>795</v>
      </c>
      <c r="BG85" s="847">
        <v>73.961370985694614</v>
      </c>
      <c r="BH85" s="847">
        <v>0.56220867849606193</v>
      </c>
      <c r="BI85" s="847">
        <v>1.9189860337175708</v>
      </c>
      <c r="BJ85">
        <f t="shared" si="378"/>
        <v>5.6220867849606198E-4</v>
      </c>
      <c r="BK85">
        <f t="shared" si="379"/>
        <v>1.9189860337175707E-3</v>
      </c>
      <c r="BL85">
        <v>5.6220867849606198E-4</v>
      </c>
      <c r="BM85">
        <v>1.9189860337175707E-3</v>
      </c>
      <c r="BO85" t="s">
        <v>804</v>
      </c>
      <c r="BQ85" s="85">
        <f>SUMIF($BO$46:$BO$73,$BO72,BQ$46:BQ$73)</f>
        <v>598.27389525908188</v>
      </c>
      <c r="BR85" s="85">
        <f>BR73+BR69</f>
        <v>10238.24001908153</v>
      </c>
      <c r="BS85" s="85">
        <f>BS73+BS69</f>
        <v>8.7820860904747292E-2</v>
      </c>
      <c r="BT85" s="85">
        <f>BT73+BT69</f>
        <v>0.26490973107859056</v>
      </c>
      <c r="BU85" s="85">
        <f>SUMIF($BO$46:$BO$73,$BO72,BU$46:BU$73)</f>
        <v>45947.365088653896</v>
      </c>
      <c r="BW85">
        <v>41692.66386902098</v>
      </c>
      <c r="BX85" s="714">
        <f t="shared" si="376"/>
        <v>-4254.701219632916</v>
      </c>
      <c r="CN85" s="747" t="s">
        <v>716</v>
      </c>
      <c r="CO85" s="735">
        <f>CO75+CO69+CO66+CO61+CO54+CO47</f>
        <v>8472</v>
      </c>
      <c r="CP85" s="742"/>
      <c r="CQ85" s="774">
        <f t="shared" si="380"/>
        <v>0</v>
      </c>
      <c r="CR85" s="740">
        <v>44.2</v>
      </c>
      <c r="CS85" s="738">
        <v>16144</v>
      </c>
      <c r="CW85">
        <f t="shared" si="386"/>
        <v>136.77196799999999</v>
      </c>
      <c r="DB85" s="848" t="s">
        <v>799</v>
      </c>
      <c r="DC85" s="859">
        <v>1270.8288606177218</v>
      </c>
      <c r="DD85" s="849" t="s">
        <v>795</v>
      </c>
      <c r="DE85" s="847">
        <v>73.883575529983716</v>
      </c>
      <c r="DF85" s="852">
        <v>7.7403237955161073E-5</v>
      </c>
      <c r="DG85" s="852">
        <v>1.9766762674137761E-3</v>
      </c>
      <c r="DH85">
        <f t="shared" si="381"/>
        <v>7.7403237955161078E-8</v>
      </c>
      <c r="DI85">
        <f t="shared" si="382"/>
        <v>1.9766762674137761E-6</v>
      </c>
      <c r="DJ85">
        <v>7.7403237955161073E-5</v>
      </c>
      <c r="DK85">
        <v>1.9766762674137761E-3</v>
      </c>
      <c r="DM85" t="s">
        <v>804</v>
      </c>
      <c r="DO85" s="85">
        <f>SUMIF($DM$46:$DM$73,$DM72,DO$46:DO$73)</f>
        <v>576.47585500025195</v>
      </c>
      <c r="DP85" s="85">
        <f>DP73+DP69</f>
        <v>8128.9228642254211</v>
      </c>
      <c r="DQ85" s="85">
        <f>DQ73+DQ69</f>
        <v>1.8887684162481863E-2</v>
      </c>
      <c r="DR85" s="85">
        <f>DR73+DR69</f>
        <v>0.21666991212362247</v>
      </c>
      <c r="DS85" s="85">
        <f>SUMIF($DM$46:$DM$73,$DM72,DS$46:DS$73)</f>
        <v>43185.34268730328</v>
      </c>
      <c r="DU85">
        <v>41692.66386902098</v>
      </c>
      <c r="DV85" s="714">
        <f t="shared" si="377"/>
        <v>-1492.6788182823002</v>
      </c>
      <c r="EG85" s="701" t="s">
        <v>285</v>
      </c>
      <c r="EH85" s="695">
        <v>479</v>
      </c>
      <c r="EI85">
        <v>161</v>
      </c>
      <c r="EJ85">
        <v>25568</v>
      </c>
      <c r="EL85" s="690" t="s">
        <v>734</v>
      </c>
      <c r="EM85" s="690">
        <f>EI79</f>
        <v>8377</v>
      </c>
      <c r="EN85" s="692">
        <v>2114</v>
      </c>
      <c r="EO85" s="690"/>
      <c r="EP85" s="690">
        <v>60.02</v>
      </c>
      <c r="EQ85" s="691">
        <v>21908</v>
      </c>
      <c r="ES85" s="703">
        <f t="shared" si="383"/>
        <v>0</v>
      </c>
      <c r="ET85" s="95">
        <f t="shared" si="384"/>
        <v>1.0656720394298656E-3</v>
      </c>
      <c r="EU85">
        <f t="shared" si="351"/>
        <v>0</v>
      </c>
      <c r="EV85" s="95">
        <f t="shared" si="352"/>
        <v>0</v>
      </c>
      <c r="EW85" s="857">
        <f t="shared" si="385"/>
        <v>0</v>
      </c>
      <c r="FB85" s="101"/>
      <c r="FC85" s="22"/>
      <c r="FM85" s="22"/>
      <c r="FN85" s="22"/>
      <c r="FO85" s="22"/>
      <c r="FP85" s="22"/>
      <c r="FQ85" s="437"/>
      <c r="FR85"/>
      <c r="FT85" s="237"/>
      <c r="FU85"/>
      <c r="FV85" s="237"/>
      <c r="FZ85" s="237">
        <f>FZ77/$FZ$80</f>
        <v>0.66958085998529571</v>
      </c>
      <c r="GC85"/>
      <c r="GD85" s="658" t="s">
        <v>726</v>
      </c>
      <c r="GE85">
        <v>3204</v>
      </c>
      <c r="GF85">
        <f t="shared" si="321"/>
        <v>0</v>
      </c>
      <c r="GG85" s="95">
        <f t="shared" si="322"/>
        <v>0</v>
      </c>
      <c r="GH85" s="753" t="s">
        <v>322</v>
      </c>
      <c r="GI85" s="754"/>
      <c r="GJ85" s="754"/>
      <c r="GK85" s="754"/>
      <c r="GL85" s="754"/>
      <c r="GM85" s="755"/>
      <c r="GO85" s="95"/>
      <c r="GS85" s="22"/>
      <c r="GT85" s="95"/>
      <c r="HJ85"/>
      <c r="HO85"/>
      <c r="HP85" s="237"/>
      <c r="HR85" s="237"/>
      <c r="HS85" s="237"/>
      <c r="HT85" s="237"/>
      <c r="HU85" s="237"/>
      <c r="HV85" s="237"/>
      <c r="HW85" s="237"/>
      <c r="HX85" s="237"/>
    </row>
    <row r="86" spans="1:232" ht="17.399999999999999" thickBot="1" x14ac:dyDescent="0.5">
      <c r="A86" s="981"/>
      <c r="B86" s="159" t="s">
        <v>756</v>
      </c>
      <c r="C86" s="160">
        <v>38837.210682722696</v>
      </c>
      <c r="D86" s="161">
        <v>44338</v>
      </c>
      <c r="E86" s="162">
        <v>44525</v>
      </c>
      <c r="F86" s="163">
        <v>127700.2106827227</v>
      </c>
      <c r="G86" s="200">
        <v>1406140.5989941754</v>
      </c>
      <c r="H86" s="1064"/>
      <c r="I86" s="310">
        <v>-6.6076453463443638E-2</v>
      </c>
      <c r="J86" s="181">
        <v>-7.6303328171637601E-4</v>
      </c>
      <c r="K86" s="182">
        <v>-2.0771490597100706E-2</v>
      </c>
      <c r="L86" s="183">
        <v>-2.0771490597100706E-2</v>
      </c>
      <c r="M86" s="292">
        <v>-1.5287833650538984E-2</v>
      </c>
      <c r="N86" s="870"/>
      <c r="O86" s="206"/>
      <c r="P86" s="206"/>
      <c r="Q86" s="206"/>
      <c r="AP86" s="746" t="s">
        <v>723</v>
      </c>
      <c r="AQ86" s="735">
        <v>9489</v>
      </c>
      <c r="AR86" s="736"/>
      <c r="AS86" s="774">
        <f>AR86/AQ86</f>
        <v>0</v>
      </c>
      <c r="AT86" s="737">
        <v>35</v>
      </c>
      <c r="AU86" s="738">
        <v>12791</v>
      </c>
      <c r="BD86" s="850" t="s">
        <v>805</v>
      </c>
      <c r="BE86" s="847">
        <v>3349.7298822019502</v>
      </c>
      <c r="BF86" s="849" t="s">
        <v>795</v>
      </c>
      <c r="BG86" s="858"/>
      <c r="BH86" s="851">
        <v>0</v>
      </c>
      <c r="BI86" s="851">
        <v>0</v>
      </c>
      <c r="BJ86">
        <f t="shared" si="378"/>
        <v>0</v>
      </c>
      <c r="BK86">
        <f t="shared" si="379"/>
        <v>0</v>
      </c>
      <c r="BL86">
        <v>0</v>
      </c>
      <c r="BM86">
        <v>0</v>
      </c>
      <c r="BU86" s="41">
        <f>SUM(BU80:BU85)</f>
        <v>267403.49882901856</v>
      </c>
      <c r="BW86">
        <f>SUM(BW80:BW85)</f>
        <v>262505.45538861607</v>
      </c>
      <c r="BX86" s="41">
        <f>SUM(BX80:BX85)</f>
        <v>-4898.0434404024891</v>
      </c>
      <c r="CN86" s="747" t="s">
        <v>722</v>
      </c>
      <c r="CO86" s="735">
        <f>CO76+CO62+CO55+CO48</f>
        <v>955</v>
      </c>
      <c r="CP86" s="740"/>
      <c r="CQ86" s="774">
        <f t="shared" si="380"/>
        <v>0</v>
      </c>
      <c r="CR86" s="740">
        <v>40.799999999999997</v>
      </c>
      <c r="CS86" s="738">
        <v>14900</v>
      </c>
      <c r="CW86">
        <f t="shared" si="386"/>
        <v>14.2295</v>
      </c>
      <c r="DB86" s="850" t="s">
        <v>805</v>
      </c>
      <c r="DC86" s="847">
        <v>3349.7298822019502</v>
      </c>
      <c r="DD86" s="849" t="s">
        <v>795</v>
      </c>
      <c r="DE86" s="858"/>
      <c r="DF86" s="851">
        <v>0</v>
      </c>
      <c r="DG86" s="851">
        <v>0</v>
      </c>
      <c r="DH86">
        <f t="shared" si="381"/>
        <v>0</v>
      </c>
      <c r="DI86">
        <f t="shared" si="382"/>
        <v>0</v>
      </c>
      <c r="DJ86">
        <v>0</v>
      </c>
      <c r="DK86">
        <v>0</v>
      </c>
      <c r="DS86" s="41">
        <f>SUM(DS80:DS85)</f>
        <v>275167.77890292881</v>
      </c>
      <c r="DU86">
        <f>SUM(DU80:DU85)</f>
        <v>262505.45538861607</v>
      </c>
      <c r="DV86" s="41">
        <f>SUM(DV80:DV85)</f>
        <v>-12662.323514312771</v>
      </c>
      <c r="EG86" s="701" t="s">
        <v>709</v>
      </c>
      <c r="EH86" s="695">
        <v>1002</v>
      </c>
      <c r="EI86">
        <v>542</v>
      </c>
      <c r="EJ86">
        <v>70</v>
      </c>
      <c r="EL86" s="690" t="s">
        <v>739</v>
      </c>
      <c r="EM86" s="690"/>
      <c r="EN86" s="690">
        <v>56</v>
      </c>
      <c r="EO86" s="690"/>
      <c r="EP86" s="690">
        <v>43.92</v>
      </c>
      <c r="EQ86" s="691">
        <v>16031</v>
      </c>
      <c r="ES86" s="703">
        <f t="shared" si="383"/>
        <v>0</v>
      </c>
      <c r="ET86" s="95">
        <f t="shared" si="384"/>
        <v>2.5119412357989686E-3</v>
      </c>
      <c r="EU86">
        <f t="shared" si="351"/>
        <v>0</v>
      </c>
      <c r="EV86" s="95">
        <f t="shared" si="352"/>
        <v>0</v>
      </c>
      <c r="EW86" s="857">
        <f t="shared" si="385"/>
        <v>0</v>
      </c>
      <c r="FQ86" s="237"/>
      <c r="FR86"/>
      <c r="FT86" s="237"/>
      <c r="FU86"/>
      <c r="FV86" s="237"/>
      <c r="FY86" s="96"/>
      <c r="FZ86" s="237">
        <f>FZ78/$FZ$80</f>
        <v>7.322382185647941E-2</v>
      </c>
      <c r="GA86" s="96"/>
      <c r="GB86" s="96"/>
      <c r="GC86"/>
      <c r="GD86" s="656" t="s">
        <v>763</v>
      </c>
      <c r="GE86" s="657">
        <v>3</v>
      </c>
      <c r="GF86">
        <f t="shared" si="321"/>
        <v>2089.6512120000002</v>
      </c>
      <c r="GG86" s="95">
        <f t="shared" si="322"/>
        <v>0.81570157093972051</v>
      </c>
      <c r="GH86" s="646" t="s">
        <v>285</v>
      </c>
      <c r="GI86" s="646">
        <f>GI65+GI72+GI79+GI80+GI81+GI82+GI83+GI84</f>
        <v>163203</v>
      </c>
      <c r="GJ86" s="647">
        <v>86900</v>
      </c>
      <c r="GK86" s="646"/>
      <c r="GL86" s="646">
        <v>35.92</v>
      </c>
      <c r="GM86" s="648">
        <v>13110</v>
      </c>
      <c r="GO86" s="95">
        <f t="shared" ref="GO86:GO92" si="387">GI86/$GI$92</f>
        <v>0.87290202496710634</v>
      </c>
      <c r="GS86" s="22">
        <f t="shared" ref="GS86:GS91" si="388">GM86*GI86/1000000</f>
        <v>2139.5913300000002</v>
      </c>
      <c r="GT86" s="95">
        <f t="shared" ref="GT86:GT91" si="389">GS86/$GS$92</f>
        <v>0.8216272976037321</v>
      </c>
      <c r="HJ86"/>
      <c r="HO86"/>
      <c r="HP86" s="237"/>
      <c r="HR86" s="237"/>
      <c r="HS86" s="237"/>
      <c r="HT86" s="237"/>
      <c r="HU86" s="237"/>
      <c r="HV86" s="237"/>
      <c r="HW86" s="237"/>
      <c r="HX86" s="237"/>
    </row>
    <row r="87" spans="1:232" ht="16.5" customHeight="1" thickBot="1" x14ac:dyDescent="0.5">
      <c r="A87" s="982"/>
      <c r="B87" s="159" t="s">
        <v>758</v>
      </c>
      <c r="C87" s="311">
        <v>40499</v>
      </c>
      <c r="D87" s="171">
        <v>46137</v>
      </c>
      <c r="E87" s="312">
        <v>44030</v>
      </c>
      <c r="F87" s="204">
        <v>130666</v>
      </c>
      <c r="G87" s="200">
        <v>1536806.5989941754</v>
      </c>
      <c r="H87" s="1064"/>
      <c r="I87" s="310">
        <v>-7.6206812055868659E-3</v>
      </c>
      <c r="J87" s="181">
        <v>8.3821912788567248E-3</v>
      </c>
      <c r="K87" s="182">
        <v>1.7402770643748511E-3</v>
      </c>
      <c r="L87" s="183">
        <v>1.7402770643748511E-3</v>
      </c>
      <c r="M87" s="292">
        <v>-1.3862580045919781E-2</v>
      </c>
      <c r="N87" s="870"/>
      <c r="O87" s="206"/>
      <c r="P87" s="206"/>
      <c r="Q87" s="206"/>
      <c r="AP87" s="747" t="s">
        <v>729</v>
      </c>
      <c r="AQ87" s="739">
        <v>5302</v>
      </c>
      <c r="AR87" s="742"/>
      <c r="AS87" s="774">
        <f>AR87/AQ87</f>
        <v>0</v>
      </c>
      <c r="AT87" s="740">
        <v>40</v>
      </c>
      <c r="AU87" s="738">
        <v>14589</v>
      </c>
      <c r="BD87" s="848" t="s">
        <v>797</v>
      </c>
      <c r="BE87" s="859">
        <v>38.076021575108406</v>
      </c>
      <c r="BF87" s="849" t="s">
        <v>795</v>
      </c>
      <c r="BG87" s="847">
        <v>73.400742475326624</v>
      </c>
      <c r="BH87" s="847">
        <v>15.371001115904509</v>
      </c>
      <c r="BI87" s="847">
        <v>0.82344648835202761</v>
      </c>
      <c r="BJ87">
        <f t="shared" si="378"/>
        <v>1.5371001115904509E-2</v>
      </c>
      <c r="BK87">
        <f t="shared" si="379"/>
        <v>8.2344648835202758E-4</v>
      </c>
      <c r="BL87">
        <v>1.5371001115904509E-2</v>
      </c>
      <c r="BM87">
        <v>8.2344648835202758E-4</v>
      </c>
      <c r="CN87" s="748" t="s">
        <v>726</v>
      </c>
      <c r="CO87" s="735">
        <f>CO77+CO63+CO56+CO49</f>
        <v>1466</v>
      </c>
      <c r="CP87" s="744"/>
      <c r="CQ87" s="774">
        <f t="shared" si="380"/>
        <v>0</v>
      </c>
      <c r="CR87" s="745">
        <v>76.900000000000006</v>
      </c>
      <c r="CS87" s="738">
        <v>28052</v>
      </c>
      <c r="CW87">
        <f t="shared" si="386"/>
        <v>41.124231999999999</v>
      </c>
      <c r="DB87" s="848" t="s">
        <v>797</v>
      </c>
      <c r="DC87" s="859">
        <v>38.076021575108406</v>
      </c>
      <c r="DD87" s="849" t="s">
        <v>795</v>
      </c>
      <c r="DE87" s="847">
        <v>73.215246727304674</v>
      </c>
      <c r="DF87" s="852">
        <v>1.4913910218690771E-2</v>
      </c>
      <c r="DG87" s="852">
        <v>7.9895947600129157E-4</v>
      </c>
      <c r="DH87">
        <f t="shared" si="381"/>
        <v>1.4913910218690772E-5</v>
      </c>
      <c r="DI87">
        <f t="shared" si="382"/>
        <v>7.9895947600129157E-7</v>
      </c>
      <c r="DJ87">
        <v>1.4913910218690771E-2</v>
      </c>
      <c r="DK87">
        <v>7.9895947600129157E-4</v>
      </c>
      <c r="EG87" s="701" t="s">
        <v>711</v>
      </c>
      <c r="EH87" s="695">
        <v>13580</v>
      </c>
      <c r="EI87">
        <v>6626</v>
      </c>
      <c r="EJ87">
        <v>678</v>
      </c>
      <c r="EL87" s="690" t="s">
        <v>751</v>
      </c>
      <c r="EM87" s="690"/>
      <c r="EN87" s="690">
        <v>132</v>
      </c>
      <c r="EO87" s="690"/>
      <c r="EP87" s="690">
        <v>35.29</v>
      </c>
      <c r="EQ87" s="691">
        <v>12882</v>
      </c>
      <c r="ES87" s="703">
        <f t="shared" si="383"/>
        <v>8.1360691393258678E-3</v>
      </c>
      <c r="ET87" s="95">
        <f t="shared" si="384"/>
        <v>8.3350777369693048E-3</v>
      </c>
      <c r="EU87">
        <f t="shared" si="351"/>
        <v>9.1075739999999996</v>
      </c>
      <c r="EV87" s="95">
        <f t="shared" si="352"/>
        <v>6.8137061203621856E-3</v>
      </c>
      <c r="EW87" s="857">
        <f t="shared" si="385"/>
        <v>8.1856328219928002E-3</v>
      </c>
      <c r="FA87">
        <f>EZ64/(EZ65+EZ64)</f>
        <v>0.1828423973531926</v>
      </c>
      <c r="FB87" s="101">
        <f>SUM(FB75:FB85)</f>
        <v>0.95316162302049556</v>
      </c>
      <c r="FC87" s="22">
        <f>SUM(FC67:FC84)</f>
        <v>1230.2096310354686</v>
      </c>
      <c r="FM87" s="22">
        <f>SUM(FM67:FM86)</f>
        <v>3800.0573654948971</v>
      </c>
      <c r="FN87" s="22">
        <f>SUM(FN67:FN86)</f>
        <v>279918.21297095477</v>
      </c>
      <c r="FO87" s="22">
        <f>SUM(FO67:FO86)</f>
        <v>6.5234475921287149</v>
      </c>
      <c r="FP87" s="22">
        <f>SUM(FP67:FP86)</f>
        <v>7.3735772243855164</v>
      </c>
      <c r="FQ87" s="437">
        <f>FN87+FO87*FO64+FP87*FP64</f>
        <v>282125.59829145746</v>
      </c>
      <c r="FR87"/>
      <c r="FS87" s="22">
        <f>SUM(FS67:FS85)</f>
        <v>287264281.59736454</v>
      </c>
      <c r="FT87" s="437">
        <f>SUM(FT67:FT86)</f>
        <v>287264.28159736458</v>
      </c>
      <c r="FU87"/>
      <c r="FV87" s="237">
        <f>SUM(FV67:FV85)</f>
        <v>258789.80171359371</v>
      </c>
      <c r="FY87"/>
      <c r="FZ87" s="237">
        <f>FZ79/$FZ$80</f>
        <v>0.25719531815822488</v>
      </c>
      <c r="GA87"/>
      <c r="GB87"/>
      <c r="GC87"/>
      <c r="GD87" s="658" t="s">
        <v>780</v>
      </c>
      <c r="GE87">
        <v>2</v>
      </c>
      <c r="GF87">
        <f t="shared" si="321"/>
        <v>11.17487</v>
      </c>
      <c r="GG87" s="95">
        <f t="shared" si="322"/>
        <v>4.3621437691139216E-3</v>
      </c>
      <c r="GH87" s="643" t="s">
        <v>709</v>
      </c>
      <c r="GI87" s="643">
        <f>GI66+GI73</f>
        <v>526</v>
      </c>
      <c r="GJ87" s="643">
        <v>357</v>
      </c>
      <c r="GK87" s="643"/>
      <c r="GL87" s="643">
        <v>67.66</v>
      </c>
      <c r="GM87" s="645">
        <v>24695</v>
      </c>
      <c r="GO87" s="95">
        <f t="shared" si="387"/>
        <v>2.8133457420065682E-3</v>
      </c>
      <c r="GS87" s="22">
        <f t="shared" si="388"/>
        <v>12.989570000000001</v>
      </c>
      <c r="GT87" s="95">
        <f t="shared" si="389"/>
        <v>4.9881419626684083E-3</v>
      </c>
      <c r="HI87" s="85">
        <f>HI65+HI68+HI69+HI72+HI73+HI75</f>
        <v>1280.1936872355734</v>
      </c>
      <c r="HJ87" s="85">
        <f>HJ65+HJ68+HJ69+HJ72+HJ73+HJ75</f>
        <v>90864.274299923563</v>
      </c>
      <c r="HK87" s="85">
        <f>HK65+HK68+HK69+HK72+HK73+HK75</f>
        <v>9.3670626778041548</v>
      </c>
      <c r="HL87" s="85">
        <f>HL65+HL68+HL69+HL72+HL73+HL75</f>
        <v>0.78089388721953179</v>
      </c>
      <c r="HM87" s="85">
        <f>HM65+HM68+HM69+HM72+HM73+HM75</f>
        <v>91356.596798933067</v>
      </c>
      <c r="HO87"/>
      <c r="HP87" s="237"/>
      <c r="HR87" s="237"/>
      <c r="HS87" s="237"/>
      <c r="HT87" s="237"/>
      <c r="HU87" s="237"/>
      <c r="HV87" s="237"/>
      <c r="HW87" s="237"/>
      <c r="HX87" s="237"/>
    </row>
    <row r="88" spans="1:232" ht="29.4" thickBot="1" x14ac:dyDescent="0.5">
      <c r="A88" s="296" t="s">
        <v>760</v>
      </c>
      <c r="B88" s="188"/>
      <c r="C88" s="174">
        <v>39360.54991618127</v>
      </c>
      <c r="D88" s="174">
        <v>43766</v>
      </c>
      <c r="E88" s="174">
        <v>44940.666666666664</v>
      </c>
      <c r="F88" s="175">
        <v>128067.21658284795</v>
      </c>
      <c r="G88" s="175"/>
      <c r="H88" s="1065"/>
      <c r="I88" s="313">
        <v>-2.8460415551625262E-2</v>
      </c>
      <c r="J88" s="189">
        <v>-8.5052083630087205E-3</v>
      </c>
      <c r="K88" s="190">
        <v>-6.0123490922495693E-3</v>
      </c>
      <c r="L88" s="191"/>
      <c r="M88" s="190">
        <v>-1.3862580045919781E-2</v>
      </c>
      <c r="N88" s="891"/>
      <c r="O88" s="872"/>
      <c r="P88" s="872"/>
      <c r="Q88" s="872"/>
      <c r="Z88" s="670" t="s">
        <v>806</v>
      </c>
      <c r="AA88" s="671" t="s">
        <v>807</v>
      </c>
      <c r="AB88" s="671" t="s">
        <v>808</v>
      </c>
      <c r="AC88" s="671" t="s">
        <v>809</v>
      </c>
      <c r="AP88" s="747" t="s">
        <v>734</v>
      </c>
      <c r="AQ88" s="739">
        <v>7625</v>
      </c>
      <c r="AR88" s="742"/>
      <c r="AS88" s="774">
        <f>AR88/AQ88</f>
        <v>0</v>
      </c>
      <c r="AT88" s="740">
        <v>48.2</v>
      </c>
      <c r="AU88" s="738">
        <v>17580</v>
      </c>
      <c r="BD88" s="848" t="s">
        <v>799</v>
      </c>
      <c r="BE88" s="859">
        <v>3264.5154343353884</v>
      </c>
      <c r="BF88" s="849" t="s">
        <v>795</v>
      </c>
      <c r="BG88" s="847">
        <v>73.961370985694629</v>
      </c>
      <c r="BH88" s="847">
        <v>0.57428954612108829</v>
      </c>
      <c r="BI88" s="847">
        <v>10.334791465818542</v>
      </c>
      <c r="BJ88">
        <f t="shared" si="378"/>
        <v>5.7428954612108831E-4</v>
      </c>
      <c r="BK88">
        <f t="shared" si="379"/>
        <v>1.0334791465818543E-2</v>
      </c>
      <c r="BL88">
        <v>5.7428954612108831E-4</v>
      </c>
      <c r="BM88">
        <v>1.0334791465818543E-2</v>
      </c>
      <c r="CN88" s="906" t="str">
        <f>CI24</f>
        <v>Bensín /Rafmagn</v>
      </c>
      <c r="CO88" s="907"/>
      <c r="CP88" s="907"/>
      <c r="CQ88" s="907"/>
      <c r="CR88" s="907"/>
      <c r="CS88" s="908"/>
      <c r="CW88">
        <f>SUM(CW82:CW87)</f>
        <v>1336.0192199999997</v>
      </c>
      <c r="CX88">
        <f>CW88-CW81</f>
        <v>193.82069599999954</v>
      </c>
      <c r="DB88" s="848" t="s">
        <v>799</v>
      </c>
      <c r="DC88" s="859">
        <v>3264.5154343353884</v>
      </c>
      <c r="DD88" s="849" t="s">
        <v>795</v>
      </c>
      <c r="DE88" s="847">
        <v>73.883575529983716</v>
      </c>
      <c r="DF88" s="852">
        <v>7.4992217114551842E-4</v>
      </c>
      <c r="DG88" s="852">
        <v>3.6876993771622073E-3</v>
      </c>
      <c r="DH88">
        <f t="shared" si="381"/>
        <v>7.4992217114551843E-7</v>
      </c>
      <c r="DI88">
        <f t="shared" si="382"/>
        <v>3.6876993771622073E-6</v>
      </c>
      <c r="DJ88">
        <v>7.4992217114551842E-4</v>
      </c>
      <c r="DK88">
        <v>3.6876993771622073E-3</v>
      </c>
      <c r="EG88" s="701" t="s">
        <v>716</v>
      </c>
      <c r="EH88" s="695">
        <v>2443</v>
      </c>
      <c r="EI88">
        <v>935</v>
      </c>
      <c r="EJ88">
        <v>802</v>
      </c>
      <c r="EL88" s="690" t="s">
        <v>753</v>
      </c>
      <c r="EM88" s="690">
        <f>EI75</f>
        <v>707</v>
      </c>
      <c r="EN88" s="690">
        <v>438</v>
      </c>
      <c r="EO88" s="690"/>
      <c r="EP88" s="763"/>
      <c r="EQ88" s="764"/>
      <c r="EU88">
        <f t="shared" si="351"/>
        <v>0</v>
      </c>
      <c r="EV88" s="95">
        <f t="shared" si="352"/>
        <v>0</v>
      </c>
      <c r="EW88" s="857"/>
      <c r="FB88" s="101">
        <f>SUM(FB67:FB85)</f>
        <v>1.9686058313743029</v>
      </c>
      <c r="FQ88" s="237"/>
      <c r="FR88"/>
      <c r="FT88" s="237"/>
      <c r="FU88"/>
      <c r="FV88" s="237"/>
      <c r="FY88"/>
      <c r="FZ88"/>
      <c r="GA88"/>
      <c r="GB88"/>
      <c r="GC88"/>
      <c r="GD88" s="658" t="s">
        <v>726</v>
      </c>
      <c r="GE88">
        <v>1</v>
      </c>
      <c r="GF88">
        <f t="shared" si="321"/>
        <v>61.155065999999998</v>
      </c>
      <c r="GG88" s="95">
        <f t="shared" si="322"/>
        <v>2.3872062055455733E-2</v>
      </c>
      <c r="GH88" s="641" t="s">
        <v>711</v>
      </c>
      <c r="GI88" s="641">
        <f>GI67+GI74</f>
        <v>1002</v>
      </c>
      <c r="GJ88" s="641">
        <v>613</v>
      </c>
      <c r="GK88" s="641"/>
      <c r="GL88" s="641">
        <v>146.72999999999999</v>
      </c>
      <c r="GM88" s="642">
        <v>53555</v>
      </c>
      <c r="GO88" s="95">
        <f t="shared" si="387"/>
        <v>5.3592631815410291E-3</v>
      </c>
      <c r="GS88" s="22">
        <f t="shared" si="388"/>
        <v>53.662109999999998</v>
      </c>
      <c r="GT88" s="95">
        <f t="shared" si="389"/>
        <v>2.0606857863372536E-2</v>
      </c>
      <c r="HI88" s="85">
        <f>HI66+HI71+HI70+HI74+HI76</f>
        <v>1619.4908655253928</v>
      </c>
      <c r="HJ88" s="85">
        <f>HJ66+HJ71+HJ70+HJ74+HJ76</f>
        <v>119930.96540683387</v>
      </c>
      <c r="HK88" s="85">
        <f>HK66+HK71+HK70+HK74+HK76</f>
        <v>0.18555628002441102</v>
      </c>
      <c r="HL88" s="85">
        <f>HL66+HL71+HL70+HL74+HL76</f>
        <v>4.155458612835619</v>
      </c>
      <c r="HM88" s="85">
        <f>HM66+HM71+HM70+HM74+HM76</f>
        <v>121070.93518528271</v>
      </c>
      <c r="HO88"/>
      <c r="HP88" s="237"/>
      <c r="HR88" s="237"/>
      <c r="HS88" s="237"/>
      <c r="HT88" s="237"/>
      <c r="HU88" s="237"/>
      <c r="HV88" s="237"/>
      <c r="HW88" s="237"/>
      <c r="HX88" s="237"/>
    </row>
    <row r="89" spans="1:232" ht="17.399999999999999" thickBot="1" x14ac:dyDescent="0.5">
      <c r="A89" s="981">
        <v>2011</v>
      </c>
      <c r="B89" s="314" t="s">
        <v>710</v>
      </c>
      <c r="C89" s="315">
        <v>34438</v>
      </c>
      <c r="D89" s="316">
        <v>40650</v>
      </c>
      <c r="E89" s="317">
        <v>40584</v>
      </c>
      <c r="F89" s="155">
        <v>115672</v>
      </c>
      <c r="G89" s="199">
        <v>115672</v>
      </c>
      <c r="H89" s="984" t="s">
        <v>810</v>
      </c>
      <c r="I89" s="318">
        <v>-0.11171296654543579</v>
      </c>
      <c r="J89" s="319">
        <v>-7.2775227117319527E-3</v>
      </c>
      <c r="K89" s="320">
        <v>-7.6291079812206572E-3</v>
      </c>
      <c r="L89" s="321">
        <v>-4.0965733378657387E-2</v>
      </c>
      <c r="M89" s="322">
        <v>-4.0965733378657387E-2</v>
      </c>
      <c r="N89" s="892"/>
      <c r="O89" s="873"/>
      <c r="P89" s="873"/>
      <c r="Q89" s="873"/>
      <c r="T89" s="16" t="s">
        <v>811</v>
      </c>
      <c r="U89" s="16" t="s">
        <v>812</v>
      </c>
      <c r="Z89" s="672" t="s">
        <v>813</v>
      </c>
      <c r="AA89" s="673">
        <v>938</v>
      </c>
      <c r="AB89" s="673">
        <f>AA89*AC89</f>
        <v>4772.5439999999999</v>
      </c>
      <c r="AC89" s="674">
        <v>5.0880000000000001</v>
      </c>
      <c r="AP89" s="747" t="s">
        <v>739</v>
      </c>
      <c r="AQ89" s="735">
        <v>606</v>
      </c>
      <c r="AR89" s="740"/>
      <c r="AS89" s="774">
        <f>AR89/AQ90</f>
        <v>0</v>
      </c>
      <c r="AT89" s="740">
        <v>69.8</v>
      </c>
      <c r="AU89" s="738">
        <v>25485</v>
      </c>
      <c r="BQ89" s="85">
        <f>SUM(BQ80:BQ85)</f>
        <v>3579.6053076494754</v>
      </c>
      <c r="CN89" s="746" t="s">
        <v>723</v>
      </c>
      <c r="CO89" s="735">
        <v>9489</v>
      </c>
      <c r="CP89" s="736"/>
      <c r="CQ89" s="774">
        <f>CP89/CO89</f>
        <v>0</v>
      </c>
      <c r="CR89" s="737">
        <v>35</v>
      </c>
      <c r="CS89" s="738">
        <v>12791</v>
      </c>
      <c r="CW89">
        <f t="shared" si="386"/>
        <v>121.37379899999999</v>
      </c>
      <c r="DO89" s="85">
        <f>SUM(DO80:DO85)</f>
        <v>3706.081030716246</v>
      </c>
      <c r="EG89" s="701" t="s">
        <v>722</v>
      </c>
      <c r="EH89" s="695">
        <v>3204</v>
      </c>
      <c r="EI89">
        <v>1462</v>
      </c>
      <c r="EJ89">
        <v>1300</v>
      </c>
      <c r="EL89" s="762" t="s">
        <v>322</v>
      </c>
      <c r="EM89" s="763"/>
      <c r="EN89" s="763"/>
      <c r="EO89" s="763"/>
      <c r="EP89" s="687">
        <v>35.08</v>
      </c>
      <c r="EQ89" s="689">
        <v>12804</v>
      </c>
      <c r="ES89" s="703">
        <f t="shared" ref="ES89:ES94" si="390">EM90/$EM$97</f>
        <v>0.88318934851102759</v>
      </c>
      <c r="ET89" s="95">
        <f t="shared" ref="ET89:ET94" si="391">EN90/$EN$97</f>
        <v>0.86865030167782464</v>
      </c>
      <c r="EU89">
        <f t="shared" si="351"/>
        <v>1112.6291880000001</v>
      </c>
      <c r="EV89" s="95">
        <f t="shared" si="352"/>
        <v>0.8323982114193319</v>
      </c>
      <c r="EW89" s="857">
        <f>EU89/$EU$89</f>
        <v>1</v>
      </c>
      <c r="FQ89" s="237"/>
      <c r="FR89"/>
      <c r="FT89" s="237"/>
      <c r="FU89"/>
      <c r="FV89" s="237"/>
      <c r="FY89"/>
      <c r="FZ89"/>
      <c r="GA89"/>
      <c r="GB89"/>
      <c r="GC89"/>
      <c r="GD89" s="656" t="s">
        <v>765</v>
      </c>
      <c r="GE89" s="657">
        <v>624</v>
      </c>
      <c r="GF89">
        <f t="shared" si="321"/>
        <v>239.84653</v>
      </c>
      <c r="GG89" s="95">
        <f t="shared" si="322"/>
        <v>9.3624806944787295E-2</v>
      </c>
      <c r="GH89" s="643" t="s">
        <v>716</v>
      </c>
      <c r="GI89" s="643">
        <f>GI68+GI75</f>
        <v>16345</v>
      </c>
      <c r="GJ89" s="649">
        <v>8928</v>
      </c>
      <c r="GK89" s="643"/>
      <c r="GL89" s="643">
        <v>41.38</v>
      </c>
      <c r="GM89" s="645">
        <v>15105</v>
      </c>
      <c r="GO89" s="95">
        <f t="shared" si="387"/>
        <v>8.742231207813185E-2</v>
      </c>
      <c r="GS89" s="22">
        <f t="shared" si="388"/>
        <v>246.89122499999999</v>
      </c>
      <c r="GT89" s="95">
        <f t="shared" si="389"/>
        <v>9.4809025982931491E-2</v>
      </c>
      <c r="HI89" s="85">
        <f t="shared" ref="HI89:HM90" si="392">HI79</f>
        <v>4.1125427607495082</v>
      </c>
      <c r="HJ89" s="85">
        <f t="shared" si="392"/>
        <v>292.2042954857784</v>
      </c>
      <c r="HK89" s="85">
        <f t="shared" si="392"/>
        <v>2.4763317126172593E-2</v>
      </c>
      <c r="HL89" s="85">
        <f t="shared" si="392"/>
        <v>4.9842344502840797E-3</v>
      </c>
      <c r="HM89" s="85">
        <f t="shared" si="392"/>
        <v>294.3029383410659</v>
      </c>
      <c r="HO89"/>
      <c r="HP89" s="237"/>
      <c r="HR89" s="237"/>
      <c r="HS89" s="237"/>
      <c r="HT89" s="237"/>
      <c r="HU89" s="237"/>
      <c r="HV89" s="237"/>
      <c r="HW89" s="237"/>
      <c r="HX89" s="237"/>
    </row>
    <row r="90" spans="1:232" ht="25.8" thickBot="1" x14ac:dyDescent="0.5">
      <c r="A90" s="981"/>
      <c r="B90" s="323" t="s">
        <v>715</v>
      </c>
      <c r="C90" s="324">
        <v>38278</v>
      </c>
      <c r="D90" s="325">
        <v>41594</v>
      </c>
      <c r="E90" s="326">
        <v>42191</v>
      </c>
      <c r="F90" s="163">
        <v>122063</v>
      </c>
      <c r="G90" s="200">
        <v>237735</v>
      </c>
      <c r="H90" s="984"/>
      <c r="I90" s="327">
        <v>-5.1421207840804894E-2</v>
      </c>
      <c r="J90" s="328">
        <v>-1.6457791440056751E-2</v>
      </c>
      <c r="K90" s="329">
        <v>-1.6962184580255831E-2</v>
      </c>
      <c r="L90" s="330">
        <v>-2.786671126614737E-2</v>
      </c>
      <c r="M90" s="331">
        <v>-3.4284553671168894E-2</v>
      </c>
      <c r="N90" s="892"/>
      <c r="O90" s="873"/>
      <c r="P90" s="873"/>
      <c r="Q90" s="873"/>
      <c r="S90" s="16" t="s">
        <v>675</v>
      </c>
      <c r="T90">
        <v>0.75</v>
      </c>
      <c r="U90">
        <v>44.3</v>
      </c>
      <c r="Z90" s="672" t="s">
        <v>814</v>
      </c>
      <c r="AA90" s="673">
        <v>85</v>
      </c>
      <c r="AB90" s="673">
        <f>AA90*AC90</f>
        <v>432.99</v>
      </c>
      <c r="AC90" s="674">
        <v>5.0940000000000003</v>
      </c>
      <c r="AD90">
        <f>AB90/AB92</f>
        <v>7.9820696085727574E-2</v>
      </c>
      <c r="AP90" s="747" t="s">
        <v>751</v>
      </c>
      <c r="AQ90" s="739">
        <v>311</v>
      </c>
      <c r="AR90" s="740"/>
      <c r="AS90" s="774">
        <f>AR90/AQ90</f>
        <v>0</v>
      </c>
      <c r="AT90" s="740">
        <v>42.1</v>
      </c>
      <c r="AU90" s="738">
        <v>15378</v>
      </c>
      <c r="CN90" s="747" t="s">
        <v>729</v>
      </c>
      <c r="CO90" s="739">
        <v>5302</v>
      </c>
      <c r="CP90" s="742"/>
      <c r="CQ90" s="774">
        <f>CP90/CO90</f>
        <v>0</v>
      </c>
      <c r="CR90" s="740">
        <v>40</v>
      </c>
      <c r="CS90" s="738">
        <v>14589</v>
      </c>
      <c r="CW90">
        <f t="shared" si="386"/>
        <v>77.350877999999994</v>
      </c>
      <c r="EG90" s="701" t="s">
        <v>726</v>
      </c>
      <c r="EH90" s="698">
        <v>3</v>
      </c>
      <c r="EJ90">
        <v>2042</v>
      </c>
      <c r="EL90" s="687" t="s">
        <v>285</v>
      </c>
      <c r="EM90" s="687">
        <f t="shared" ref="EM90:EM95" si="393">SUMIF($EG$69:$EG$120,EL90,$EI$68:$EI$119)</f>
        <v>86897</v>
      </c>
      <c r="EN90" s="688">
        <v>52549</v>
      </c>
      <c r="EO90" s="687"/>
      <c r="EP90" s="690">
        <v>58.2</v>
      </c>
      <c r="EQ90" s="691">
        <v>21245</v>
      </c>
      <c r="ES90" s="703">
        <f t="shared" si="390"/>
        <v>1.7176542331537757E-3</v>
      </c>
      <c r="ET90" s="95">
        <f t="shared" si="391"/>
        <v>3.1076948508141169E-3</v>
      </c>
      <c r="EU90">
        <f t="shared" si="351"/>
        <v>3.5904050000000001</v>
      </c>
      <c r="EV90" s="95">
        <f t="shared" si="352"/>
        <v>2.6861120780439438E-3</v>
      </c>
      <c r="EW90" s="857">
        <f>EU90/$EU$100</f>
        <v>1.602675067367253E-2</v>
      </c>
      <c r="FD90" s="923" t="s">
        <v>790</v>
      </c>
      <c r="FE90" s="923" t="s">
        <v>791</v>
      </c>
      <c r="FF90" s="924" t="s">
        <v>792</v>
      </c>
      <c r="FM90" s="85">
        <f>FM67+FM71+FM72+FM75+FM76+FM78+FM70</f>
        <v>1306.0682694069219</v>
      </c>
      <c r="FN90" s="85">
        <f>FN67+FN71+FN72+FN75+FN76+FN78+FN70</f>
        <v>95654.00080397533</v>
      </c>
      <c r="FO90" s="85">
        <f>FO67+FO71+FO72+FO75+FO76+FO78+FO70</f>
        <v>5.850903537111801</v>
      </c>
      <c r="FP90" s="85">
        <f>FP67+FP71+FP72+FP75+FP76+FP78+FP70</f>
        <v>0.61977932073853115</v>
      </c>
      <c r="FQ90" s="85">
        <f>FQ67+FQ71+FQ72+FQ75+FQ76+FQ78+FQ70</f>
        <v>95997.557483942859</v>
      </c>
      <c r="FR90"/>
      <c r="FS90">
        <v>92639.748975766663</v>
      </c>
      <c r="FT90" s="714">
        <f t="shared" ref="FT90:FT95" si="394">FS90-FQ90</f>
        <v>-3357.8085081761965</v>
      </c>
      <c r="FU90"/>
      <c r="FV90" s="237"/>
      <c r="FY90"/>
      <c r="FZ90"/>
      <c r="GA90"/>
      <c r="GB90"/>
      <c r="GC90"/>
      <c r="GD90" s="658" t="s">
        <v>780</v>
      </c>
      <c r="GE90">
        <v>624</v>
      </c>
      <c r="GF90">
        <f t="shared" si="321"/>
        <v>41.334297999999997</v>
      </c>
      <c r="GG90" s="95">
        <f t="shared" si="322"/>
        <v>1.6134966265504477E-2</v>
      </c>
      <c r="GH90" s="641" t="s">
        <v>722</v>
      </c>
      <c r="GI90" s="641">
        <f>GI76+GI69</f>
        <v>2683</v>
      </c>
      <c r="GJ90" s="644">
        <v>1714</v>
      </c>
      <c r="GK90" s="641"/>
      <c r="GL90" s="641">
        <v>46.17</v>
      </c>
      <c r="GM90" s="642">
        <v>16851</v>
      </c>
      <c r="GO90" s="95">
        <f t="shared" si="387"/>
        <v>1.4350202710653273E-2</v>
      </c>
      <c r="GS90" s="22">
        <f t="shared" si="388"/>
        <v>45.211233</v>
      </c>
      <c r="GT90" s="95">
        <f t="shared" si="389"/>
        <v>1.7361625404942481E-2</v>
      </c>
      <c r="HI90" s="85">
        <f t="shared" si="392"/>
        <v>139.41307195742277</v>
      </c>
      <c r="HJ90" s="85">
        <f t="shared" si="392"/>
        <v>10324.197972405294</v>
      </c>
      <c r="HK90" s="85">
        <f t="shared" si="392"/>
        <v>1.4072818819449304E-2</v>
      </c>
      <c r="HL90" s="85">
        <f t="shared" si="392"/>
        <v>0.28540060446043075</v>
      </c>
      <c r="HM90" s="85">
        <f t="shared" si="392"/>
        <v>10402.531707423812</v>
      </c>
      <c r="HO90"/>
      <c r="HP90" s="237"/>
      <c r="HR90" s="237"/>
      <c r="HS90" s="237"/>
      <c r="HT90" s="237"/>
      <c r="HU90" s="237"/>
      <c r="HV90" s="237"/>
      <c r="HW90" s="237"/>
      <c r="HX90" s="237"/>
    </row>
    <row r="91" spans="1:232" ht="25.8" thickBot="1" x14ac:dyDescent="0.3">
      <c r="A91" s="981"/>
      <c r="B91" s="314" t="s">
        <v>718</v>
      </c>
      <c r="C91" s="324">
        <v>39577.55385956086</v>
      </c>
      <c r="D91" s="325">
        <v>42024</v>
      </c>
      <c r="E91" s="326">
        <v>42382</v>
      </c>
      <c r="F91" s="163">
        <v>123983.55385956087</v>
      </c>
      <c r="G91" s="200">
        <v>361718.55385956087</v>
      </c>
      <c r="H91" s="984"/>
      <c r="I91" s="327">
        <v>0</v>
      </c>
      <c r="J91" s="328">
        <v>-5.6213084196105732E-2</v>
      </c>
      <c r="K91" s="329">
        <v>-5.1899243881705519E-2</v>
      </c>
      <c r="L91" s="330">
        <v>-3.7443746886191565E-2</v>
      </c>
      <c r="M91" s="331">
        <v>-3.53697398271684E-2</v>
      </c>
      <c r="N91" s="892"/>
      <c r="O91" s="873"/>
      <c r="P91" s="873"/>
      <c r="Q91" s="873"/>
      <c r="S91" s="16" t="s">
        <v>717</v>
      </c>
      <c r="T91">
        <v>0.85</v>
      </c>
      <c r="U91">
        <v>43</v>
      </c>
      <c r="Z91" s="675" t="s">
        <v>815</v>
      </c>
      <c r="AA91" s="673">
        <v>43</v>
      </c>
      <c r="AB91" s="673">
        <f>AA91*AC91</f>
        <v>218.999</v>
      </c>
      <c r="AC91" s="674">
        <v>5.093</v>
      </c>
      <c r="AP91" s="747" t="s">
        <v>727</v>
      </c>
      <c r="AQ91" s="739">
        <v>106</v>
      </c>
      <c r="AR91" s="740"/>
      <c r="AS91" s="774">
        <f>AR91/AQ91</f>
        <v>0</v>
      </c>
      <c r="AT91" s="740"/>
      <c r="AU91" s="738"/>
      <c r="CN91" s="747" t="s">
        <v>734</v>
      </c>
      <c r="CO91" s="739">
        <v>7625</v>
      </c>
      <c r="CP91" s="742"/>
      <c r="CQ91" s="774">
        <f>CP91/CO91</f>
        <v>0</v>
      </c>
      <c r="CR91" s="740">
        <v>48.2</v>
      </c>
      <c r="CS91" s="738">
        <v>17580</v>
      </c>
      <c r="CW91">
        <f t="shared" si="386"/>
        <v>134.04749999999999</v>
      </c>
      <c r="EG91" s="697" t="s">
        <v>763</v>
      </c>
      <c r="EH91" s="695">
        <v>2</v>
      </c>
      <c r="EL91" s="690" t="s">
        <v>709</v>
      </c>
      <c r="EM91" s="687">
        <f t="shared" si="393"/>
        <v>169</v>
      </c>
      <c r="EN91" s="690">
        <v>188</v>
      </c>
      <c r="EO91" s="690"/>
      <c r="EP91" s="690">
        <v>167.21</v>
      </c>
      <c r="EQ91" s="691">
        <v>61033</v>
      </c>
      <c r="ES91" s="703">
        <f t="shared" si="390"/>
        <v>5.8237625774977134E-3</v>
      </c>
      <c r="ET91" s="95">
        <f t="shared" si="391"/>
        <v>7.769237127035292E-3</v>
      </c>
      <c r="EU91">
        <f t="shared" si="351"/>
        <v>34.971908999999997</v>
      </c>
      <c r="EV91" s="95">
        <f t="shared" si="352"/>
        <v>2.6163752322413126E-2</v>
      </c>
      <c r="EW91" s="857">
        <f>EU91/$EU$100</f>
        <v>0.15610664148622908</v>
      </c>
      <c r="FB91">
        <v>2023</v>
      </c>
      <c r="FD91" s="854" t="s">
        <v>793</v>
      </c>
      <c r="FE91" s="854" t="s">
        <v>793</v>
      </c>
      <c r="FF91" s="854" t="s">
        <v>793</v>
      </c>
      <c r="FM91" s="85">
        <f>FM68+FM74+FM73+FM77</f>
        <v>1730.3377491404829</v>
      </c>
      <c r="FN91" s="85">
        <f>FN68+FN74+FN73+FN77</f>
        <v>127843.53978100288</v>
      </c>
      <c r="FO91" s="85">
        <f>FO68+FO74+FO73+FO77</f>
        <v>0.1764823837966491</v>
      </c>
      <c r="FP91" s="85">
        <f>FP68+FP74+FP73+FP77</f>
        <v>4.1410333160280262</v>
      </c>
      <c r="FQ91" s="41">
        <f>FQ68+FQ74+FQ73+FQ77</f>
        <v>128979.30105131568</v>
      </c>
      <c r="FR91"/>
      <c r="FS91">
        <v>120589.55231205575</v>
      </c>
      <c r="FT91" s="714">
        <f t="shared" si="394"/>
        <v>-8389.7487392599287</v>
      </c>
      <c r="FU91"/>
      <c r="FV91" s="237"/>
      <c r="FY91" s="101"/>
      <c r="FZ91" s="101"/>
      <c r="GA91" s="101"/>
      <c r="GB91" s="101"/>
      <c r="GC91"/>
      <c r="GD91" s="656" t="s">
        <v>767</v>
      </c>
      <c r="GE91" s="657">
        <v>719</v>
      </c>
      <c r="GF91">
        <f t="shared" si="321"/>
        <v>106.148493</v>
      </c>
      <c r="GG91" s="95">
        <f t="shared" si="322"/>
        <v>4.1435380218363412E-2</v>
      </c>
      <c r="GH91" s="651" t="s">
        <v>726</v>
      </c>
      <c r="GI91" s="651">
        <f>GI70+GI77</f>
        <v>3207</v>
      </c>
      <c r="GJ91" s="652">
        <v>1969</v>
      </c>
      <c r="GK91" s="651"/>
      <c r="GL91" s="651">
        <v>90.34</v>
      </c>
      <c r="GM91" s="653">
        <v>32973</v>
      </c>
      <c r="GO91" s="95">
        <f t="shared" si="387"/>
        <v>1.7152851320560956E-2</v>
      </c>
      <c r="GS91" s="22">
        <f t="shared" si="388"/>
        <v>105.744411</v>
      </c>
      <c r="GT91" s="95">
        <f t="shared" si="389"/>
        <v>4.0607051182352825E-2</v>
      </c>
      <c r="HI91" s="85">
        <f t="shared" ref="HI91:HM92" si="395">HI81+HI77</f>
        <v>0</v>
      </c>
      <c r="HJ91" s="85">
        <f t="shared" si="395"/>
        <v>0</v>
      </c>
      <c r="HK91" s="85">
        <f t="shared" si="395"/>
        <v>0</v>
      </c>
      <c r="HL91" s="85">
        <f t="shared" si="395"/>
        <v>0</v>
      </c>
      <c r="HM91" s="85">
        <f t="shared" si="395"/>
        <v>0</v>
      </c>
      <c r="HO91"/>
      <c r="HP91" s="237"/>
      <c r="HR91" s="237"/>
      <c r="HS91" s="237"/>
      <c r="HT91" s="237"/>
      <c r="HU91" s="237"/>
      <c r="HV91" s="237"/>
      <c r="HW91" s="237"/>
      <c r="HX91" s="237"/>
    </row>
    <row r="92" spans="1:232" ht="17.399999999999999" thickBot="1" x14ac:dyDescent="0.5">
      <c r="A92" s="981"/>
      <c r="B92" s="323" t="s">
        <v>725</v>
      </c>
      <c r="C92" s="332">
        <v>38191</v>
      </c>
      <c r="D92" s="333">
        <v>41786</v>
      </c>
      <c r="E92" s="334">
        <v>42456</v>
      </c>
      <c r="F92" s="163">
        <v>122433</v>
      </c>
      <c r="G92" s="200">
        <v>484151.55385956087</v>
      </c>
      <c r="H92" s="984"/>
      <c r="I92" s="335">
        <v>-9.2097753333679234E-3</v>
      </c>
      <c r="J92" s="336">
        <v>1.3903380001455851E-2</v>
      </c>
      <c r="K92" s="337">
        <v>1.5805987402392129E-3</v>
      </c>
      <c r="L92" s="338">
        <v>2.3332350918556788E-3</v>
      </c>
      <c r="M92" s="339">
        <v>-2.6105870993270885E-2</v>
      </c>
      <c r="N92" s="893"/>
      <c r="O92" s="874"/>
      <c r="P92" s="874"/>
      <c r="Q92" s="874"/>
      <c r="Z92" s="676" t="s">
        <v>816</v>
      </c>
      <c r="AA92" s="677">
        <f>SUM(AA89:AA91)</f>
        <v>1066</v>
      </c>
      <c r="AB92" s="677">
        <f>SUM(AB89:AB91)</f>
        <v>5424.5329999999994</v>
      </c>
      <c r="AC92" s="669">
        <f>SUMPRODUCT(AA89:AA91,AC89:AC91)/AA92</f>
        <v>5.0886801125703558</v>
      </c>
      <c r="AD92">
        <f>AB91/AB92</f>
        <v>4.0371954599594105E-2</v>
      </c>
      <c r="AP92" s="747" t="s">
        <v>753</v>
      </c>
      <c r="AQ92" s="739">
        <v>625</v>
      </c>
      <c r="AR92" s="740"/>
      <c r="AS92" s="774">
        <f>AR92/AQ92</f>
        <v>0</v>
      </c>
      <c r="AT92" s="740">
        <v>34.9</v>
      </c>
      <c r="AU92" s="738">
        <v>12727</v>
      </c>
      <c r="CN92" s="747" t="s">
        <v>739</v>
      </c>
      <c r="CO92" s="735">
        <v>606</v>
      </c>
      <c r="CP92" s="740"/>
      <c r="CQ92" s="774">
        <f>CP92/CO93</f>
        <v>0</v>
      </c>
      <c r="CR92" s="740">
        <v>69.8</v>
      </c>
      <c r="CS92" s="738">
        <v>25485</v>
      </c>
      <c r="CW92">
        <f t="shared" si="386"/>
        <v>15.443909999999999</v>
      </c>
      <c r="EG92" s="701" t="s">
        <v>285</v>
      </c>
      <c r="EH92" s="695">
        <v>1</v>
      </c>
      <c r="EL92" s="690" t="s">
        <v>711</v>
      </c>
      <c r="EM92" s="687">
        <f t="shared" si="393"/>
        <v>573</v>
      </c>
      <c r="EN92" s="690">
        <v>470</v>
      </c>
      <c r="EO92" s="690"/>
      <c r="EP92" s="690">
        <v>40.200000000000003</v>
      </c>
      <c r="EQ92" s="691">
        <v>14674</v>
      </c>
      <c r="ES92" s="703">
        <f t="shared" si="390"/>
        <v>8.4266693769692036E-2</v>
      </c>
      <c r="ET92" s="95">
        <f t="shared" si="391"/>
        <v>8.3841639804942553E-2</v>
      </c>
      <c r="EU92">
        <f t="shared" si="351"/>
        <v>121.66213399999999</v>
      </c>
      <c r="EV92" s="95">
        <f t="shared" si="352"/>
        <v>9.1019850846353195E-2</v>
      </c>
      <c r="EW92" s="857">
        <f>EU92/$EU$100</f>
        <v>0.54307207349726205</v>
      </c>
      <c r="FA92" s="850" t="s">
        <v>794</v>
      </c>
      <c r="FB92" s="847">
        <v>8333.4590159055933</v>
      </c>
      <c r="FC92" s="849" t="s">
        <v>795</v>
      </c>
      <c r="FD92" s="846"/>
      <c r="FE92" s="846"/>
      <c r="FF92" s="846"/>
      <c r="FM92" s="85">
        <f>FM82</f>
        <v>0.98381716874999992</v>
      </c>
      <c r="FN92" s="85">
        <f>FN82</f>
        <v>72.068345302755006</v>
      </c>
      <c r="FO92" s="85">
        <f>FO82</f>
        <v>2.90833182648289E-3</v>
      </c>
      <c r="FP92" s="85">
        <f>FP82</f>
        <v>7.2836801876009901E-4</v>
      </c>
      <c r="FQ92" s="85">
        <f>FQ82</f>
        <v>72.353858060305711</v>
      </c>
      <c r="FR92"/>
      <c r="FS92">
        <v>62.050147396069065</v>
      </c>
      <c r="FT92" s="714">
        <f t="shared" si="394"/>
        <v>-10.303710664236647</v>
      </c>
      <c r="FU92"/>
      <c r="FV92" s="237"/>
      <c r="FY92"/>
      <c r="FZ92"/>
      <c r="GA92"/>
      <c r="GB92"/>
      <c r="GC92"/>
      <c r="GD92" s="658" t="s">
        <v>780</v>
      </c>
      <c r="GE92">
        <v>718</v>
      </c>
      <c r="GI92" s="646">
        <f>SUM(GI86:GI91)</f>
        <v>186966</v>
      </c>
      <c r="GJ92" s="23">
        <f>SUM(GJ86:GJ91)</f>
        <v>100481</v>
      </c>
      <c r="GO92" s="95">
        <f t="shared" si="387"/>
        <v>1</v>
      </c>
      <c r="GS92" s="22">
        <f>SUM(GS86:GS91)</f>
        <v>2604.0898790000006</v>
      </c>
      <c r="GT92" s="101">
        <f>SUM(GT65:GT84)</f>
        <v>0.99806026664412184</v>
      </c>
      <c r="HI92" s="85">
        <f t="shared" si="395"/>
        <v>520.69832858595146</v>
      </c>
      <c r="HJ92" s="85">
        <f t="shared" si="395"/>
        <v>38560.176264272188</v>
      </c>
      <c r="HK92" s="85">
        <f t="shared" si="395"/>
        <v>0.74793008626357671</v>
      </c>
      <c r="HL92" s="85">
        <f t="shared" si="395"/>
        <v>1.6057156185384573</v>
      </c>
      <c r="HM92" s="85">
        <f t="shared" si="395"/>
        <v>39020.824944703847</v>
      </c>
      <c r="HO92"/>
      <c r="HP92" s="237"/>
      <c r="HR92" s="237"/>
      <c r="HS92" s="237"/>
      <c r="HT92" s="237"/>
      <c r="HU92" s="237"/>
      <c r="HV92" s="237"/>
      <c r="HW92" s="237"/>
      <c r="HX92" s="237"/>
    </row>
    <row r="93" spans="1:232" ht="17.399999999999999" thickBot="1" x14ac:dyDescent="0.5">
      <c r="A93" s="981"/>
      <c r="B93" s="314" t="s">
        <v>730</v>
      </c>
      <c r="C93" s="324">
        <v>40629</v>
      </c>
      <c r="D93" s="325">
        <v>44902.820709191597</v>
      </c>
      <c r="E93" s="326">
        <v>45805</v>
      </c>
      <c r="F93" s="163">
        <v>131336.82070919161</v>
      </c>
      <c r="G93" s="200">
        <v>615488.37456875248</v>
      </c>
      <c r="H93" s="984"/>
      <c r="I93" s="327">
        <v>-3.372416581444574E-2</v>
      </c>
      <c r="J93" s="328">
        <v>-3.6771548808554877E-2</v>
      </c>
      <c r="K93" s="329">
        <v>-6.0583687114173793E-2</v>
      </c>
      <c r="L93" s="330">
        <v>-4.4287923352047232E-2</v>
      </c>
      <c r="M93" s="331">
        <v>-3.0043499430982834E-2</v>
      </c>
      <c r="N93" s="892"/>
      <c r="O93" s="873"/>
      <c r="P93" s="873"/>
      <c r="Q93" s="873"/>
      <c r="Z93" s="678" t="s">
        <v>817</v>
      </c>
      <c r="AA93" s="679"/>
      <c r="AB93" s="456"/>
      <c r="AC93" s="456"/>
      <c r="AD93">
        <f>AD92+AD90</f>
        <v>0.12019265068532167</v>
      </c>
      <c r="CN93" s="747" t="s">
        <v>751</v>
      </c>
      <c r="CO93" s="739">
        <v>311</v>
      </c>
      <c r="CP93" s="740"/>
      <c r="CQ93" s="774">
        <f>CP93/CO93</f>
        <v>0</v>
      </c>
      <c r="CR93" s="740">
        <v>42.1</v>
      </c>
      <c r="CS93" s="738">
        <v>15378</v>
      </c>
      <c r="CW93">
        <f t="shared" si="386"/>
        <v>4.7825579999999999</v>
      </c>
      <c r="EG93" s="701" t="s">
        <v>726</v>
      </c>
      <c r="EH93" s="698">
        <v>624</v>
      </c>
      <c r="EL93" s="690" t="s">
        <v>716</v>
      </c>
      <c r="EM93" s="687">
        <f t="shared" si="393"/>
        <v>8291</v>
      </c>
      <c r="EN93" s="692">
        <v>5072</v>
      </c>
      <c r="EO93" s="690"/>
      <c r="EP93" s="690">
        <v>42.21</v>
      </c>
      <c r="EQ93" s="691">
        <v>15406</v>
      </c>
      <c r="ES93" s="703">
        <f t="shared" si="390"/>
        <v>1.0122979977640004E-2</v>
      </c>
      <c r="ET93" s="95">
        <f t="shared" si="391"/>
        <v>1.537317133647409E-2</v>
      </c>
      <c r="EU93">
        <f t="shared" si="351"/>
        <v>15.344376</v>
      </c>
      <c r="EV93" s="95">
        <f t="shared" si="352"/>
        <v>1.1479683685725599E-2</v>
      </c>
      <c r="EW93" s="857">
        <f>EU93/$EU$100</f>
        <v>6.8493801784223388E-2</v>
      </c>
      <c r="FA93" s="848" t="s">
        <v>797</v>
      </c>
      <c r="FB93" s="859">
        <v>3921.4722157441179</v>
      </c>
      <c r="FC93" s="849" t="s">
        <v>795</v>
      </c>
      <c r="FD93" s="847">
        <v>73.231096434849775</v>
      </c>
      <c r="FE93" s="852">
        <v>4.5695578598240177E-3</v>
      </c>
      <c r="FF93" s="852">
        <v>4.4568227585513781E-4</v>
      </c>
      <c r="FM93" s="85">
        <f>FM81</f>
        <v>117.15350529437501</v>
      </c>
      <c r="FN93" s="85">
        <f>FN81</f>
        <v>8655.7198570193032</v>
      </c>
      <c r="FO93" s="85">
        <f>FO81</f>
        <v>9.0680606475817306E-3</v>
      </c>
      <c r="FP93" s="85">
        <f>FP81</f>
        <v>0.23157455355972525</v>
      </c>
      <c r="FQ93" s="85">
        <f>FQ81</f>
        <v>8719.2099383484074</v>
      </c>
      <c r="FR93"/>
      <c r="FS93">
        <v>7521.4400843765761</v>
      </c>
      <c r="FT93" s="714">
        <f t="shared" si="394"/>
        <v>-1197.7698539718313</v>
      </c>
      <c r="FU93"/>
      <c r="FV93" s="237"/>
      <c r="FY93"/>
      <c r="FZ93"/>
      <c r="GA93"/>
      <c r="GB93"/>
      <c r="GC93"/>
      <c r="GD93" s="658" t="s">
        <v>786</v>
      </c>
      <c r="GE93">
        <v>1</v>
      </c>
      <c r="GO93" s="95"/>
      <c r="HJ93"/>
      <c r="HO93"/>
      <c r="HP93" s="237"/>
      <c r="HR93" s="237"/>
      <c r="HS93" s="237"/>
      <c r="HT93" s="237"/>
      <c r="HU93" s="237"/>
      <c r="HV93" s="237"/>
      <c r="HW93" s="237"/>
      <c r="HX93" s="237"/>
    </row>
    <row r="94" spans="1:232" ht="15" thickBot="1" x14ac:dyDescent="0.3">
      <c r="A94" s="981"/>
      <c r="B94" s="323" t="s">
        <v>735</v>
      </c>
      <c r="C94" s="332">
        <v>37310</v>
      </c>
      <c r="D94" s="333">
        <v>43292.140361930658</v>
      </c>
      <c r="E94" s="334">
        <v>46102</v>
      </c>
      <c r="F94" s="163">
        <v>126704.14036193065</v>
      </c>
      <c r="G94" s="200">
        <v>742192.51493068319</v>
      </c>
      <c r="H94" s="984"/>
      <c r="I94" s="335">
        <v>-3.5867486691818697E-2</v>
      </c>
      <c r="J94" s="336">
        <v>-3.5723887162984268E-2</v>
      </c>
      <c r="K94" s="337">
        <v>-2.4585308056872038E-2</v>
      </c>
      <c r="L94" s="338">
        <v>-3.1743260924585015E-2</v>
      </c>
      <c r="M94" s="339">
        <v>-3.0334098232381757E-2</v>
      </c>
      <c r="N94" s="893"/>
      <c r="O94" s="874"/>
      <c r="P94" s="874"/>
      <c r="Q94" s="874"/>
      <c r="CN94" s="747" t="s">
        <v>727</v>
      </c>
      <c r="CO94" s="739">
        <v>106</v>
      </c>
      <c r="CP94" s="740"/>
      <c r="CQ94" s="774">
        <f>CP94/CO94</f>
        <v>0</v>
      </c>
      <c r="CR94" s="740"/>
      <c r="CS94" s="738"/>
      <c r="CW94">
        <f t="shared" si="386"/>
        <v>0</v>
      </c>
      <c r="EG94" s="697" t="s">
        <v>765</v>
      </c>
      <c r="EH94" s="695">
        <v>624</v>
      </c>
      <c r="EL94" s="690" t="s">
        <v>722</v>
      </c>
      <c r="EM94" s="687">
        <f t="shared" si="393"/>
        <v>996</v>
      </c>
      <c r="EN94" s="690">
        <v>930</v>
      </c>
      <c r="EO94" s="690"/>
      <c r="EP94" s="693">
        <v>90.68</v>
      </c>
      <c r="EQ94" s="691">
        <v>33099</v>
      </c>
      <c r="ES94" s="703">
        <f t="shared" si="390"/>
        <v>1.4879560930988921E-2</v>
      </c>
      <c r="ET94" s="95">
        <f t="shared" si="391"/>
        <v>2.125795520290933E-2</v>
      </c>
      <c r="EU94">
        <f t="shared" si="351"/>
        <v>48.456935999999999</v>
      </c>
      <c r="EV94" s="95">
        <f t="shared" si="352"/>
        <v>3.625238964813228E-2</v>
      </c>
      <c r="EW94" s="857">
        <f>EU94/$EU$100</f>
        <v>0.2163007325586129</v>
      </c>
      <c r="FA94" s="848" t="s">
        <v>799</v>
      </c>
      <c r="FB94" s="859">
        <v>3771.429296054755</v>
      </c>
      <c r="FC94" s="849" t="s">
        <v>795</v>
      </c>
      <c r="FD94" s="847">
        <v>73.883575529983716</v>
      </c>
      <c r="FE94" s="852">
        <v>1.1024651844300431E-4</v>
      </c>
      <c r="FF94" s="852">
        <v>2.53299651715476E-3</v>
      </c>
      <c r="FM94" s="85">
        <f>FM84+FM80</f>
        <v>0</v>
      </c>
      <c r="FN94" s="85">
        <f>FN84+FN80</f>
        <v>0</v>
      </c>
      <c r="FO94" s="85">
        <f>FO84+FO80</f>
        <v>0</v>
      </c>
      <c r="FP94" s="85">
        <f>FP84+FP80</f>
        <v>0</v>
      </c>
      <c r="FQ94" s="85">
        <f>FQ84+FQ80</f>
        <v>0</v>
      </c>
      <c r="FR94"/>
      <c r="FS94">
        <v>0</v>
      </c>
      <c r="FT94" s="714">
        <f t="shared" si="394"/>
        <v>0</v>
      </c>
      <c r="FU94"/>
      <c r="FV94" s="237"/>
      <c r="FY94"/>
      <c r="FZ94"/>
      <c r="GA94"/>
      <c r="GB94"/>
      <c r="GC94"/>
      <c r="GD94" s="656" t="s">
        <v>770</v>
      </c>
      <c r="GE94" s="657">
        <v>1</v>
      </c>
      <c r="GF94">
        <f>SUM(GF86:GF91)</f>
        <v>2549.310469</v>
      </c>
      <c r="GO94" s="95"/>
      <c r="HJ94"/>
      <c r="HO94"/>
      <c r="HP94" s="237"/>
      <c r="HR94" s="237"/>
      <c r="HS94" s="237"/>
      <c r="HT94" s="237"/>
      <c r="HU94" s="237"/>
      <c r="HV94" s="237"/>
      <c r="HW94" s="237"/>
      <c r="HX94" s="237"/>
    </row>
    <row r="95" spans="1:232" ht="17.399999999999999" thickBot="1" x14ac:dyDescent="0.5">
      <c r="A95" s="981"/>
      <c r="B95" s="314" t="s">
        <v>740</v>
      </c>
      <c r="C95" s="340">
        <v>32469.834451891707</v>
      </c>
      <c r="D95" s="341">
        <v>40295</v>
      </c>
      <c r="E95" s="342">
        <v>44324</v>
      </c>
      <c r="F95" s="163">
        <v>117088.83445189171</v>
      </c>
      <c r="G95" s="200">
        <v>859281.3493825749</v>
      </c>
      <c r="H95" s="984"/>
      <c r="I95" s="327">
        <v>0</v>
      </c>
      <c r="J95" s="328">
        <v>-1.4647625568543063E-2</v>
      </c>
      <c r="K95" s="329">
        <v>-1.5853279452906436E-2</v>
      </c>
      <c r="L95" s="330">
        <v>-1.1089355212089091E-2</v>
      </c>
      <c r="M95" s="331">
        <v>-2.775593469078308E-2</v>
      </c>
      <c r="N95" s="892"/>
      <c r="O95" s="873"/>
      <c r="P95" s="873"/>
      <c r="Q95" s="873"/>
      <c r="CN95" s="747" t="s">
        <v>753</v>
      </c>
      <c r="CO95" s="739">
        <v>625</v>
      </c>
      <c r="CP95" s="740"/>
      <c r="CQ95" s="774">
        <f>CP95/CO95</f>
        <v>0</v>
      </c>
      <c r="CR95" s="740">
        <v>34.9</v>
      </c>
      <c r="CS95" s="738">
        <v>12727</v>
      </c>
      <c r="CW95">
        <f t="shared" si="386"/>
        <v>7.9543749999999998</v>
      </c>
      <c r="EG95" s="701" t="s">
        <v>285</v>
      </c>
      <c r="EH95" s="698">
        <v>719</v>
      </c>
      <c r="EL95" s="693" t="s">
        <v>726</v>
      </c>
      <c r="EM95" s="687">
        <f t="shared" si="393"/>
        <v>1464</v>
      </c>
      <c r="EN95" s="694">
        <v>1286</v>
      </c>
      <c r="EO95" s="693"/>
      <c r="EU95">
        <f>SUM(EU89:EU94)</f>
        <v>1336.6549480000001</v>
      </c>
      <c r="EW95" s="857"/>
      <c r="FA95" s="850" t="s">
        <v>801</v>
      </c>
      <c r="FB95" s="847">
        <v>1414.6191342633972</v>
      </c>
      <c r="FC95" s="849" t="s">
        <v>795</v>
      </c>
      <c r="FD95" s="858"/>
      <c r="FE95" s="851">
        <v>0</v>
      </c>
      <c r="FF95" s="851">
        <v>0</v>
      </c>
      <c r="FM95" s="85">
        <f>FM83+FM79</f>
        <v>645.51402448436806</v>
      </c>
      <c r="FN95" s="85">
        <f>FN83+FN79</f>
        <v>47692.884183654562</v>
      </c>
      <c r="FO95" s="85">
        <f>FO83+FO79</f>
        <v>0.48408527874619867</v>
      </c>
      <c r="FP95" s="85">
        <f>FP83+FP79</f>
        <v>2.3804616660404738</v>
      </c>
      <c r="FQ95" s="83">
        <f>FQ83+FQ79</f>
        <v>48357.175959790256</v>
      </c>
      <c r="FR95"/>
      <c r="FS95">
        <v>41692.66386902098</v>
      </c>
      <c r="FT95" s="714">
        <f t="shared" si="394"/>
        <v>-6664.5120907692763</v>
      </c>
      <c r="FU95"/>
      <c r="FV95" s="237"/>
      <c r="FY95"/>
      <c r="FZ95"/>
      <c r="GA95"/>
      <c r="GB95"/>
      <c r="GC95"/>
      <c r="GD95" s="658" t="s">
        <v>780</v>
      </c>
      <c r="GE95">
        <v>1</v>
      </c>
      <c r="GF95">
        <f>SUM(GF65:GF84)</f>
        <v>2561.7839739999999</v>
      </c>
      <c r="GO95" s="95"/>
      <c r="HJ95"/>
      <c r="HO95"/>
      <c r="HP95" s="237"/>
      <c r="HR95" s="237"/>
      <c r="HS95" s="237"/>
      <c r="HT95" s="237"/>
      <c r="HU95" s="237"/>
      <c r="HV95" s="237"/>
      <c r="HW95" s="237"/>
      <c r="HX95" s="237"/>
    </row>
    <row r="96" spans="1:232" ht="13.8" x14ac:dyDescent="0.25">
      <c r="A96" s="981"/>
      <c r="B96" s="323" t="s">
        <v>752</v>
      </c>
      <c r="C96" s="332">
        <v>39501</v>
      </c>
      <c r="D96" s="333">
        <v>43816</v>
      </c>
      <c r="E96" s="334">
        <v>47395</v>
      </c>
      <c r="F96" s="163">
        <v>130712</v>
      </c>
      <c r="G96" s="200">
        <v>989993.3493825749</v>
      </c>
      <c r="H96" s="984"/>
      <c r="I96" s="335">
        <v>7.6014590720097953E-3</v>
      </c>
      <c r="J96" s="336">
        <v>-5.7409970727722434E-3</v>
      </c>
      <c r="K96" s="337">
        <v>1.1158047448370029E-2</v>
      </c>
      <c r="L96" s="338">
        <v>4.3643963609540926E-3</v>
      </c>
      <c r="M96" s="339">
        <v>-2.3633204746392966E-2</v>
      </c>
      <c r="N96" s="893"/>
      <c r="O96" s="874"/>
      <c r="P96" s="874"/>
      <c r="Q96" s="874"/>
      <c r="EG96" s="697" t="s">
        <v>767</v>
      </c>
      <c r="EH96" s="695">
        <v>718</v>
      </c>
      <c r="EU96">
        <f>SUM(EU68:EU87)</f>
        <v>1343.3456219999998</v>
      </c>
      <c r="EV96" s="101">
        <f>SUM(EV68:EV87)</f>
        <v>1.0050055356545164</v>
      </c>
      <c r="EW96" s="857">
        <f>SUM(EW68:EW94)</f>
        <v>3.9686058313743029</v>
      </c>
      <c r="FA96" s="848" t="s">
        <v>797</v>
      </c>
      <c r="FB96" s="859">
        <v>115.88785826182558</v>
      </c>
      <c r="FC96" s="849" t="s">
        <v>795</v>
      </c>
      <c r="FD96" s="847">
        <v>73.253799173196242</v>
      </c>
      <c r="FE96" s="852">
        <v>2.9561710436280596E-3</v>
      </c>
      <c r="FF96" s="852">
        <v>7.4034896106309602E-4</v>
      </c>
      <c r="FQ96" s="41">
        <f>SUM(FQ90:FQ95)</f>
        <v>282125.59829145751</v>
      </c>
      <c r="FR96"/>
      <c r="FS96">
        <f>SUM(FS90:FS95)</f>
        <v>262505.45538861607</v>
      </c>
      <c r="FT96" s="41">
        <f>SUM(FT90:FT95)</f>
        <v>-19620.142902841471</v>
      </c>
      <c r="FU96"/>
      <c r="FW96"/>
      <c r="FX96"/>
      <c r="FY96"/>
      <c r="FZ96"/>
      <c r="GA96"/>
      <c r="GB96"/>
      <c r="GC96"/>
      <c r="GD96" s="656" t="s">
        <v>727</v>
      </c>
      <c r="GE96" s="657">
        <v>363</v>
      </c>
      <c r="GO96" s="95"/>
      <c r="HJ96"/>
      <c r="HO96"/>
      <c r="HP96" s="237"/>
      <c r="HR96" s="237"/>
      <c r="HS96" s="237"/>
      <c r="HT96" s="237"/>
      <c r="HU96" s="237"/>
      <c r="HV96" s="237"/>
      <c r="HW96" s="237"/>
      <c r="HX96" s="237"/>
    </row>
    <row r="97" spans="1:232" ht="17.399999999999999" thickBot="1" x14ac:dyDescent="0.5">
      <c r="A97" s="981"/>
      <c r="B97" s="314" t="s">
        <v>754</v>
      </c>
      <c r="C97" s="324">
        <v>42149</v>
      </c>
      <c r="D97" s="325">
        <v>44852</v>
      </c>
      <c r="E97" s="326">
        <v>46305</v>
      </c>
      <c r="F97" s="163">
        <v>133306</v>
      </c>
      <c r="G97" s="200">
        <v>1123299.3493825749</v>
      </c>
      <c r="H97" s="984"/>
      <c r="I97" s="327">
        <v>4.8395556191293569E-3</v>
      </c>
      <c r="J97" s="328">
        <v>-1.7138151305392953E-3</v>
      </c>
      <c r="K97" s="329">
        <v>5.1009333622747989E-3</v>
      </c>
      <c r="L97" s="330">
        <v>2.7154086276279799E-3</v>
      </c>
      <c r="M97" s="331">
        <v>-2.0578960989511397E-2</v>
      </c>
      <c r="N97" s="892"/>
      <c r="O97" s="873"/>
      <c r="P97" s="873"/>
      <c r="Q97" s="873"/>
      <c r="EG97" s="701" t="s">
        <v>285</v>
      </c>
      <c r="EH97" s="695">
        <v>1</v>
      </c>
      <c r="EM97" s="23">
        <f>SUM(EM90:EM95)</f>
        <v>98390</v>
      </c>
      <c r="EN97" s="23">
        <f>SUM(EN90:EN95)</f>
        <v>60495</v>
      </c>
      <c r="EP97" s="638"/>
      <c r="EQ97" s="640"/>
      <c r="EU97">
        <f>EU95-EU89</f>
        <v>224.02575999999999</v>
      </c>
      <c r="FA97" s="848" t="s">
        <v>799</v>
      </c>
      <c r="FB97" s="859">
        <v>1270.8288606177218</v>
      </c>
      <c r="FC97" s="849" t="s">
        <v>795</v>
      </c>
      <c r="FD97" s="847">
        <v>73.883575529983716</v>
      </c>
      <c r="FE97" s="852">
        <v>7.7403237955161073E-5</v>
      </c>
      <c r="FF97" s="852">
        <v>1.9766762674137761E-3</v>
      </c>
      <c r="FR97"/>
      <c r="FU97"/>
      <c r="FW97"/>
      <c r="FX97"/>
      <c r="FY97"/>
      <c r="FZ97"/>
      <c r="GA97"/>
      <c r="GB97"/>
      <c r="GC97"/>
      <c r="GD97" s="658" t="s">
        <v>780</v>
      </c>
      <c r="GE97">
        <v>168</v>
      </c>
      <c r="GO97" s="95"/>
      <c r="HJ97"/>
      <c r="HO97"/>
      <c r="HP97" s="237"/>
      <c r="HR97" s="237"/>
      <c r="HS97" s="237"/>
      <c r="HT97" s="237"/>
      <c r="HU97" s="237"/>
      <c r="HV97" s="237"/>
      <c r="HW97" s="237"/>
      <c r="HX97" s="237"/>
    </row>
    <row r="98" spans="1:232" ht="17.399999999999999" thickBot="1" x14ac:dyDescent="0.5">
      <c r="A98" s="981"/>
      <c r="B98" s="323" t="s">
        <v>755</v>
      </c>
      <c r="C98" s="324">
        <v>38837.210682722696</v>
      </c>
      <c r="D98" s="325">
        <v>43630</v>
      </c>
      <c r="E98" s="326">
        <v>44120</v>
      </c>
      <c r="F98" s="163">
        <v>126587.2106827227</v>
      </c>
      <c r="G98" s="200">
        <v>1249886.5600652976</v>
      </c>
      <c r="H98" s="984"/>
      <c r="I98" s="327">
        <v>-6.147239837793441E-2</v>
      </c>
      <c r="J98" s="328">
        <v>-1.5879460459241216E-2</v>
      </c>
      <c r="K98" s="329">
        <v>-3.7185754189944131E-2</v>
      </c>
      <c r="L98" s="330">
        <v>-3.764502784176027E-2</v>
      </c>
      <c r="M98" s="331">
        <v>-2.2334892191468225E-2</v>
      </c>
      <c r="N98" s="892"/>
      <c r="O98" s="873"/>
      <c r="P98" s="873"/>
      <c r="Q98" s="873"/>
      <c r="EG98" s="701" t="s">
        <v>716</v>
      </c>
      <c r="EH98" s="698">
        <v>1</v>
      </c>
      <c r="EL98" s="638"/>
      <c r="EM98" s="680"/>
      <c r="EN98" s="639"/>
      <c r="EO98" s="680"/>
      <c r="EP98" s="641"/>
      <c r="EQ98" s="642"/>
      <c r="EU98">
        <f>EU96-EU68-EU75-EU82-EU83-EU84-EU87</f>
        <v>213.53275699999972</v>
      </c>
      <c r="FA98" s="850" t="s">
        <v>805</v>
      </c>
      <c r="FB98" s="847">
        <v>3349.7298822019502</v>
      </c>
      <c r="FC98" s="849" t="s">
        <v>795</v>
      </c>
      <c r="FD98" s="858"/>
      <c r="FE98" s="851">
        <v>0</v>
      </c>
      <c r="FF98" s="851">
        <v>0</v>
      </c>
      <c r="FR98"/>
      <c r="FU98"/>
      <c r="FW98"/>
      <c r="FX98"/>
      <c r="FY98"/>
      <c r="FZ98"/>
      <c r="GA98"/>
      <c r="GB98"/>
      <c r="GC98"/>
      <c r="GD98" s="658" t="s">
        <v>711</v>
      </c>
      <c r="GE98">
        <v>6</v>
      </c>
      <c r="GO98" s="95"/>
      <c r="HJ98"/>
      <c r="HO98"/>
      <c r="HP98" s="237"/>
      <c r="HR98" s="237"/>
      <c r="HS98" s="237"/>
      <c r="HT98" s="237"/>
      <c r="HU98" s="237"/>
      <c r="HV98" s="237"/>
      <c r="HW98" s="237"/>
      <c r="HX98" s="237"/>
    </row>
    <row r="99" spans="1:232" ht="17.399999999999999" thickBot="1" x14ac:dyDescent="0.5">
      <c r="A99" s="981"/>
      <c r="B99" s="314" t="s">
        <v>756</v>
      </c>
      <c r="C99" s="324">
        <v>38914</v>
      </c>
      <c r="D99" s="325">
        <v>45013</v>
      </c>
      <c r="E99" s="326">
        <v>43954</v>
      </c>
      <c r="F99" s="163">
        <v>127881</v>
      </c>
      <c r="G99" s="200">
        <v>1377767.5600652976</v>
      </c>
      <c r="H99" s="984"/>
      <c r="I99" s="327">
        <v>1.9772098955465056E-3</v>
      </c>
      <c r="J99" s="328">
        <v>1.5223961387523117E-2</v>
      </c>
      <c r="K99" s="329">
        <v>-1.2824256035934869E-2</v>
      </c>
      <c r="L99" s="330">
        <v>1.4157323336487782E-3</v>
      </c>
      <c r="M99" s="331">
        <v>-2.0177953007809668E-2</v>
      </c>
      <c r="N99" s="892"/>
      <c r="O99" s="873"/>
      <c r="P99" s="873"/>
      <c r="Q99" s="873"/>
      <c r="EG99" s="697" t="s">
        <v>770</v>
      </c>
      <c r="EH99" s="695">
        <v>1</v>
      </c>
      <c r="EL99" s="641"/>
      <c r="EM99" s="681"/>
      <c r="EN99" s="641"/>
      <c r="EO99" s="681"/>
      <c r="EP99" s="643"/>
      <c r="EQ99" s="643"/>
      <c r="EU99">
        <f>EU96-EU89</f>
        <v>230.71643399999971</v>
      </c>
      <c r="FA99" s="848" t="s">
        <v>797</v>
      </c>
      <c r="FB99" s="859">
        <v>38.076021575108406</v>
      </c>
      <c r="FC99" s="849" t="s">
        <v>795</v>
      </c>
      <c r="FD99" s="847">
        <v>73.215246727304674</v>
      </c>
      <c r="FE99" s="852">
        <v>1.4913910218690771E-2</v>
      </c>
      <c r="FF99" s="852">
        <v>7.9895947600129157E-4</v>
      </c>
      <c r="FR99"/>
      <c r="FU99">
        <v>262414.32220623718</v>
      </c>
      <c r="FW99"/>
      <c r="FX99"/>
      <c r="FY99"/>
      <c r="FZ99"/>
      <c r="GA99"/>
      <c r="GB99"/>
      <c r="GC99"/>
      <c r="GD99" s="658" t="s">
        <v>786</v>
      </c>
      <c r="GE99">
        <v>167</v>
      </c>
      <c r="GO99" s="95"/>
      <c r="HJ99"/>
      <c r="HO99"/>
      <c r="HP99" s="237"/>
      <c r="HR99" s="237"/>
      <c r="HS99" s="237"/>
      <c r="HT99" s="237"/>
      <c r="HU99" s="237"/>
      <c r="HV99" s="237"/>
      <c r="HW99" s="237"/>
      <c r="HX99" s="237"/>
    </row>
    <row r="100" spans="1:232" ht="17.399999999999999" thickBot="1" x14ac:dyDescent="0.5">
      <c r="A100" s="982"/>
      <c r="B100" s="323" t="s">
        <v>758</v>
      </c>
      <c r="C100" s="324">
        <v>39009</v>
      </c>
      <c r="D100" s="325">
        <v>44817</v>
      </c>
      <c r="E100" s="326">
        <v>41196</v>
      </c>
      <c r="F100" s="204">
        <v>125022</v>
      </c>
      <c r="G100" s="200">
        <v>1502789.5600652976</v>
      </c>
      <c r="H100" s="984"/>
      <c r="I100" s="343">
        <v>-3.6791031877330307E-2</v>
      </c>
      <c r="J100" s="344">
        <v>-2.8610442811626245E-2</v>
      </c>
      <c r="K100" s="345">
        <v>-6.4365205541676129E-2</v>
      </c>
      <c r="L100" s="346">
        <v>-4.3194097929071029E-2</v>
      </c>
      <c r="M100" s="347">
        <v>-2.2134886036500379E-2</v>
      </c>
      <c r="N100" s="892"/>
      <c r="O100" s="873"/>
      <c r="P100" s="873"/>
      <c r="Q100" s="873"/>
      <c r="EG100" s="701" t="s">
        <v>285</v>
      </c>
      <c r="EH100" s="698">
        <v>363</v>
      </c>
      <c r="EL100" s="643"/>
      <c r="EM100" s="682"/>
      <c r="EN100" s="643"/>
      <c r="EO100" s="682"/>
      <c r="EP100" s="641"/>
      <c r="EQ100" s="642"/>
      <c r="EU100">
        <f>EU95-EU89</f>
        <v>224.02575999999999</v>
      </c>
      <c r="FA100" s="848" t="s">
        <v>799</v>
      </c>
      <c r="FB100" s="859">
        <v>3264.5154343353884</v>
      </c>
      <c r="FC100" s="849" t="s">
        <v>795</v>
      </c>
      <c r="FD100" s="847">
        <v>73.883575529983716</v>
      </c>
      <c r="FE100" s="852">
        <v>7.4992217114551842E-4</v>
      </c>
      <c r="FF100" s="852">
        <v>3.6876993771622073E-3</v>
      </c>
      <c r="FR100"/>
      <c r="FU100"/>
      <c r="FW100"/>
      <c r="FX100"/>
      <c r="FY100"/>
      <c r="FZ100"/>
      <c r="GA100"/>
      <c r="GB100"/>
      <c r="GC100"/>
      <c r="GD100" s="658" t="s">
        <v>722</v>
      </c>
      <c r="GE100">
        <v>4</v>
      </c>
      <c r="GO100" s="95"/>
      <c r="HJ100"/>
      <c r="HO100"/>
      <c r="HP100" s="237"/>
      <c r="HR100" s="237"/>
      <c r="HS100" s="237"/>
      <c r="HT100" s="237"/>
      <c r="HU100" s="237"/>
      <c r="HV100" s="237"/>
      <c r="HW100" s="237"/>
      <c r="HX100" s="237"/>
    </row>
    <row r="101" spans="1:232" ht="17.399999999999999" thickBot="1" x14ac:dyDescent="0.5">
      <c r="A101" s="296" t="s">
        <v>760</v>
      </c>
      <c r="B101" s="188"/>
      <c r="C101" s="174">
        <v>38275.29991618127</v>
      </c>
      <c r="D101" s="174">
        <v>43055.996755926855</v>
      </c>
      <c r="E101" s="174">
        <v>43901.166666666664</v>
      </c>
      <c r="F101" s="175">
        <v>125232.4633387748</v>
      </c>
      <c r="G101" s="175"/>
      <c r="H101" s="985"/>
      <c r="I101" s="189">
        <v>-2.7572023315503791E-2</v>
      </c>
      <c r="J101" s="189">
        <v>-1.6222712701026931E-2</v>
      </c>
      <c r="K101" s="190">
        <v>-2.3130497989942267E-2</v>
      </c>
      <c r="L101" s="191"/>
      <c r="M101" s="190">
        <v>-2.2134886036500379E-2</v>
      </c>
      <c r="N101" s="891"/>
      <c r="O101" s="872"/>
      <c r="P101" s="872"/>
      <c r="Q101" s="872"/>
      <c r="EG101" s="697" t="s">
        <v>727</v>
      </c>
      <c r="EH101" s="695">
        <v>168</v>
      </c>
      <c r="EL101" s="641"/>
      <c r="EM101" s="681"/>
      <c r="EN101" s="644"/>
      <c r="EO101" s="681"/>
      <c r="EP101" s="643"/>
      <c r="EQ101" s="645"/>
      <c r="FR101"/>
      <c r="FU101"/>
      <c r="FW101"/>
      <c r="FX101"/>
      <c r="FY101"/>
      <c r="FZ101"/>
      <c r="GA101"/>
      <c r="GB101"/>
      <c r="GC101"/>
      <c r="GD101" s="658" t="s">
        <v>726</v>
      </c>
      <c r="GE101">
        <v>18</v>
      </c>
      <c r="GO101" s="95"/>
      <c r="HJ101"/>
      <c r="HO101"/>
      <c r="HP101" s="237"/>
      <c r="HR101" s="237"/>
      <c r="HS101" s="237"/>
      <c r="HT101" s="237"/>
      <c r="HU101" s="237"/>
      <c r="HV101" s="237"/>
      <c r="HW101" s="237"/>
      <c r="HX101" s="237"/>
    </row>
    <row r="102" spans="1:232" ht="17.399999999999999" thickBot="1" x14ac:dyDescent="0.5">
      <c r="A102" s="981">
        <v>2012</v>
      </c>
      <c r="B102" s="314" t="s">
        <v>710</v>
      </c>
      <c r="C102" s="315">
        <v>36756</v>
      </c>
      <c r="D102" s="316">
        <v>40229</v>
      </c>
      <c r="E102" s="317">
        <v>37935</v>
      </c>
      <c r="F102" s="155">
        <v>114920</v>
      </c>
      <c r="G102" s="199">
        <v>114920</v>
      </c>
      <c r="H102" s="983" t="s">
        <v>818</v>
      </c>
      <c r="I102" s="318">
        <v>6.7309367559091698E-2</v>
      </c>
      <c r="J102" s="319">
        <v>-1.035670356703567E-2</v>
      </c>
      <c r="K102" s="320">
        <v>-6.5272028385570668E-2</v>
      </c>
      <c r="L102" s="321">
        <v>-6.5011411577564626E-3</v>
      </c>
      <c r="M102" s="322">
        <v>-6.5011411577564626E-3</v>
      </c>
      <c r="N102" s="892"/>
      <c r="O102" s="873"/>
      <c r="P102" s="873"/>
      <c r="Q102" s="873"/>
      <c r="EG102" s="701" t="s">
        <v>285</v>
      </c>
      <c r="EH102" s="695">
        <v>6</v>
      </c>
      <c r="EI102">
        <v>4</v>
      </c>
      <c r="EL102" s="643"/>
      <c r="EM102" s="682"/>
      <c r="EN102" s="643"/>
      <c r="EO102" s="682"/>
      <c r="EP102" s="643"/>
      <c r="EQ102" s="643"/>
      <c r="FR102"/>
      <c r="FU102"/>
      <c r="FW102"/>
      <c r="FX102"/>
      <c r="FY102"/>
      <c r="FZ102"/>
      <c r="GA102"/>
      <c r="GB102"/>
      <c r="GC102"/>
      <c r="GD102" s="656" t="s">
        <v>774</v>
      </c>
      <c r="GE102" s="657">
        <v>1</v>
      </c>
      <c r="GO102" s="95"/>
      <c r="HJ102"/>
      <c r="HO102"/>
      <c r="HP102" s="237"/>
      <c r="HR102" s="237"/>
      <c r="HS102" s="237"/>
      <c r="HT102" s="237"/>
      <c r="HU102" s="237"/>
      <c r="HV102" s="237"/>
      <c r="HW102" s="237"/>
      <c r="HX102" s="237"/>
    </row>
    <row r="103" spans="1:232" ht="17.399999999999999" thickBot="1" x14ac:dyDescent="0.5">
      <c r="A103" s="981"/>
      <c r="B103" s="323" t="s">
        <v>715</v>
      </c>
      <c r="C103" s="324">
        <v>39916</v>
      </c>
      <c r="D103" s="325">
        <v>42641</v>
      </c>
      <c r="E103" s="326">
        <v>42098</v>
      </c>
      <c r="F103" s="163">
        <v>124655</v>
      </c>
      <c r="G103" s="200">
        <v>239575</v>
      </c>
      <c r="H103" s="984"/>
      <c r="I103" s="327">
        <v>4.2792204399393907E-2</v>
      </c>
      <c r="J103" s="328">
        <v>2.5171899793239409E-2</v>
      </c>
      <c r="K103" s="329">
        <v>-2.204261572373255E-3</v>
      </c>
      <c r="L103" s="330">
        <v>2.1234936057609621E-2</v>
      </c>
      <c r="M103" s="331">
        <v>7.7397101815046554E-3</v>
      </c>
      <c r="N103" s="892"/>
      <c r="O103" s="873"/>
      <c r="P103" s="873"/>
      <c r="Q103" s="873"/>
      <c r="T103">
        <v>2012</v>
      </c>
      <c r="EG103" s="701" t="s">
        <v>711</v>
      </c>
      <c r="EH103" s="695">
        <v>167</v>
      </c>
      <c r="EI103">
        <v>113</v>
      </c>
      <c r="EJ103">
        <v>6</v>
      </c>
      <c r="EL103" s="641"/>
      <c r="EM103" s="681"/>
      <c r="EN103" s="641"/>
      <c r="EO103" s="681"/>
      <c r="EP103" s="754"/>
      <c r="EQ103" s="755"/>
      <c r="FR103"/>
      <c r="FU103"/>
      <c r="FW103"/>
      <c r="FX103"/>
      <c r="FY103"/>
      <c r="FZ103"/>
      <c r="GA103"/>
      <c r="GB103"/>
      <c r="GC103"/>
      <c r="GD103" s="658" t="s">
        <v>780</v>
      </c>
      <c r="GE103">
        <v>1</v>
      </c>
      <c r="GO103" s="95"/>
      <c r="HJ103"/>
      <c r="HO103"/>
      <c r="HP103" s="237"/>
      <c r="HR103" s="237"/>
      <c r="HS103" s="237"/>
      <c r="HT103" s="237"/>
      <c r="HU103" s="237"/>
      <c r="HV103" s="237"/>
      <c r="HW103" s="237"/>
      <c r="HX103" s="237"/>
    </row>
    <row r="104" spans="1:232" ht="17.399999999999999" thickBot="1" x14ac:dyDescent="0.5">
      <c r="A104" s="981"/>
      <c r="B104" s="314" t="s">
        <v>718</v>
      </c>
      <c r="C104" s="324">
        <v>40799</v>
      </c>
      <c r="D104" s="325">
        <v>42827.129822515941</v>
      </c>
      <c r="E104" s="326">
        <v>43161</v>
      </c>
      <c r="F104" s="163">
        <v>126787.12982251594</v>
      </c>
      <c r="G104" s="200">
        <v>366362.12982251594</v>
      </c>
      <c r="H104" s="984"/>
      <c r="I104" s="327">
        <v>3.0862092810823687E-2</v>
      </c>
      <c r="J104" s="328">
        <v>1.9111217935368855E-2</v>
      </c>
      <c r="K104" s="329">
        <v>1.8380444528337501E-2</v>
      </c>
      <c r="L104" s="330">
        <v>2.2612482669521983E-2</v>
      </c>
      <c r="M104" s="331">
        <v>1.2837538780932967E-2</v>
      </c>
      <c r="N104" s="892"/>
      <c r="O104" s="873"/>
      <c r="P104" s="873"/>
      <c r="Q104" s="873"/>
      <c r="T104">
        <f t="shared" ref="T104:T115" si="396">T103+$T$98</f>
        <v>2012</v>
      </c>
      <c r="EG104" s="701" t="s">
        <v>716</v>
      </c>
      <c r="EH104" s="695">
        <v>4</v>
      </c>
      <c r="EI104">
        <v>22</v>
      </c>
      <c r="EJ104">
        <v>125</v>
      </c>
      <c r="EL104" s="753"/>
      <c r="EM104" s="754"/>
      <c r="EN104" s="754"/>
      <c r="EO104" s="754"/>
      <c r="EP104" s="646"/>
      <c r="EQ104" s="648"/>
      <c r="FR104"/>
      <c r="FU104"/>
      <c r="FW104"/>
      <c r="FX104"/>
      <c r="FY104"/>
      <c r="FZ104"/>
      <c r="GA104"/>
      <c r="GB104"/>
      <c r="GC104"/>
      <c r="GD104" s="656" t="s">
        <v>775</v>
      </c>
      <c r="GE104" s="657">
        <v>9</v>
      </c>
      <c r="GO104" s="95"/>
      <c r="HJ104"/>
      <c r="HO104"/>
      <c r="HP104" s="237"/>
      <c r="HR104" s="237"/>
      <c r="HS104" s="237"/>
      <c r="HT104" s="237"/>
      <c r="HU104" s="237"/>
      <c r="HV104" s="237"/>
      <c r="HW104" s="237"/>
      <c r="HX104" s="237"/>
    </row>
    <row r="105" spans="1:232" ht="17.399999999999999" thickBot="1" x14ac:dyDescent="0.5">
      <c r="A105" s="981"/>
      <c r="B105" s="323" t="s">
        <v>725</v>
      </c>
      <c r="C105" s="324">
        <v>37312</v>
      </c>
      <c r="D105" s="325">
        <v>41032</v>
      </c>
      <c r="E105" s="326">
        <v>42770</v>
      </c>
      <c r="F105" s="163">
        <v>121114</v>
      </c>
      <c r="G105" s="200">
        <v>487476.12982251594</v>
      </c>
      <c r="H105" s="984"/>
      <c r="I105" s="327">
        <v>-2.3015893796967873E-2</v>
      </c>
      <c r="J105" s="328">
        <v>-1.8044321064471354E-2</v>
      </c>
      <c r="K105" s="329">
        <v>7.3958922178255131E-3</v>
      </c>
      <c r="L105" s="330">
        <v>-1.0773239241054333E-2</v>
      </c>
      <c r="M105" s="331">
        <v>6.8668084124736684E-3</v>
      </c>
      <c r="N105" s="892"/>
      <c r="O105" s="873"/>
      <c r="P105" s="873"/>
      <c r="Q105" s="873"/>
      <c r="T105">
        <f t="shared" si="396"/>
        <v>2012</v>
      </c>
      <c r="EG105" s="701" t="s">
        <v>722</v>
      </c>
      <c r="EH105" s="695">
        <v>18</v>
      </c>
      <c r="EJ105">
        <v>26</v>
      </c>
      <c r="EL105" s="646"/>
      <c r="EM105" s="683"/>
      <c r="EN105" s="647"/>
      <c r="EO105" s="683"/>
      <c r="EP105" s="643"/>
      <c r="EQ105" s="645"/>
      <c r="FR105"/>
      <c r="FU105"/>
      <c r="FW105"/>
      <c r="FX105"/>
      <c r="FY105"/>
      <c r="FZ105"/>
      <c r="GA105"/>
      <c r="GB105"/>
      <c r="GC105"/>
      <c r="GD105" s="658" t="s">
        <v>780</v>
      </c>
      <c r="GE105">
        <v>3</v>
      </c>
      <c r="GO105" s="95"/>
      <c r="HJ105"/>
      <c r="HO105"/>
      <c r="HP105" s="237"/>
      <c r="HR105" s="237"/>
      <c r="HS105" s="237"/>
      <c r="HT105" s="237"/>
      <c r="HU105" s="237"/>
      <c r="HV105" s="237"/>
      <c r="HW105" s="237"/>
      <c r="HX105" s="237"/>
    </row>
    <row r="106" spans="1:232" ht="17.399999999999999" thickBot="1" x14ac:dyDescent="0.5">
      <c r="A106" s="981"/>
      <c r="B106" s="314" t="s">
        <v>730</v>
      </c>
      <c r="C106" s="324">
        <v>39532</v>
      </c>
      <c r="D106" s="325">
        <v>44101</v>
      </c>
      <c r="E106" s="326">
        <v>47730</v>
      </c>
      <c r="F106" s="163">
        <v>131363</v>
      </c>
      <c r="G106" s="200">
        <v>618839.12982251588</v>
      </c>
      <c r="H106" s="984"/>
      <c r="I106" s="327">
        <v>-2.700041842034015E-2</v>
      </c>
      <c r="J106" s="328">
        <v>-1.7856800453238897E-2</v>
      </c>
      <c r="K106" s="329">
        <v>4.2025979696539678E-2</v>
      </c>
      <c r="L106" s="330">
        <v>1.9932940866862481E-4</v>
      </c>
      <c r="M106" s="331">
        <v>5.4440593717324237E-3</v>
      </c>
      <c r="N106" s="892"/>
      <c r="O106" s="873"/>
      <c r="P106" s="873"/>
      <c r="Q106" s="873"/>
      <c r="T106">
        <f t="shared" si="396"/>
        <v>2012</v>
      </c>
      <c r="EG106" s="701" t="s">
        <v>726</v>
      </c>
      <c r="EH106" s="698">
        <v>1</v>
      </c>
      <c r="EL106" s="643"/>
      <c r="EM106" s="682"/>
      <c r="EN106" s="643"/>
      <c r="EO106" s="682"/>
      <c r="EP106" s="641"/>
      <c r="EQ106" s="642"/>
      <c r="FR106"/>
      <c r="FU106"/>
      <c r="FW106"/>
      <c r="FX106"/>
      <c r="FY106"/>
      <c r="FZ106"/>
      <c r="GA106"/>
      <c r="GB106"/>
      <c r="GC106"/>
      <c r="GD106" s="658" t="s">
        <v>711</v>
      </c>
      <c r="GE106">
        <v>3</v>
      </c>
      <c r="GO106" s="95"/>
      <c r="HJ106"/>
      <c r="HO106"/>
      <c r="HP106" s="237"/>
      <c r="HR106" s="237"/>
      <c r="HS106" s="237"/>
      <c r="HT106" s="237"/>
      <c r="HU106" s="237"/>
      <c r="HV106" s="237"/>
      <c r="HW106" s="237"/>
      <c r="HX106" s="237"/>
    </row>
    <row r="107" spans="1:232" ht="17.399999999999999" thickBot="1" x14ac:dyDescent="0.5">
      <c r="A107" s="981"/>
      <c r="B107" s="323" t="s">
        <v>735</v>
      </c>
      <c r="C107" s="324">
        <v>38535</v>
      </c>
      <c r="D107" s="325">
        <v>45391</v>
      </c>
      <c r="E107" s="326">
        <v>49113</v>
      </c>
      <c r="F107" s="163">
        <v>133039</v>
      </c>
      <c r="G107" s="200">
        <v>751878.12982251588</v>
      </c>
      <c r="H107" s="984"/>
      <c r="I107" s="327">
        <v>3.283302063789869E-2</v>
      </c>
      <c r="J107" s="328">
        <v>4.8481309090344565E-2</v>
      </c>
      <c r="K107" s="329">
        <v>6.5311700143160817E-2</v>
      </c>
      <c r="L107" s="330">
        <v>4.9997258337208361E-2</v>
      </c>
      <c r="M107" s="331">
        <v>1.3050003465391091E-2</v>
      </c>
      <c r="N107" s="892"/>
      <c r="O107" s="873"/>
      <c r="P107" s="873"/>
      <c r="Q107" s="873"/>
      <c r="T107">
        <f t="shared" si="396"/>
        <v>2012</v>
      </c>
      <c r="EG107" s="697" t="s">
        <v>774</v>
      </c>
      <c r="EH107" s="695">
        <v>1</v>
      </c>
      <c r="EL107" s="641"/>
      <c r="EM107" s="681"/>
      <c r="EN107" s="641"/>
      <c r="EO107" s="681"/>
      <c r="EP107" s="643"/>
      <c r="EQ107" s="645"/>
      <c r="FR107"/>
      <c r="FU107"/>
      <c r="FW107"/>
      <c r="FX107"/>
      <c r="FY107"/>
      <c r="FZ107"/>
      <c r="GA107"/>
      <c r="GB107"/>
      <c r="GC107"/>
      <c r="GD107" s="658" t="s">
        <v>786</v>
      </c>
      <c r="GE107">
        <v>1</v>
      </c>
      <c r="GO107" s="95"/>
      <c r="HJ107"/>
      <c r="HO107"/>
      <c r="HP107" s="237"/>
      <c r="HR107" s="237"/>
      <c r="HS107" s="237"/>
      <c r="HT107" s="237"/>
      <c r="HU107" s="237"/>
      <c r="HV107" s="237"/>
      <c r="HW107" s="237"/>
      <c r="HX107" s="237"/>
    </row>
    <row r="108" spans="1:232" ht="17.399999999999999" thickBot="1" x14ac:dyDescent="0.5">
      <c r="A108" s="981"/>
      <c r="B108" s="314" t="s">
        <v>740</v>
      </c>
      <c r="C108" s="324">
        <v>35019</v>
      </c>
      <c r="D108" s="325">
        <v>42613</v>
      </c>
      <c r="E108" s="326">
        <v>45682</v>
      </c>
      <c r="F108" s="163">
        <v>123314</v>
      </c>
      <c r="G108" s="200">
        <v>875192.12982251588</v>
      </c>
      <c r="H108" s="984"/>
      <c r="I108" s="327">
        <v>7.8508732524805863E-2</v>
      </c>
      <c r="J108" s="328">
        <v>5.7525747611366175E-2</v>
      </c>
      <c r="K108" s="329">
        <v>3.0638029058749211E-2</v>
      </c>
      <c r="L108" s="330">
        <v>5.316617572673854E-2</v>
      </c>
      <c r="M108" s="331">
        <v>1.8516380521203413E-2</v>
      </c>
      <c r="N108" s="892"/>
      <c r="O108" s="873"/>
      <c r="P108" s="873"/>
      <c r="Q108" s="873"/>
      <c r="T108">
        <f t="shared" si="396"/>
        <v>2012</v>
      </c>
      <c r="EG108" s="701" t="s">
        <v>285</v>
      </c>
      <c r="EH108" s="698">
        <v>9</v>
      </c>
      <c r="EL108" s="643"/>
      <c r="EM108" s="682"/>
      <c r="EN108" s="649"/>
      <c r="EO108" s="682"/>
      <c r="EP108" s="641"/>
      <c r="EQ108" s="642"/>
      <c r="FR108"/>
      <c r="FU108"/>
      <c r="FW108"/>
      <c r="FX108"/>
      <c r="FY108"/>
      <c r="FZ108"/>
      <c r="GA108"/>
      <c r="GB108"/>
      <c r="GC108"/>
      <c r="GD108" s="658" t="s">
        <v>722</v>
      </c>
      <c r="GE108">
        <v>2</v>
      </c>
      <c r="GO108" s="95"/>
      <c r="HJ108"/>
      <c r="HO108"/>
      <c r="HP108" s="237"/>
      <c r="HR108" s="237"/>
      <c r="HS108" s="237"/>
      <c r="HT108" s="237"/>
      <c r="HU108" s="237"/>
      <c r="HV108" s="237"/>
      <c r="HW108" s="237"/>
      <c r="HX108" s="237"/>
    </row>
    <row r="109" spans="1:232" ht="17.399999999999999" thickBot="1" x14ac:dyDescent="0.3">
      <c r="A109" s="981"/>
      <c r="B109" s="323" t="s">
        <v>752</v>
      </c>
      <c r="C109" s="324">
        <v>38080</v>
      </c>
      <c r="D109" s="325">
        <v>44481</v>
      </c>
      <c r="E109" s="326">
        <v>46569</v>
      </c>
      <c r="F109" s="163">
        <v>129130</v>
      </c>
      <c r="G109" s="200">
        <v>1004322.1298225159</v>
      </c>
      <c r="H109" s="984"/>
      <c r="I109" s="327">
        <v>-3.5973772815878081E-2</v>
      </c>
      <c r="J109" s="328">
        <v>1.5177104254153733E-2</v>
      </c>
      <c r="K109" s="329">
        <v>-1.7427998734043677E-2</v>
      </c>
      <c r="L109" s="330">
        <v>-1.2102943876614258E-2</v>
      </c>
      <c r="M109" s="331">
        <v>1.4473612826669369E-2</v>
      </c>
      <c r="N109" s="892"/>
      <c r="O109" s="873"/>
      <c r="P109" s="873"/>
      <c r="Q109" s="873"/>
      <c r="T109">
        <f t="shared" si="396"/>
        <v>2012</v>
      </c>
      <c r="EG109" s="697" t="s">
        <v>775</v>
      </c>
      <c r="EH109" s="695">
        <v>3</v>
      </c>
      <c r="EL109" s="641"/>
      <c r="EM109" s="681"/>
      <c r="EN109" s="644"/>
      <c r="EO109" s="681"/>
      <c r="EP109" s="643"/>
      <c r="EQ109" s="645"/>
      <c r="FR109"/>
      <c r="FU109"/>
      <c r="FW109"/>
      <c r="FX109"/>
      <c r="FY109"/>
      <c r="FZ109"/>
      <c r="GA109"/>
      <c r="GB109"/>
      <c r="GC109"/>
      <c r="GD109" s="656" t="s">
        <v>723</v>
      </c>
      <c r="GE109" s="657">
        <v>13381</v>
      </c>
      <c r="GO109" s="95"/>
      <c r="HJ109"/>
      <c r="HO109"/>
      <c r="HP109" s="237"/>
      <c r="HR109" s="237"/>
      <c r="HS109" s="237"/>
      <c r="HT109" s="237"/>
      <c r="HU109" s="237"/>
      <c r="HV109" s="237"/>
      <c r="HW109" s="237"/>
      <c r="HX109" s="237"/>
    </row>
    <row r="110" spans="1:232" ht="17.399999999999999" thickBot="1" x14ac:dyDescent="0.5">
      <c r="A110" s="981"/>
      <c r="B110" s="314" t="s">
        <v>754</v>
      </c>
      <c r="C110" s="324">
        <v>40494</v>
      </c>
      <c r="D110" s="325">
        <v>45206</v>
      </c>
      <c r="E110" s="326">
        <v>45960</v>
      </c>
      <c r="F110" s="163">
        <v>131660</v>
      </c>
      <c r="G110" s="200">
        <v>1135982.1298225159</v>
      </c>
      <c r="H110" s="984"/>
      <c r="I110" s="327">
        <v>-3.9265463000308427E-2</v>
      </c>
      <c r="J110" s="328">
        <v>7.8926246321234274E-3</v>
      </c>
      <c r="K110" s="329">
        <v>-7.4505992873339809E-3</v>
      </c>
      <c r="L110" s="330">
        <v>-1.2347531243904974E-2</v>
      </c>
      <c r="M110" s="331">
        <v>1.1290650570493277E-2</v>
      </c>
      <c r="N110" s="892"/>
      <c r="O110" s="873"/>
      <c r="P110" s="873"/>
      <c r="Q110" s="873"/>
      <c r="T110">
        <f t="shared" si="396"/>
        <v>2012</v>
      </c>
      <c r="Z110" s="701" t="s">
        <v>285</v>
      </c>
      <c r="AA110">
        <v>2019</v>
      </c>
      <c r="AB110">
        <v>2020</v>
      </c>
      <c r="AC110">
        <v>2021</v>
      </c>
      <c r="AD110">
        <v>2022</v>
      </c>
      <c r="AE110">
        <v>2023</v>
      </c>
      <c r="AF110">
        <v>2024</v>
      </c>
      <c r="AG110">
        <v>2025</v>
      </c>
      <c r="EG110" s="701" t="s">
        <v>285</v>
      </c>
      <c r="EH110" s="695">
        <v>3</v>
      </c>
      <c r="EL110" s="643"/>
      <c r="EM110" s="682"/>
      <c r="EN110" s="649"/>
      <c r="EO110" s="682"/>
      <c r="EP110" s="757"/>
      <c r="EQ110" s="758"/>
      <c r="FM110">
        <v>1274.6386691804671</v>
      </c>
      <c r="FN110">
        <v>1282.5084922075964</v>
      </c>
      <c r="FR110"/>
      <c r="FU110"/>
      <c r="FW110"/>
      <c r="FX110"/>
      <c r="FY110"/>
      <c r="FZ110"/>
      <c r="GA110"/>
      <c r="GB110"/>
      <c r="GC110"/>
      <c r="GD110" s="658" t="s">
        <v>780</v>
      </c>
      <c r="GE110">
        <v>12946</v>
      </c>
      <c r="GO110" s="95"/>
      <c r="HJ110"/>
      <c r="HO110"/>
      <c r="HP110" s="237"/>
      <c r="HR110" s="237"/>
      <c r="HS110" s="237"/>
      <c r="HT110" s="237"/>
      <c r="HU110" s="237"/>
      <c r="HV110" s="237"/>
      <c r="HW110" s="237"/>
      <c r="HX110" s="237"/>
    </row>
    <row r="111" spans="1:232" ht="17.399999999999999" thickBot="1" x14ac:dyDescent="0.5">
      <c r="A111" s="981"/>
      <c r="B111" s="323" t="s">
        <v>755</v>
      </c>
      <c r="C111" s="324">
        <v>40938</v>
      </c>
      <c r="D111" s="325">
        <v>45269</v>
      </c>
      <c r="E111" s="326">
        <v>45129</v>
      </c>
      <c r="F111" s="163">
        <v>131336</v>
      </c>
      <c r="G111" s="200">
        <v>1267318.1298225159</v>
      </c>
      <c r="H111" s="984"/>
      <c r="I111" s="327">
        <v>5.4092178103096134E-2</v>
      </c>
      <c r="J111" s="328">
        <v>3.7565895026358008E-2</v>
      </c>
      <c r="K111" s="329">
        <v>2.2869446962828648E-2</v>
      </c>
      <c r="L111" s="330">
        <v>3.7513973897249642E-2</v>
      </c>
      <c r="M111" s="331">
        <v>1.3946521479763385E-2</v>
      </c>
      <c r="N111" s="892"/>
      <c r="O111" s="873"/>
      <c r="P111" s="873"/>
      <c r="Q111" s="873"/>
      <c r="T111">
        <f t="shared" si="396"/>
        <v>2012</v>
      </c>
      <c r="Z111" t="s">
        <v>723</v>
      </c>
      <c r="AA111" s="101">
        <f>$AA$115*AB111/(SUM($AB$111:$AB$114))</f>
        <v>9.4627775073260392E-3</v>
      </c>
      <c r="AB111" s="101">
        <f>KE13</f>
        <v>1.768902332913011E-2</v>
      </c>
      <c r="AC111" s="101">
        <f>IN13</f>
        <v>3.5992774778232824E-2</v>
      </c>
      <c r="AD111" s="101">
        <f>GX67</f>
        <v>6.6471155775341795E-2</v>
      </c>
      <c r="AE111" s="101">
        <f>FB69</f>
        <v>0.12763869178668355</v>
      </c>
      <c r="AF111" s="101">
        <f>DD48</f>
        <v>0.14085572220543333</v>
      </c>
      <c r="AG111" s="101">
        <f>BF48</f>
        <v>0.1680469310286187</v>
      </c>
      <c r="EG111" s="701" t="s">
        <v>711</v>
      </c>
      <c r="EH111" s="695">
        <v>1</v>
      </c>
      <c r="EL111" s="756"/>
      <c r="EM111" s="757"/>
      <c r="EN111" s="757"/>
      <c r="EO111" s="757"/>
      <c r="EP111" s="638"/>
      <c r="EQ111" s="640"/>
      <c r="FM111">
        <v>1625.0318441103354</v>
      </c>
      <c r="FR111"/>
      <c r="FU111"/>
      <c r="FW111"/>
      <c r="FX111"/>
      <c r="FY111"/>
      <c r="FZ111"/>
      <c r="GA111"/>
      <c r="GB111"/>
      <c r="GC111"/>
      <c r="GD111" s="658" t="s">
        <v>711</v>
      </c>
      <c r="GE111">
        <v>15</v>
      </c>
      <c r="GO111" s="95"/>
      <c r="HJ111"/>
      <c r="HO111"/>
      <c r="HP111" s="237"/>
      <c r="HR111" s="237"/>
      <c r="HS111" s="237"/>
      <c r="HT111" s="237"/>
      <c r="HU111" s="237"/>
      <c r="HV111" s="237"/>
      <c r="HW111" s="237"/>
      <c r="HX111" s="237"/>
    </row>
    <row r="112" spans="1:232" ht="17.399999999999999" thickBot="1" x14ac:dyDescent="0.5">
      <c r="A112" s="981"/>
      <c r="B112" s="314" t="s">
        <v>756</v>
      </c>
      <c r="C112" s="324">
        <v>40371</v>
      </c>
      <c r="D112" s="325">
        <v>45583</v>
      </c>
      <c r="E112" s="326">
        <v>43603</v>
      </c>
      <c r="F112" s="163">
        <v>129557</v>
      </c>
      <c r="G112" s="200">
        <v>1396875.1298225159</v>
      </c>
      <c r="H112" s="984"/>
      <c r="I112" s="327">
        <v>3.7441537749910055E-2</v>
      </c>
      <c r="J112" s="328">
        <v>1.2663008464221448E-2</v>
      </c>
      <c r="K112" s="329">
        <v>-7.9856213313919105E-3</v>
      </c>
      <c r="L112" s="330">
        <v>1.3105934423409238E-2</v>
      </c>
      <c r="M112" s="331">
        <v>1.3868500254362592E-2</v>
      </c>
      <c r="N112" s="892"/>
      <c r="O112" s="873"/>
      <c r="P112" s="873"/>
      <c r="Q112" s="873"/>
      <c r="T112">
        <f t="shared" si="396"/>
        <v>2012</v>
      </c>
      <c r="Z112" t="s">
        <v>819</v>
      </c>
      <c r="AA112" s="101">
        <f>$AA$115*AB112/(SUM($AB$111:$AB$114))</f>
        <v>1.0410307559060212E-2</v>
      </c>
      <c r="AB112" s="101">
        <f>KE14+KE16</f>
        <v>1.9460266621831587E-2</v>
      </c>
      <c r="AC112" s="101">
        <f>IN14</f>
        <v>2.9604654434111671E-2</v>
      </c>
      <c r="AD112" s="101">
        <f>GX68</f>
        <v>3.4045610604671449E-2</v>
      </c>
      <c r="AE112" s="101">
        <f>FB71</f>
        <v>7.148794122772914E-2</v>
      </c>
      <c r="AF112" s="101">
        <f>DD50</f>
        <v>8.961351450669533E-2</v>
      </c>
      <c r="AG112" s="101">
        <f>BF50</f>
        <v>9.0284593992435561E-2</v>
      </c>
      <c r="EG112" s="701" t="s">
        <v>716</v>
      </c>
      <c r="EH112" s="695">
        <v>2</v>
      </c>
      <c r="EL112" s="638"/>
      <c r="EM112" s="680"/>
      <c r="EN112" s="639"/>
      <c r="EO112" s="680"/>
      <c r="EP112" s="641"/>
      <c r="EQ112" s="642"/>
      <c r="FM112">
        <v>0.85288487069688568</v>
      </c>
      <c r="FR112"/>
      <c r="FU112"/>
      <c r="FW112"/>
      <c r="FX112"/>
      <c r="FY112"/>
      <c r="FZ112"/>
      <c r="GA112"/>
      <c r="GB112"/>
      <c r="GC112"/>
      <c r="GD112" s="658" t="s">
        <v>786</v>
      </c>
      <c r="GE112">
        <v>419</v>
      </c>
      <c r="GO112" s="95"/>
      <c r="HJ112"/>
      <c r="HO112"/>
      <c r="HP112" s="237"/>
      <c r="HR112" s="237"/>
      <c r="HS112" s="237"/>
      <c r="HT112" s="237"/>
      <c r="HU112" s="237"/>
      <c r="HV112" s="237"/>
      <c r="HW112" s="237"/>
      <c r="HX112" s="237"/>
    </row>
    <row r="113" spans="1:232" ht="17.399999999999999" thickBot="1" x14ac:dyDescent="0.5">
      <c r="A113" s="982"/>
      <c r="B113" s="323" t="s">
        <v>758</v>
      </c>
      <c r="C113" s="324">
        <v>39019</v>
      </c>
      <c r="D113" s="325">
        <v>46113</v>
      </c>
      <c r="E113" s="326">
        <v>42487</v>
      </c>
      <c r="F113" s="204">
        <v>127619</v>
      </c>
      <c r="G113" s="200">
        <v>1524494.1298225159</v>
      </c>
      <c r="H113" s="984"/>
      <c r="I113" s="343">
        <v>2.563510984644569E-4</v>
      </c>
      <c r="J113" s="344">
        <v>2.8917598232813441E-2</v>
      </c>
      <c r="K113" s="345">
        <v>3.1337993979998056E-2</v>
      </c>
      <c r="L113" s="346">
        <v>2.0772344067444104E-2</v>
      </c>
      <c r="M113" s="347">
        <v>1.4442853699539349E-2</v>
      </c>
      <c r="N113" s="892"/>
      <c r="O113" s="873"/>
      <c r="P113" s="873"/>
      <c r="Q113" s="873"/>
      <c r="T113">
        <f t="shared" si="396"/>
        <v>2012</v>
      </c>
      <c r="Z113" t="s">
        <v>820</v>
      </c>
      <c r="AA113" s="101">
        <f>$AA$115*AB113/(SUM($AB$111:$AB$114))</f>
        <v>2.1935487268890993E-2</v>
      </c>
      <c r="AB113" s="101">
        <f>KE15+KE17</f>
        <v>4.1004593602126653E-2</v>
      </c>
      <c r="AC113" s="101">
        <f>IN15+IN17</f>
        <v>6.556168136929158E-2</v>
      </c>
      <c r="AD113" s="101">
        <f>GX69</f>
        <v>7.0372965033900031E-2</v>
      </c>
      <c r="AE113" s="101">
        <f>FB72</f>
        <v>0.11017958123169422</v>
      </c>
      <c r="AF113" s="101">
        <f>DD51</f>
        <v>0.14093877431765967</v>
      </c>
      <c r="AG113" s="101">
        <f>BF51</f>
        <v>0.1733358323443541</v>
      </c>
      <c r="EG113" s="701" t="s">
        <v>722</v>
      </c>
      <c r="EH113" s="698">
        <v>13381</v>
      </c>
      <c r="EL113" s="641"/>
      <c r="EM113" s="681"/>
      <c r="EN113" s="644"/>
      <c r="EO113" s="681"/>
      <c r="EP113" s="643"/>
      <c r="EQ113" s="645"/>
      <c r="FM113">
        <v>101.56201313464825</v>
      </c>
      <c r="FR113"/>
      <c r="FU113"/>
      <c r="FW113"/>
      <c r="FX113"/>
      <c r="FY113"/>
      <c r="FZ113"/>
      <c r="GA113"/>
      <c r="GB113"/>
      <c r="GC113"/>
      <c r="GD113" s="658" t="s">
        <v>726</v>
      </c>
      <c r="GE113">
        <v>1</v>
      </c>
      <c r="GO113" s="95"/>
      <c r="HJ113"/>
      <c r="HO113"/>
      <c r="HP113" s="237"/>
      <c r="HR113" s="237"/>
      <c r="HS113" s="237"/>
      <c r="HT113" s="237"/>
      <c r="HU113" s="237"/>
      <c r="HV113" s="237"/>
      <c r="HW113" s="237"/>
      <c r="HX113" s="237"/>
    </row>
    <row r="114" spans="1:232" ht="17.399999999999999" thickBot="1" x14ac:dyDescent="0.3">
      <c r="A114" s="296" t="s">
        <v>760</v>
      </c>
      <c r="B114" s="188"/>
      <c r="C114" s="174">
        <v>38897.583333333336</v>
      </c>
      <c r="D114" s="174">
        <v>43790.510818542993</v>
      </c>
      <c r="E114" s="174">
        <v>44353.083333333336</v>
      </c>
      <c r="F114" s="175">
        <v>127041.17748520966</v>
      </c>
      <c r="G114" s="175"/>
      <c r="H114" s="985"/>
      <c r="I114" s="189">
        <v>1.6258093823295905E-2</v>
      </c>
      <c r="J114" s="189">
        <v>1.7059506641546429E-2</v>
      </c>
      <c r="K114" s="190">
        <v>1.0293955741495164E-2</v>
      </c>
      <c r="L114" s="191"/>
      <c r="M114" s="190">
        <v>1.4442853699539349E-2</v>
      </c>
      <c r="N114" s="891"/>
      <c r="O114" s="872"/>
      <c r="P114" s="872"/>
      <c r="Q114" s="872"/>
      <c r="T114">
        <f t="shared" si="396"/>
        <v>2012</v>
      </c>
      <c r="Z114" t="s">
        <v>727</v>
      </c>
      <c r="AA114" s="101">
        <f>$AA$115*AB114/(SUM($AB$111:$AB$114))</f>
        <v>2.6893394751446643E-3</v>
      </c>
      <c r="AB114" s="101">
        <f>KE18</f>
        <v>5.027254279090323E-3</v>
      </c>
      <c r="AC114" s="101">
        <f>IN18</f>
        <v>5.7120054171886196E-3</v>
      </c>
      <c r="AD114" s="101">
        <f>GX72</f>
        <v>6.7989296923956126E-3</v>
      </c>
      <c r="AE114" s="101">
        <f>FB70</f>
        <v>8.1856328219928002E-3</v>
      </c>
      <c r="AF114" s="101">
        <f>DD49+DD54</f>
        <v>7.8777802728100879E-3</v>
      </c>
      <c r="AG114" s="101">
        <f>BF49+BF54</f>
        <v>6.16181857884536E-3</v>
      </c>
      <c r="EG114" s="697" t="s">
        <v>723</v>
      </c>
      <c r="EH114" s="695">
        <v>12946</v>
      </c>
      <c r="EI114">
        <v>10974</v>
      </c>
      <c r="EL114" s="643"/>
      <c r="EM114" s="682"/>
      <c r="EN114" s="649"/>
      <c r="EO114" s="682"/>
      <c r="EP114" s="641"/>
      <c r="EQ114" s="650"/>
      <c r="FM114">
        <v>0</v>
      </c>
      <c r="FR114"/>
      <c r="FU114"/>
      <c r="FW114"/>
      <c r="FX114"/>
      <c r="FY114"/>
      <c r="FZ114"/>
      <c r="GA114"/>
      <c r="GB114"/>
      <c r="GC114"/>
      <c r="GD114" s="656" t="s">
        <v>777</v>
      </c>
      <c r="GE114" s="657">
        <v>22</v>
      </c>
      <c r="GO114" s="95"/>
      <c r="HJ114"/>
      <c r="HO114"/>
      <c r="HP114" s="237"/>
      <c r="HR114" s="237"/>
      <c r="HS114" s="237"/>
      <c r="HT114" s="237"/>
      <c r="HU114" s="237"/>
      <c r="HV114" s="237"/>
      <c r="HW114" s="237"/>
      <c r="HX114" s="237"/>
    </row>
    <row r="115" spans="1:232" ht="17.399999999999999" thickBot="1" x14ac:dyDescent="0.5">
      <c r="A115" s="988" t="s">
        <v>821</v>
      </c>
      <c r="B115" s="314" t="s">
        <v>710</v>
      </c>
      <c r="C115" s="315">
        <v>38446</v>
      </c>
      <c r="D115" s="316">
        <v>42881</v>
      </c>
      <c r="E115" s="317">
        <v>41350</v>
      </c>
      <c r="F115" s="155">
        <v>122677</v>
      </c>
      <c r="G115" s="199">
        <v>122677</v>
      </c>
      <c r="H115" s="983" t="s">
        <v>822</v>
      </c>
      <c r="I115" s="318">
        <v>4.5978887800631189E-2</v>
      </c>
      <c r="J115" s="319">
        <v>6.5922593154192244E-2</v>
      </c>
      <c r="K115" s="320">
        <v>9.0022406748385395E-2</v>
      </c>
      <c r="L115" s="321">
        <v>6.7499129829446503E-2</v>
      </c>
      <c r="M115" s="322">
        <v>6.7499129829446503E-2</v>
      </c>
      <c r="N115" s="892"/>
      <c r="O115" s="873"/>
      <c r="P115" s="873"/>
      <c r="Q115" s="873"/>
      <c r="T115">
        <f t="shared" si="396"/>
        <v>2012</v>
      </c>
      <c r="AA115" s="101">
        <f>NK13</f>
        <v>4.4497911810421918E-2</v>
      </c>
      <c r="AB115" s="101">
        <f t="shared" ref="AB115:AG115" si="397">SUM(AB111:AB114)</f>
        <v>8.3181137832178689E-2</v>
      </c>
      <c r="AC115" s="101">
        <f t="shared" si="397"/>
        <v>0.13687111599882468</v>
      </c>
      <c r="AD115" s="101">
        <f t="shared" si="397"/>
        <v>0.1776886611063089</v>
      </c>
      <c r="AE115" s="101">
        <f t="shared" si="397"/>
        <v>0.31749184706809974</v>
      </c>
      <c r="AF115" s="101">
        <f t="shared" si="397"/>
        <v>0.37928579130259843</v>
      </c>
      <c r="AG115" s="101">
        <f t="shared" si="397"/>
        <v>0.43782917594425375</v>
      </c>
      <c r="EG115" s="701" t="s">
        <v>285</v>
      </c>
      <c r="EH115" s="695">
        <v>15</v>
      </c>
      <c r="EI115">
        <v>27</v>
      </c>
      <c r="EJ115">
        <v>11055</v>
      </c>
      <c r="EL115" s="641"/>
      <c r="EM115" s="681"/>
      <c r="EN115" s="641"/>
      <c r="EO115" s="681"/>
      <c r="EP115" s="643"/>
      <c r="EQ115" s="645"/>
      <c r="FM115">
        <v>559.60514086665421</v>
      </c>
      <c r="FR115"/>
      <c r="FU115"/>
      <c r="FW115"/>
      <c r="FX115"/>
      <c r="FY115"/>
      <c r="FZ115"/>
      <c r="GA115"/>
      <c r="GB115"/>
      <c r="GC115"/>
      <c r="GD115" s="658" t="s">
        <v>780</v>
      </c>
      <c r="GE115">
        <v>22</v>
      </c>
      <c r="GO115" s="95"/>
      <c r="HJ115"/>
      <c r="HO115"/>
      <c r="HP115" s="237"/>
      <c r="HR115" s="237"/>
      <c r="HS115" s="237"/>
      <c r="HT115" s="237"/>
      <c r="HU115" s="237"/>
      <c r="HV115" s="237"/>
      <c r="HW115" s="237"/>
      <c r="HX115" s="237"/>
    </row>
    <row r="116" spans="1:232" ht="17.399999999999999" thickBot="1" x14ac:dyDescent="0.5">
      <c r="A116" s="989"/>
      <c r="B116" s="323" t="s">
        <v>715</v>
      </c>
      <c r="C116" s="324">
        <v>40169</v>
      </c>
      <c r="D116" s="325">
        <v>44492</v>
      </c>
      <c r="E116" s="326">
        <v>43946</v>
      </c>
      <c r="F116" s="163">
        <v>128607</v>
      </c>
      <c r="G116" s="200">
        <v>251284</v>
      </c>
      <c r="H116" s="984"/>
      <c r="I116" s="327">
        <v>6.3383104519490934E-3</v>
      </c>
      <c r="J116" s="328">
        <v>4.340892568185549E-2</v>
      </c>
      <c r="K116" s="329">
        <v>4.3897572331227139E-2</v>
      </c>
      <c r="L116" s="330">
        <v>3.1703501664594347E-2</v>
      </c>
      <c r="M116" s="331">
        <v>4.8874047792966779E-2</v>
      </c>
      <c r="N116" s="892"/>
      <c r="O116" s="873"/>
      <c r="P116" s="873"/>
      <c r="Q116" s="873"/>
      <c r="S116" s="193">
        <v>2013</v>
      </c>
      <c r="T116" s="193">
        <v>2013</v>
      </c>
      <c r="EG116" s="701" t="s">
        <v>711</v>
      </c>
      <c r="EH116" s="695">
        <v>419</v>
      </c>
      <c r="EI116">
        <v>561</v>
      </c>
      <c r="EJ116">
        <v>27</v>
      </c>
      <c r="EL116" s="643"/>
      <c r="EM116" s="682"/>
      <c r="EN116" s="643"/>
      <c r="EO116" s="682"/>
      <c r="EP116" s="641"/>
      <c r="EQ116" s="642"/>
      <c r="FR116"/>
      <c r="FU116"/>
      <c r="FW116"/>
      <c r="FX116"/>
      <c r="FY116"/>
      <c r="FZ116"/>
      <c r="GA116"/>
      <c r="GB116"/>
      <c r="GC116"/>
      <c r="GD116" s="659" t="s">
        <v>3</v>
      </c>
      <c r="GE116" s="660">
        <v>187828</v>
      </c>
      <c r="GO116" s="95"/>
      <c r="HJ116"/>
      <c r="HO116"/>
      <c r="HP116" s="237"/>
      <c r="HR116" s="237"/>
      <c r="HS116" s="237"/>
      <c r="HT116" s="237"/>
      <c r="HU116" s="237"/>
      <c r="HV116" s="237"/>
      <c r="HW116" s="237"/>
      <c r="HX116" s="237"/>
    </row>
    <row r="117" spans="1:232" ht="17.399999999999999" thickBot="1" x14ac:dyDescent="0.5">
      <c r="A117" s="989"/>
      <c r="B117" s="314" t="s">
        <v>718</v>
      </c>
      <c r="C117" s="324">
        <v>38554</v>
      </c>
      <c r="D117" s="325">
        <v>43020</v>
      </c>
      <c r="E117" s="326">
        <v>43475</v>
      </c>
      <c r="F117" s="163">
        <v>125049</v>
      </c>
      <c r="G117" s="200">
        <v>376333</v>
      </c>
      <c r="H117" s="984"/>
      <c r="I117" s="327">
        <v>-5.5025858476923456E-2</v>
      </c>
      <c r="J117" s="328">
        <v>4.5034579315343156E-3</v>
      </c>
      <c r="K117" s="329">
        <v>7.2750863047658767E-3</v>
      </c>
      <c r="L117" s="330">
        <v>-1.3709039907671028E-2</v>
      </c>
      <c r="M117" s="331">
        <v>2.7215886593721983E-2</v>
      </c>
      <c r="N117" s="892"/>
      <c r="O117" s="873"/>
      <c r="P117" s="873"/>
      <c r="Q117" s="873"/>
      <c r="S117" s="193">
        <v>2013</v>
      </c>
      <c r="T117" s="193">
        <f t="shared" ref="T117:T148" si="398">T116+$T$98</f>
        <v>2013</v>
      </c>
      <c r="EG117" s="701" t="s">
        <v>716</v>
      </c>
      <c r="EH117" s="695">
        <v>1</v>
      </c>
      <c r="EI117">
        <v>1</v>
      </c>
      <c r="EJ117">
        <v>568</v>
      </c>
      <c r="EL117" s="641"/>
      <c r="EM117" s="681"/>
      <c r="EN117" s="641"/>
      <c r="EO117" s="681"/>
      <c r="EP117" s="754"/>
      <c r="EQ117" s="755"/>
      <c r="FR117"/>
      <c r="FU117"/>
      <c r="FW117"/>
      <c r="FX117"/>
      <c r="FY117"/>
      <c r="FZ117"/>
      <c r="GA117"/>
      <c r="GB117"/>
      <c r="GC117"/>
      <c r="GO117" s="95"/>
      <c r="HJ117"/>
      <c r="HO117"/>
      <c r="HP117" s="237"/>
      <c r="HR117" s="237"/>
      <c r="HS117" s="237"/>
      <c r="HT117" s="237"/>
      <c r="HU117" s="237"/>
      <c r="HV117" s="237"/>
      <c r="HW117" s="237"/>
      <c r="HX117" s="237"/>
    </row>
    <row r="118" spans="1:232" ht="17.399999999999999" thickBot="1" x14ac:dyDescent="0.5">
      <c r="A118" s="989"/>
      <c r="B118" s="323" t="s">
        <v>725</v>
      </c>
      <c r="C118" s="348">
        <v>41025.992454615342</v>
      </c>
      <c r="D118" s="325">
        <v>45251</v>
      </c>
      <c r="E118" s="326">
        <v>45048</v>
      </c>
      <c r="F118" s="163">
        <v>131324.99245461533</v>
      </c>
      <c r="G118" s="200">
        <v>507657.99245461531</v>
      </c>
      <c r="H118" s="984"/>
      <c r="I118" s="327">
        <v>9.9538820074382015E-2</v>
      </c>
      <c r="J118" s="328">
        <v>0.10282218756092805</v>
      </c>
      <c r="K118" s="329">
        <v>5.3261631985036244E-2</v>
      </c>
      <c r="L118" s="330">
        <v>8.4308935834134235E-2</v>
      </c>
      <c r="M118" s="331">
        <v>4.1400719742825887E-2</v>
      </c>
      <c r="N118" s="892"/>
      <c r="O118" s="873"/>
      <c r="P118" s="873"/>
      <c r="Q118" s="873"/>
      <c r="S118" s="193">
        <v>2013</v>
      </c>
      <c r="T118" s="193">
        <f t="shared" si="398"/>
        <v>2013</v>
      </c>
      <c r="EG118" s="701" t="s">
        <v>726</v>
      </c>
      <c r="EH118" s="698">
        <v>22</v>
      </c>
      <c r="EJ118">
        <v>1</v>
      </c>
      <c r="EL118" s="753"/>
      <c r="EM118" s="754"/>
      <c r="EN118" s="754"/>
      <c r="EO118" s="754"/>
      <c r="EP118" s="646"/>
      <c r="EQ118" s="648"/>
      <c r="FR118"/>
      <c r="FU118"/>
      <c r="FW118"/>
      <c r="FX118"/>
      <c r="FY118"/>
      <c r="FZ118"/>
      <c r="GA118"/>
      <c r="GB118"/>
      <c r="GC118"/>
      <c r="GO118" s="95"/>
      <c r="HJ118"/>
      <c r="HO118"/>
      <c r="HP118" s="237"/>
      <c r="HR118" s="237"/>
      <c r="HS118" s="237"/>
      <c r="HT118" s="237"/>
      <c r="HU118" s="237"/>
      <c r="HV118" s="237"/>
      <c r="HW118" s="237"/>
      <c r="HX118" s="237"/>
    </row>
    <row r="119" spans="1:232" ht="17.399999999999999" thickBot="1" x14ac:dyDescent="0.3">
      <c r="A119" s="989"/>
      <c r="B119" s="314" t="s">
        <v>730</v>
      </c>
      <c r="C119" s="348">
        <v>41638.072431964101</v>
      </c>
      <c r="D119" s="325">
        <v>46760</v>
      </c>
      <c r="E119" s="326">
        <v>46681</v>
      </c>
      <c r="F119" s="163">
        <v>135079.0724319641</v>
      </c>
      <c r="G119" s="200">
        <v>642737.06488657941</v>
      </c>
      <c r="H119" s="984"/>
      <c r="I119" s="349">
        <v>5.3275129817972812E-2</v>
      </c>
      <c r="J119" s="328">
        <v>6.0293417382825787E-2</v>
      </c>
      <c r="K119" s="329">
        <v>-2.1977791745233604E-2</v>
      </c>
      <c r="L119" s="330">
        <v>2.8288577696642836E-2</v>
      </c>
      <c r="M119" s="331">
        <v>3.8617362594568716E-2</v>
      </c>
      <c r="N119" s="892"/>
      <c r="O119" s="873"/>
      <c r="P119" s="873"/>
      <c r="Q119" s="873"/>
      <c r="S119" s="193">
        <v>2013</v>
      </c>
      <c r="T119" s="193">
        <f t="shared" si="398"/>
        <v>2013</v>
      </c>
      <c r="EG119" s="697" t="s">
        <v>777</v>
      </c>
      <c r="EH119" s="695">
        <v>22</v>
      </c>
      <c r="EI119">
        <v>15</v>
      </c>
      <c r="EL119" s="646"/>
      <c r="EM119" s="683"/>
      <c r="EN119" s="647"/>
      <c r="EO119" s="683"/>
      <c r="EP119" s="643"/>
      <c r="EQ119" s="645"/>
      <c r="FR119"/>
      <c r="FU119"/>
      <c r="FW119"/>
      <c r="FX119"/>
      <c r="FY119"/>
      <c r="FZ119"/>
      <c r="GA119"/>
      <c r="GB119"/>
      <c r="GC119"/>
      <c r="GO119" s="95"/>
      <c r="HJ119"/>
      <c r="HO119"/>
      <c r="HP119" s="237"/>
      <c r="HR119" s="237"/>
      <c r="HS119" s="237"/>
      <c r="HT119" s="237"/>
      <c r="HU119" s="237"/>
      <c r="HV119" s="237"/>
      <c r="HW119" s="237"/>
      <c r="HX119" s="237"/>
    </row>
    <row r="120" spans="1:232" ht="17.399999999999999" thickBot="1" x14ac:dyDescent="0.5">
      <c r="A120" s="989"/>
      <c r="B120" s="323" t="s">
        <v>735</v>
      </c>
      <c r="C120" s="348">
        <v>38222.105951478632</v>
      </c>
      <c r="D120" s="325">
        <v>47287</v>
      </c>
      <c r="E120" s="326">
        <v>47928</v>
      </c>
      <c r="F120" s="163">
        <v>133437.10595147865</v>
      </c>
      <c r="G120" s="200">
        <v>776174.17083805799</v>
      </c>
      <c r="H120" s="984"/>
      <c r="I120" s="349">
        <v>-8.1197365647169579E-3</v>
      </c>
      <c r="J120" s="328">
        <v>4.1770395012227096E-2</v>
      </c>
      <c r="K120" s="329">
        <v>-2.412803127481522E-2</v>
      </c>
      <c r="L120" s="330">
        <v>2.9924003598842397E-3</v>
      </c>
      <c r="M120" s="331">
        <v>3.2313802000434988E-2</v>
      </c>
      <c r="N120" s="892"/>
      <c r="O120" s="873"/>
      <c r="P120" s="873"/>
      <c r="Q120" s="873"/>
      <c r="S120" s="193">
        <v>2013</v>
      </c>
      <c r="T120" s="193">
        <f t="shared" si="398"/>
        <v>2013</v>
      </c>
      <c r="EG120" s="701" t="s">
        <v>285</v>
      </c>
      <c r="EH120" s="699">
        <v>187828</v>
      </c>
      <c r="EI120">
        <f>SUM(EI69:EI119)</f>
        <v>98390</v>
      </c>
      <c r="EJ120">
        <v>16</v>
      </c>
      <c r="EL120" s="643"/>
      <c r="EM120" s="682"/>
      <c r="EN120" s="643"/>
      <c r="EO120" s="682"/>
      <c r="EP120" s="641"/>
      <c r="EQ120" s="642"/>
      <c r="FR120"/>
      <c r="FU120"/>
      <c r="FW120"/>
      <c r="FX120"/>
      <c r="FY120"/>
      <c r="FZ120"/>
      <c r="GA120"/>
      <c r="GB120"/>
      <c r="GC120"/>
      <c r="GO120" s="95"/>
      <c r="HJ120"/>
      <c r="HO120"/>
      <c r="HP120" s="237"/>
      <c r="HR120" s="237"/>
      <c r="HS120" s="237"/>
      <c r="HT120" s="237"/>
      <c r="HU120" s="237"/>
      <c r="HV120" s="237"/>
      <c r="HW120" s="237"/>
      <c r="HX120" s="237"/>
    </row>
    <row r="121" spans="1:232" ht="17.399999999999999" thickBot="1" x14ac:dyDescent="0.3">
      <c r="A121" s="989"/>
      <c r="B121" s="314" t="s">
        <v>740</v>
      </c>
      <c r="C121" s="348">
        <v>35270.866740609854</v>
      </c>
      <c r="D121" s="325">
        <v>45276.189877627912</v>
      </c>
      <c r="E121" s="326">
        <v>46438</v>
      </c>
      <c r="F121" s="163">
        <v>126985.05661823777</v>
      </c>
      <c r="G121" s="200">
        <v>903159.22745629575</v>
      </c>
      <c r="H121" s="984"/>
      <c r="I121" s="349">
        <v>7.1922882038280324E-3</v>
      </c>
      <c r="J121" s="328">
        <v>6.2497122418696462E-2</v>
      </c>
      <c r="K121" s="329">
        <v>1.6549187863928901E-2</v>
      </c>
      <c r="L121" s="330">
        <v>2.9769990578829342E-2</v>
      </c>
      <c r="M121" s="331">
        <v>3.195538063105241E-2</v>
      </c>
      <c r="N121" s="892"/>
      <c r="O121" s="873"/>
      <c r="P121" s="873"/>
      <c r="Q121" s="873"/>
      <c r="S121" s="193">
        <v>2013</v>
      </c>
      <c r="T121" s="193">
        <f t="shared" si="398"/>
        <v>2013</v>
      </c>
      <c r="EG121" s="702" t="s">
        <v>3</v>
      </c>
      <c r="EJ121">
        <f>SUM(EJ70:EJ120)</f>
        <v>104778</v>
      </c>
      <c r="EL121" s="641"/>
      <c r="EM121" s="681"/>
      <c r="EN121" s="641"/>
      <c r="EO121" s="681"/>
      <c r="EP121" s="643"/>
      <c r="EQ121" s="645"/>
      <c r="FR121"/>
      <c r="FU121"/>
      <c r="FW121"/>
      <c r="FX121"/>
      <c r="FY121"/>
      <c r="FZ121"/>
      <c r="GA121"/>
      <c r="GB121"/>
      <c r="GC121"/>
      <c r="GO121" s="95"/>
      <c r="HJ121"/>
      <c r="HO121"/>
      <c r="HP121" s="237"/>
      <c r="HR121" s="237"/>
      <c r="HS121" s="237"/>
      <c r="HT121" s="237"/>
      <c r="HU121" s="237"/>
      <c r="HV121" s="237"/>
      <c r="HW121" s="237"/>
      <c r="HX121" s="237"/>
    </row>
    <row r="122" spans="1:232" ht="17.399999999999999" thickBot="1" x14ac:dyDescent="0.3">
      <c r="A122" s="989"/>
      <c r="B122" s="323" t="s">
        <v>752</v>
      </c>
      <c r="C122" s="348">
        <v>40374.267105126455</v>
      </c>
      <c r="D122" s="325">
        <v>46420.427353601655</v>
      </c>
      <c r="E122" s="326">
        <v>47179</v>
      </c>
      <c r="F122" s="163">
        <v>133973.6944587281</v>
      </c>
      <c r="G122" s="200">
        <v>1037132.9219150238</v>
      </c>
      <c r="H122" s="984"/>
      <c r="I122" s="349">
        <v>6.024861095395103E-2</v>
      </c>
      <c r="J122" s="328">
        <v>4.3601253425095104E-2</v>
      </c>
      <c r="K122" s="350">
        <v>1.3098842577680431E-2</v>
      </c>
      <c r="L122" s="351">
        <v>3.7510218064958689E-2</v>
      </c>
      <c r="M122" s="352">
        <v>3.266958988378188E-2</v>
      </c>
      <c r="N122" s="894"/>
      <c r="O122" s="875"/>
      <c r="P122" s="875"/>
      <c r="Q122" s="875"/>
      <c r="S122" s="193">
        <v>2013</v>
      </c>
      <c r="T122" s="193">
        <f t="shared" si="398"/>
        <v>2013</v>
      </c>
      <c r="EL122" s="643"/>
      <c r="EM122" s="682"/>
      <c r="EN122" s="649"/>
      <c r="EO122" s="682"/>
      <c r="EP122" s="641"/>
      <c r="EQ122" s="642"/>
      <c r="FR122"/>
      <c r="FU122"/>
      <c r="FW122"/>
      <c r="FX122"/>
      <c r="FY122"/>
      <c r="FZ122"/>
      <c r="GA122"/>
      <c r="GB122"/>
      <c r="GC122"/>
      <c r="GO122" s="95"/>
      <c r="HJ122"/>
      <c r="HO122"/>
      <c r="HP122" s="237"/>
      <c r="HR122" s="237"/>
      <c r="HS122" s="237"/>
      <c r="HT122" s="237"/>
      <c r="HU122" s="237"/>
      <c r="HV122" s="237"/>
      <c r="HW122" s="237"/>
      <c r="HX122" s="237"/>
    </row>
    <row r="123" spans="1:232" ht="16.5" customHeight="1" x14ac:dyDescent="0.25">
      <c r="A123" s="989"/>
      <c r="B123" s="314" t="s">
        <v>754</v>
      </c>
      <c r="C123" s="348">
        <v>42472.023969770264</v>
      </c>
      <c r="D123" s="325">
        <v>43342</v>
      </c>
      <c r="E123" s="326">
        <v>46766</v>
      </c>
      <c r="F123" s="163">
        <v>132580.02396977026</v>
      </c>
      <c r="G123" s="200">
        <v>1169712.945884794</v>
      </c>
      <c r="H123" s="984"/>
      <c r="I123" s="349">
        <v>4.8847334661190886E-2</v>
      </c>
      <c r="J123" s="328">
        <v>-4.1233464584347214E-2</v>
      </c>
      <c r="K123" s="329">
        <v>1.7536988685813749E-2</v>
      </c>
      <c r="L123" s="330">
        <v>6.9878776376293139E-3</v>
      </c>
      <c r="M123" s="331">
        <v>2.9693086868847196E-2</v>
      </c>
      <c r="N123" s="892"/>
      <c r="O123" s="873"/>
      <c r="P123" s="873"/>
      <c r="Q123" s="873"/>
      <c r="S123" s="193">
        <v>2013</v>
      </c>
      <c r="T123" s="193">
        <f t="shared" si="398"/>
        <v>2013</v>
      </c>
      <c r="EL123" s="641"/>
      <c r="EM123" s="681"/>
      <c r="EN123" s="644"/>
      <c r="EO123" s="681"/>
      <c r="FR123"/>
      <c r="FU123"/>
      <c r="FW123"/>
      <c r="FX123"/>
      <c r="FY123"/>
      <c r="FZ123"/>
      <c r="GA123"/>
      <c r="GB123"/>
      <c r="GC123"/>
      <c r="GO123" s="95"/>
      <c r="HJ123"/>
      <c r="HO123"/>
      <c r="HP123" s="237"/>
      <c r="HR123" s="237"/>
      <c r="HS123" s="237"/>
      <c r="HT123" s="237"/>
      <c r="HU123" s="237"/>
      <c r="HV123" s="237"/>
      <c r="HW123" s="237"/>
      <c r="HX123" s="237"/>
    </row>
    <row r="124" spans="1:232" ht="13.8" x14ac:dyDescent="0.25">
      <c r="A124" s="989"/>
      <c r="B124" s="323" t="s">
        <v>755</v>
      </c>
      <c r="C124" s="348">
        <v>41749.008322299123</v>
      </c>
      <c r="D124" s="325">
        <v>47052</v>
      </c>
      <c r="E124" s="326">
        <v>46704</v>
      </c>
      <c r="F124" s="163">
        <v>135505.00832229911</v>
      </c>
      <c r="G124" s="200">
        <v>1305217.954207093</v>
      </c>
      <c r="H124" s="984"/>
      <c r="I124" s="349">
        <v>1.9810648353586483E-2</v>
      </c>
      <c r="J124" s="328">
        <v>3.9386776822991451E-2</v>
      </c>
      <c r="K124" s="329">
        <v>3.4899953466728709E-2</v>
      </c>
      <c r="L124" s="330">
        <v>3.1743073660680299E-2</v>
      </c>
      <c r="M124" s="331">
        <v>2.9905533182804644E-2</v>
      </c>
      <c r="N124" s="892"/>
      <c r="O124" s="873"/>
      <c r="P124" s="873"/>
      <c r="Q124" s="873"/>
      <c r="S124" s="193">
        <v>2013</v>
      </c>
      <c r="T124" s="193">
        <f t="shared" si="398"/>
        <v>2013</v>
      </c>
      <c r="FR124"/>
      <c r="FU124"/>
      <c r="FW124"/>
      <c r="FX124"/>
      <c r="FY124"/>
      <c r="FZ124"/>
      <c r="GA124"/>
      <c r="GB124"/>
      <c r="GC124"/>
      <c r="GO124" s="95"/>
      <c r="HJ124"/>
      <c r="HO124"/>
      <c r="HP124" s="237"/>
      <c r="HR124" s="237"/>
      <c r="HS124" s="237"/>
      <c r="HT124" s="237"/>
      <c r="HU124" s="237"/>
      <c r="HV124" s="237"/>
      <c r="HW124" s="237"/>
      <c r="HX124" s="237"/>
    </row>
    <row r="125" spans="1:232" ht="13.8" x14ac:dyDescent="0.25">
      <c r="A125" s="989"/>
      <c r="B125" s="314" t="s">
        <v>756</v>
      </c>
      <c r="C125" s="348">
        <v>40370.91955089409</v>
      </c>
      <c r="D125" s="325">
        <v>46729</v>
      </c>
      <c r="E125" s="326">
        <v>44895</v>
      </c>
      <c r="F125" s="163">
        <v>131994.91955089409</v>
      </c>
      <c r="G125" s="200">
        <v>1437212.8737579871</v>
      </c>
      <c r="H125" s="984"/>
      <c r="I125" s="349">
        <v>-1.9927449384407796E-6</v>
      </c>
      <c r="J125" s="328">
        <v>2.5140951670578945E-2</v>
      </c>
      <c r="K125" s="329">
        <v>2.9630988693438526E-2</v>
      </c>
      <c r="L125" s="330">
        <v>1.8817351057017984E-2</v>
      </c>
      <c r="M125" s="331">
        <v>2.8877129440049831E-2</v>
      </c>
      <c r="N125" s="892"/>
      <c r="O125" s="873"/>
      <c r="P125" s="873"/>
      <c r="Q125" s="873"/>
      <c r="S125" s="193">
        <v>2013</v>
      </c>
      <c r="T125" s="193">
        <f t="shared" si="398"/>
        <v>2013</v>
      </c>
      <c r="EH125">
        <f>SUMIF(EG69:EG120,$EL$90,EH68:EH119)</f>
        <v>163378</v>
      </c>
      <c r="FR125"/>
      <c r="FU125"/>
      <c r="FW125"/>
      <c r="FX125"/>
      <c r="FY125"/>
      <c r="FZ125"/>
      <c r="GA125"/>
      <c r="GB125"/>
      <c r="GC125"/>
      <c r="GO125" s="95"/>
      <c r="HJ125"/>
      <c r="HO125"/>
      <c r="HP125" s="237"/>
      <c r="HR125" s="237"/>
      <c r="HS125" s="237"/>
      <c r="HT125" s="237"/>
      <c r="HU125" s="237"/>
      <c r="HV125" s="237"/>
      <c r="HW125" s="237"/>
      <c r="HX125" s="237"/>
    </row>
    <row r="126" spans="1:232" ht="15.75" customHeight="1" thickBot="1" x14ac:dyDescent="0.3">
      <c r="A126" s="990"/>
      <c r="B126" s="323" t="s">
        <v>758</v>
      </c>
      <c r="C126" s="348">
        <v>40251.689862017127</v>
      </c>
      <c r="D126" s="325">
        <v>47091</v>
      </c>
      <c r="E126" s="326">
        <v>42936</v>
      </c>
      <c r="F126" s="204">
        <v>130278.68986201713</v>
      </c>
      <c r="G126" s="200">
        <v>1567491.5636200041</v>
      </c>
      <c r="H126" s="984"/>
      <c r="I126" s="349">
        <v>3.1592041364902401E-2</v>
      </c>
      <c r="J126" s="328">
        <v>2.1208769761238696E-2</v>
      </c>
      <c r="K126" s="345">
        <v>1.0567938428225104E-2</v>
      </c>
      <c r="L126" s="346">
        <v>2.0840861172843672E-2</v>
      </c>
      <c r="M126" s="347">
        <v>2.8204394465260352E-2</v>
      </c>
      <c r="N126" s="892"/>
      <c r="O126" s="873"/>
      <c r="P126" s="873"/>
      <c r="Q126" s="873"/>
      <c r="S126" s="193">
        <v>2013</v>
      </c>
      <c r="T126" s="193">
        <f t="shared" si="398"/>
        <v>2013</v>
      </c>
      <c r="FR126"/>
      <c r="FU126"/>
      <c r="FW126"/>
      <c r="FX126"/>
      <c r="FY126"/>
      <c r="FZ126"/>
      <c r="GA126"/>
      <c r="GB126"/>
      <c r="GC126"/>
      <c r="GO126" s="95"/>
      <c r="HJ126"/>
      <c r="HO126"/>
      <c r="HP126" s="237"/>
      <c r="HR126" s="237"/>
      <c r="HS126" s="237"/>
      <c r="HT126" s="237"/>
      <c r="HU126" s="237"/>
      <c r="HV126" s="237"/>
      <c r="HW126" s="237"/>
      <c r="HX126" s="237"/>
    </row>
    <row r="127" spans="1:232" ht="14.4" thickBot="1" x14ac:dyDescent="0.3">
      <c r="A127" s="296" t="s">
        <v>760</v>
      </c>
      <c r="B127" s="188"/>
      <c r="C127" s="174">
        <v>39878.66219906458</v>
      </c>
      <c r="D127" s="174">
        <v>45466.801435935799</v>
      </c>
      <c r="E127" s="174">
        <v>45278.833333333336</v>
      </c>
      <c r="F127" s="175">
        <v>130624.29696833367</v>
      </c>
      <c r="G127" s="175"/>
      <c r="H127" s="985"/>
      <c r="I127" s="353">
        <v>2.5222103319989753E-2</v>
      </c>
      <c r="J127" s="353">
        <v>3.8279768517406332E-2</v>
      </c>
      <c r="K127" s="190">
        <v>2.087228058177093E-2</v>
      </c>
      <c r="L127" s="191"/>
      <c r="M127" s="190">
        <v>2.8204394465260352E-2</v>
      </c>
      <c r="N127" s="891"/>
      <c r="O127" s="872"/>
      <c r="P127" s="872"/>
      <c r="Q127" s="872"/>
      <c r="S127" s="193">
        <v>2013</v>
      </c>
      <c r="T127" s="193">
        <f t="shared" si="398"/>
        <v>2013</v>
      </c>
      <c r="FR127"/>
      <c r="FU127"/>
      <c r="FW127"/>
      <c r="FX127"/>
      <c r="FY127"/>
      <c r="FZ127"/>
      <c r="GA127"/>
      <c r="GB127"/>
      <c r="GC127"/>
      <c r="GO127" s="95"/>
      <c r="HJ127"/>
      <c r="HO127"/>
      <c r="HP127" s="237"/>
      <c r="HR127" s="237"/>
      <c r="HS127" s="237"/>
      <c r="HT127" s="237"/>
      <c r="HU127" s="237"/>
      <c r="HV127" s="237"/>
      <c r="HW127" s="237"/>
      <c r="HX127" s="237"/>
    </row>
    <row r="128" spans="1:232" ht="13.8" x14ac:dyDescent="0.25">
      <c r="A128" s="981">
        <v>2014</v>
      </c>
      <c r="B128" s="314" t="s">
        <v>710</v>
      </c>
      <c r="C128" s="354">
        <v>39107.855064252552</v>
      </c>
      <c r="D128" s="355">
        <v>45437</v>
      </c>
      <c r="E128" s="356">
        <v>43038</v>
      </c>
      <c r="F128" s="357">
        <v>127582.85506425255</v>
      </c>
      <c r="G128" s="358">
        <v>127582.85506425255</v>
      </c>
      <c r="H128" s="983" t="s">
        <v>823</v>
      </c>
      <c r="I128" s="359">
        <v>1.7215186605955144E-2</v>
      </c>
      <c r="J128" s="360">
        <v>5.9606818870828575E-2</v>
      </c>
      <c r="K128" s="361">
        <v>4.0822249093107617E-2</v>
      </c>
      <c r="L128" s="362">
        <v>3.9990014951886366E-2</v>
      </c>
      <c r="M128" s="363">
        <v>3.9990014951886366E-2</v>
      </c>
      <c r="N128" s="895"/>
      <c r="O128" s="876"/>
      <c r="P128" s="876"/>
      <c r="Q128" s="876"/>
      <c r="T128" s="193">
        <f t="shared" si="398"/>
        <v>2013</v>
      </c>
      <c r="ET128" s="95"/>
    </row>
    <row r="129" spans="1:150" ht="13.8" x14ac:dyDescent="0.25">
      <c r="A129" s="981"/>
      <c r="B129" s="323" t="s">
        <v>715</v>
      </c>
      <c r="C129" s="364">
        <v>40949</v>
      </c>
      <c r="D129" s="365">
        <v>46627</v>
      </c>
      <c r="E129" s="366">
        <v>45744</v>
      </c>
      <c r="F129" s="367">
        <v>133320</v>
      </c>
      <c r="G129" s="368">
        <v>260902.85506425257</v>
      </c>
      <c r="H129" s="984"/>
      <c r="I129" s="369">
        <v>1.9417959122706566E-2</v>
      </c>
      <c r="J129" s="370">
        <v>4.7986154814348647E-2</v>
      </c>
      <c r="K129" s="371">
        <v>4.0913848814454104E-2</v>
      </c>
      <c r="L129" s="372">
        <v>3.6646527793976924E-2</v>
      </c>
      <c r="M129" s="373">
        <v>3.8278820236276712E-2</v>
      </c>
      <c r="N129" s="895"/>
      <c r="O129" s="876"/>
      <c r="P129" s="876"/>
      <c r="Q129" s="876"/>
      <c r="S129" s="193">
        <v>2014</v>
      </c>
      <c r="T129" s="193">
        <f t="shared" si="398"/>
        <v>2013</v>
      </c>
      <c r="ET129" s="95"/>
    </row>
    <row r="130" spans="1:150" ht="13.8" x14ac:dyDescent="0.25">
      <c r="A130" s="981"/>
      <c r="B130" s="314" t="s">
        <v>718</v>
      </c>
      <c r="C130" s="364">
        <v>40977</v>
      </c>
      <c r="D130" s="365">
        <v>46559</v>
      </c>
      <c r="E130" s="366">
        <v>45640</v>
      </c>
      <c r="F130" s="367">
        <v>133176</v>
      </c>
      <c r="G130" s="368">
        <v>394078.85506425257</v>
      </c>
      <c r="H130" s="984"/>
      <c r="I130" s="369">
        <v>6.2846916013902576E-2</v>
      </c>
      <c r="J130" s="370">
        <v>8.2264063226406323E-2</v>
      </c>
      <c r="K130" s="371">
        <v>4.9798734905117881E-2</v>
      </c>
      <c r="L130" s="372">
        <v>6.4990523714703929E-2</v>
      </c>
      <c r="M130" s="373">
        <v>4.7154661069458648E-2</v>
      </c>
      <c r="N130" s="895"/>
      <c r="O130" s="876"/>
      <c r="P130" s="876"/>
      <c r="Q130" s="876"/>
      <c r="S130" s="193">
        <v>2014</v>
      </c>
      <c r="T130" s="193">
        <f t="shared" si="398"/>
        <v>2013</v>
      </c>
      <c r="ET130" s="95"/>
    </row>
    <row r="131" spans="1:150" ht="13.8" x14ac:dyDescent="0.25">
      <c r="A131" s="981"/>
      <c r="B131" s="323" t="s">
        <v>725</v>
      </c>
      <c r="C131" s="364">
        <v>39242</v>
      </c>
      <c r="D131" s="365">
        <v>46152</v>
      </c>
      <c r="E131" s="366">
        <v>45797</v>
      </c>
      <c r="F131" s="367">
        <v>131191</v>
      </c>
      <c r="G131" s="368">
        <v>525269.85506425262</v>
      </c>
      <c r="H131" s="984"/>
      <c r="I131" s="369">
        <v>-4.3484443589972097E-2</v>
      </c>
      <c r="J131" s="370">
        <v>1.991116218426112E-2</v>
      </c>
      <c r="K131" s="371">
        <v>1.6626709287870717E-2</v>
      </c>
      <c r="L131" s="372">
        <v>-1.0203119155832718E-3</v>
      </c>
      <c r="M131" s="373">
        <v>3.469237729220187E-2</v>
      </c>
      <c r="N131" s="895"/>
      <c r="O131" s="876"/>
      <c r="P131" s="876"/>
      <c r="Q131" s="876"/>
      <c r="S131" s="193">
        <v>2014</v>
      </c>
      <c r="T131" s="193">
        <f t="shared" si="398"/>
        <v>2013</v>
      </c>
      <c r="ET131" s="95"/>
    </row>
    <row r="132" spans="1:150" ht="13.8" x14ac:dyDescent="0.25">
      <c r="A132" s="981"/>
      <c r="B132" s="314" t="s">
        <v>730</v>
      </c>
      <c r="C132" s="364">
        <v>41187</v>
      </c>
      <c r="D132" s="365">
        <v>49731</v>
      </c>
      <c r="E132" s="366">
        <v>49186</v>
      </c>
      <c r="F132" s="367">
        <v>140104</v>
      </c>
      <c r="G132" s="368">
        <v>665373.85506425262</v>
      </c>
      <c r="H132" s="984"/>
      <c r="I132" s="369">
        <v>-1.0833172757964383E-2</v>
      </c>
      <c r="J132" s="370">
        <v>6.3537211291702311E-2</v>
      </c>
      <c r="K132" s="371">
        <v>5.3662089501081811E-2</v>
      </c>
      <c r="L132" s="372">
        <v>3.7199896901622731E-2</v>
      </c>
      <c r="M132" s="373">
        <v>3.5219363273639503E-2</v>
      </c>
      <c r="N132" s="895"/>
      <c r="O132" s="876"/>
      <c r="P132" s="876"/>
      <c r="Q132" s="876"/>
      <c r="S132" s="193">
        <v>2014</v>
      </c>
      <c r="T132" s="193">
        <f t="shared" si="398"/>
        <v>2013</v>
      </c>
      <c r="ET132" s="95"/>
    </row>
    <row r="133" spans="1:150" ht="13.8" x14ac:dyDescent="0.25">
      <c r="A133" s="981"/>
      <c r="B133" s="323" t="s">
        <v>735</v>
      </c>
      <c r="C133" s="364">
        <v>38352</v>
      </c>
      <c r="D133" s="365">
        <v>48225</v>
      </c>
      <c r="E133" s="366">
        <v>49375</v>
      </c>
      <c r="F133" s="367">
        <v>135952</v>
      </c>
      <c r="G133" s="368">
        <v>801325.85506425262</v>
      </c>
      <c r="H133" s="984"/>
      <c r="I133" s="369">
        <v>3.3984011421626797E-3</v>
      </c>
      <c r="J133" s="370">
        <v>1.9836318649946075E-2</v>
      </c>
      <c r="K133" s="371">
        <v>3.0191120013353362E-2</v>
      </c>
      <c r="L133" s="372">
        <v>1.8847036816249885E-2</v>
      </c>
      <c r="M133" s="373">
        <v>3.2404691074733316E-2</v>
      </c>
      <c r="N133" s="895"/>
      <c r="O133" s="876"/>
      <c r="P133" s="876"/>
      <c r="Q133" s="876"/>
      <c r="S133" s="193">
        <v>2014</v>
      </c>
      <c r="T133" s="193">
        <f t="shared" si="398"/>
        <v>2013</v>
      </c>
      <c r="ET133" s="95"/>
    </row>
    <row r="134" spans="1:150" ht="13.8" x14ac:dyDescent="0.25">
      <c r="A134" s="981"/>
      <c r="B134" s="314" t="s">
        <v>740</v>
      </c>
      <c r="C134" s="364">
        <v>36809</v>
      </c>
      <c r="D134" s="365">
        <v>46148.967300339005</v>
      </c>
      <c r="E134" s="366">
        <v>47953</v>
      </c>
      <c r="F134" s="367">
        <v>130910.96730033901</v>
      </c>
      <c r="G134" s="368">
        <v>932236.82236459164</v>
      </c>
      <c r="H134" s="984"/>
      <c r="I134" s="369">
        <v>4.3609171010792994E-2</v>
      </c>
      <c r="J134" s="370">
        <v>1.9276741816615494E-2</v>
      </c>
      <c r="K134" s="371">
        <v>3.2624144019983634E-2</v>
      </c>
      <c r="L134" s="372">
        <v>3.0916320287228238E-2</v>
      </c>
      <c r="M134" s="373">
        <v>3.2195424709540399E-2</v>
      </c>
      <c r="N134" s="895"/>
      <c r="O134" s="876"/>
      <c r="P134" s="876"/>
      <c r="Q134" s="876"/>
      <c r="S134" s="193">
        <v>2014</v>
      </c>
      <c r="T134" s="193">
        <f t="shared" si="398"/>
        <v>2013</v>
      </c>
      <c r="ET134" s="95"/>
    </row>
    <row r="135" spans="1:150" ht="13.8" x14ac:dyDescent="0.25">
      <c r="A135" s="981"/>
      <c r="B135" s="323" t="s">
        <v>752</v>
      </c>
      <c r="C135" s="364">
        <v>38081</v>
      </c>
      <c r="D135" s="365">
        <v>47806</v>
      </c>
      <c r="E135" s="366">
        <v>49296</v>
      </c>
      <c r="F135" s="367">
        <v>135183</v>
      </c>
      <c r="G135" s="368">
        <v>1067419.8223645915</v>
      </c>
      <c r="H135" s="984"/>
      <c r="I135" s="369">
        <v>-5.6800216314893091E-2</v>
      </c>
      <c r="J135" s="370">
        <v>2.9848338875554131E-2</v>
      </c>
      <c r="K135" s="371">
        <v>4.4871659000826639E-2</v>
      </c>
      <c r="L135" s="372">
        <v>9.0264401990081122E-3</v>
      </c>
      <c r="M135" s="373">
        <v>2.9202525355809028E-2</v>
      </c>
      <c r="N135" s="895"/>
      <c r="O135" s="876"/>
      <c r="P135" s="876"/>
      <c r="Q135" s="876"/>
      <c r="S135" s="193">
        <v>2014</v>
      </c>
      <c r="T135" s="193">
        <f t="shared" si="398"/>
        <v>2013</v>
      </c>
      <c r="ET135" s="95"/>
    </row>
    <row r="136" spans="1:150" ht="13.8" x14ac:dyDescent="0.25">
      <c r="A136" s="981"/>
      <c r="B136" s="314" t="s">
        <v>754</v>
      </c>
      <c r="C136" s="364">
        <v>42177</v>
      </c>
      <c r="D136" s="365">
        <v>49515.339905179106</v>
      </c>
      <c r="E136" s="366">
        <v>48477</v>
      </c>
      <c r="F136" s="367">
        <v>140169.33990517911</v>
      </c>
      <c r="G136" s="368">
        <v>1207589.1622697706</v>
      </c>
      <c r="H136" s="984"/>
      <c r="I136" s="374">
        <v>-6.94631294190851E-3</v>
      </c>
      <c r="J136" s="370">
        <v>0.14243320347882205</v>
      </c>
      <c r="K136" s="371">
        <v>3.6586408929564211E-2</v>
      </c>
      <c r="L136" s="372">
        <v>5.724328377809984E-2</v>
      </c>
      <c r="M136" s="373">
        <v>3.2380778992170844E-2</v>
      </c>
      <c r="N136" s="895"/>
      <c r="O136" s="876"/>
      <c r="P136" s="876"/>
      <c r="Q136" s="876"/>
      <c r="S136" s="193">
        <v>2014</v>
      </c>
      <c r="T136" s="193">
        <f t="shared" si="398"/>
        <v>2013</v>
      </c>
      <c r="ET136" s="95"/>
    </row>
    <row r="137" spans="1:150" ht="13.8" x14ac:dyDescent="0.25">
      <c r="A137" s="981"/>
      <c r="B137" s="323" t="s">
        <v>755</v>
      </c>
      <c r="C137" s="364">
        <v>42413</v>
      </c>
      <c r="D137" s="365">
        <v>49716</v>
      </c>
      <c r="E137" s="366">
        <v>48109</v>
      </c>
      <c r="F137" s="367">
        <v>140238</v>
      </c>
      <c r="G137" s="368">
        <v>1347827.1622697706</v>
      </c>
      <c r="H137" s="984"/>
      <c r="I137" s="374">
        <v>1.5904370052934241E-2</v>
      </c>
      <c r="J137" s="370">
        <v>5.6618209640397855E-2</v>
      </c>
      <c r="K137" s="371">
        <v>3.0083076396026035E-2</v>
      </c>
      <c r="L137" s="372">
        <v>3.4928536858530368E-2</v>
      </c>
      <c r="M137" s="373">
        <v>3.264528190509175E-2</v>
      </c>
      <c r="N137" s="895"/>
      <c r="O137" s="876"/>
      <c r="P137" s="876"/>
      <c r="Q137" s="876"/>
      <c r="S137" s="193">
        <v>2014</v>
      </c>
      <c r="T137" s="193">
        <f t="shared" si="398"/>
        <v>2013</v>
      </c>
      <c r="ET137" s="95"/>
    </row>
    <row r="138" spans="1:150" ht="13.8" x14ac:dyDescent="0.25">
      <c r="A138" s="981"/>
      <c r="B138" s="314" t="s">
        <v>756</v>
      </c>
      <c r="C138" s="364">
        <v>41325</v>
      </c>
      <c r="D138" s="365">
        <v>47521</v>
      </c>
      <c r="E138" s="366">
        <v>46984</v>
      </c>
      <c r="F138" s="367">
        <v>135830</v>
      </c>
      <c r="G138" s="368">
        <v>1483657.1622697706</v>
      </c>
      <c r="H138" s="984"/>
      <c r="I138" s="374">
        <v>2.3632863945621467E-2</v>
      </c>
      <c r="J138" s="370">
        <v>1.6948789830726101E-2</v>
      </c>
      <c r="K138" s="371">
        <v>4.6530794075064039E-2</v>
      </c>
      <c r="L138" s="372">
        <v>2.9054758032768024E-2</v>
      </c>
      <c r="M138" s="373">
        <v>3.23155249718452E-2</v>
      </c>
      <c r="N138" s="895"/>
      <c r="O138" s="876"/>
      <c r="P138" s="876"/>
      <c r="Q138" s="876"/>
      <c r="S138" s="193">
        <v>2014</v>
      </c>
      <c r="T138" s="193">
        <f t="shared" si="398"/>
        <v>2013</v>
      </c>
      <c r="ET138" s="95"/>
    </row>
    <row r="139" spans="1:150" ht="14.4" thickBot="1" x14ac:dyDescent="0.3">
      <c r="A139" s="982"/>
      <c r="B139" s="323" t="s">
        <v>758</v>
      </c>
      <c r="C139" s="364">
        <v>39046</v>
      </c>
      <c r="D139" s="365">
        <v>48042</v>
      </c>
      <c r="E139" s="366">
        <v>43601</v>
      </c>
      <c r="F139" s="367">
        <v>130689</v>
      </c>
      <c r="G139" s="368">
        <v>1614346.1622697706</v>
      </c>
      <c r="H139" s="984"/>
      <c r="I139" s="375">
        <v>-2.9953770044195267E-2</v>
      </c>
      <c r="J139" s="376">
        <v>2.019494170860674E-2</v>
      </c>
      <c r="K139" s="377">
        <v>1.548816843674306E-2</v>
      </c>
      <c r="L139" s="378">
        <v>3.1494800755016428E-3</v>
      </c>
      <c r="M139" s="379">
        <v>2.9891451882241293E-2</v>
      </c>
      <c r="N139" s="895"/>
      <c r="O139" s="876"/>
      <c r="P139" s="876"/>
      <c r="Q139" s="876"/>
      <c r="S139" s="193">
        <v>2014</v>
      </c>
      <c r="T139" s="193">
        <f t="shared" si="398"/>
        <v>2013</v>
      </c>
      <c r="AY139" s="101"/>
      <c r="CW139" s="101"/>
      <c r="ET139" s="95"/>
    </row>
    <row r="140" spans="1:150" ht="14.4" thickBot="1" x14ac:dyDescent="0.3">
      <c r="A140" s="296" t="s">
        <v>760</v>
      </c>
      <c r="B140" s="188"/>
      <c r="C140" s="380">
        <v>39972.154588687714</v>
      </c>
      <c r="D140" s="380">
        <v>47623.358933793177</v>
      </c>
      <c r="E140" s="380">
        <v>46933.333333333336</v>
      </c>
      <c r="F140" s="381">
        <v>134528.84685581422</v>
      </c>
      <c r="G140" s="381"/>
      <c r="H140" s="985"/>
      <c r="I140" s="382">
        <v>2.3444214140495578E-3</v>
      </c>
      <c r="J140" s="382">
        <v>4.7431475928563893E-2</v>
      </c>
      <c r="K140" s="383">
        <v>3.6540252435832699E-2</v>
      </c>
      <c r="L140" s="384"/>
      <c r="M140" s="385">
        <v>2.9891451882241293E-2</v>
      </c>
      <c r="N140" s="896"/>
      <c r="O140" s="877"/>
      <c r="P140" s="877"/>
      <c r="Q140" s="877"/>
      <c r="S140" s="193">
        <v>2014</v>
      </c>
      <c r="T140" s="193">
        <f t="shared" si="398"/>
        <v>2013</v>
      </c>
      <c r="ET140" s="95"/>
    </row>
    <row r="141" spans="1:150" ht="13.8" x14ac:dyDescent="0.25">
      <c r="A141" s="981">
        <v>2015</v>
      </c>
      <c r="B141" s="314" t="s">
        <v>710</v>
      </c>
      <c r="C141" s="364">
        <v>38668.516129032258</v>
      </c>
      <c r="D141" s="365">
        <v>46015.741935483871</v>
      </c>
      <c r="E141" s="366">
        <v>43100.096774193546</v>
      </c>
      <c r="F141" s="386">
        <v>127784.35483870967</v>
      </c>
      <c r="G141" s="387">
        <v>127784.35483870967</v>
      </c>
      <c r="H141" s="983" t="s">
        <v>824</v>
      </c>
      <c r="I141" s="359">
        <v>-1.1234033022227341E-2</v>
      </c>
      <c r="J141" s="360">
        <v>1.2737239154958981E-2</v>
      </c>
      <c r="K141" s="361">
        <v>1.4428359634171097E-3</v>
      </c>
      <c r="L141" s="362">
        <v>1.5793640482151261E-3</v>
      </c>
      <c r="M141" s="363">
        <v>1.5793640482151261E-3</v>
      </c>
      <c r="N141" s="895"/>
      <c r="O141" s="876"/>
      <c r="P141" s="876"/>
      <c r="Q141" s="876"/>
      <c r="S141" s="193"/>
      <c r="T141" s="193">
        <f t="shared" si="398"/>
        <v>2013</v>
      </c>
      <c r="ET141" s="95"/>
    </row>
    <row r="142" spans="1:150" ht="13.8" x14ac:dyDescent="0.25">
      <c r="A142" s="981"/>
      <c r="B142" s="323" t="s">
        <v>715</v>
      </c>
      <c r="C142" s="364">
        <v>40262.571428571428</v>
      </c>
      <c r="D142" s="365">
        <v>47010.821428571428</v>
      </c>
      <c r="E142" s="366">
        <v>44966.642857142855</v>
      </c>
      <c r="F142" s="367">
        <v>132240.03571428571</v>
      </c>
      <c r="G142" s="368">
        <v>260024.39055299538</v>
      </c>
      <c r="H142" s="984"/>
      <c r="I142" s="369">
        <v>-1.676301183004646E-2</v>
      </c>
      <c r="J142" s="370">
        <v>8.2317418785559336E-3</v>
      </c>
      <c r="K142" s="371">
        <v>-1.6993641632938636E-2</v>
      </c>
      <c r="L142" s="372">
        <v>-8.1005421970768987E-3</v>
      </c>
      <c r="M142" s="373">
        <v>-3.367017624398394E-3</v>
      </c>
      <c r="N142" s="895"/>
      <c r="O142" s="876"/>
      <c r="P142" s="876"/>
      <c r="Q142" s="876"/>
      <c r="S142" s="193">
        <v>2015</v>
      </c>
      <c r="T142" s="193">
        <f t="shared" si="398"/>
        <v>2013</v>
      </c>
      <c r="ET142" s="95"/>
    </row>
    <row r="143" spans="1:150" ht="13.8" x14ac:dyDescent="0.25">
      <c r="A143" s="981"/>
      <c r="B143" s="314" t="s">
        <v>718</v>
      </c>
      <c r="C143" s="364">
        <v>41761.709677419356</v>
      </c>
      <c r="D143" s="365">
        <v>48792.290322580644</v>
      </c>
      <c r="E143" s="366">
        <v>46990.354838709674</v>
      </c>
      <c r="F143" s="367">
        <v>137544.35483870967</v>
      </c>
      <c r="G143" s="368">
        <v>397568.74539170507</v>
      </c>
      <c r="H143" s="984"/>
      <c r="I143" s="369">
        <v>1.9150003109533544E-2</v>
      </c>
      <c r="J143" s="370">
        <v>4.7966887660401726E-2</v>
      </c>
      <c r="K143" s="371">
        <v>2.9587091119843874E-2</v>
      </c>
      <c r="L143" s="372">
        <v>3.2801366903268292E-2</v>
      </c>
      <c r="M143" s="373">
        <v>8.8558172624702003E-3</v>
      </c>
      <c r="N143" s="895"/>
      <c r="O143" s="876"/>
      <c r="P143" s="876"/>
      <c r="Q143" s="876"/>
      <c r="S143" s="193">
        <v>2015</v>
      </c>
      <c r="T143" s="193">
        <f t="shared" si="398"/>
        <v>2013</v>
      </c>
      <c r="ET143" s="95"/>
    </row>
    <row r="144" spans="1:150" ht="13.8" x14ac:dyDescent="0.25">
      <c r="A144" s="981"/>
      <c r="B144" s="323" t="s">
        <v>725</v>
      </c>
      <c r="C144" s="364">
        <v>39675.333333333336</v>
      </c>
      <c r="D144" s="365">
        <v>48000.333333333336</v>
      </c>
      <c r="E144" s="366">
        <v>47362.8</v>
      </c>
      <c r="F144" s="367">
        <v>135038.46666666667</v>
      </c>
      <c r="G144" s="368">
        <v>532607.21205837175</v>
      </c>
      <c r="H144" s="984"/>
      <c r="I144" s="369">
        <v>1.1042590421827016E-2</v>
      </c>
      <c r="J144" s="370">
        <v>4.0048824175189283E-2</v>
      </c>
      <c r="K144" s="371">
        <v>3.4190012446230163E-2</v>
      </c>
      <c r="L144" s="372">
        <v>2.9327215027453724E-2</v>
      </c>
      <c r="M144" s="373">
        <v>1.3968738017950066E-2</v>
      </c>
      <c r="N144" s="895"/>
      <c r="O144" s="876"/>
      <c r="P144" s="876"/>
      <c r="Q144" s="876"/>
      <c r="S144" s="193">
        <v>2015</v>
      </c>
      <c r="T144" s="193">
        <f t="shared" si="398"/>
        <v>2013</v>
      </c>
      <c r="ET144" s="95"/>
    </row>
    <row r="145" spans="1:150" ht="13.8" x14ac:dyDescent="0.25">
      <c r="A145" s="981"/>
      <c r="B145" s="314" t="s">
        <v>730</v>
      </c>
      <c r="C145" s="364">
        <v>41099.93548387097</v>
      </c>
      <c r="D145" s="365">
        <v>51095.451612903227</v>
      </c>
      <c r="E145" s="366">
        <v>50494.870967741932</v>
      </c>
      <c r="F145" s="367">
        <v>142690.25806451612</v>
      </c>
      <c r="G145" s="368">
        <v>675297.47012288787</v>
      </c>
      <c r="H145" s="984"/>
      <c r="I145" s="369">
        <v>-2.1138834129465702E-3</v>
      </c>
      <c r="J145" s="370">
        <v>2.7436641388735944E-2</v>
      </c>
      <c r="K145" s="371">
        <v>2.6610640583538649E-2</v>
      </c>
      <c r="L145" s="372">
        <v>1.8459559074088583E-2</v>
      </c>
      <c r="M145" s="373">
        <v>1.4914344744845653E-2</v>
      </c>
      <c r="N145" s="895"/>
      <c r="O145" s="876"/>
      <c r="P145" s="876"/>
      <c r="Q145" s="876"/>
      <c r="S145" s="193">
        <v>2015</v>
      </c>
      <c r="T145" s="193">
        <f t="shared" si="398"/>
        <v>2013</v>
      </c>
      <c r="ET145" s="95"/>
    </row>
    <row r="146" spans="1:150" ht="13.8" x14ac:dyDescent="0.25">
      <c r="A146" s="981"/>
      <c r="B146" s="323" t="s">
        <v>735</v>
      </c>
      <c r="C146" s="364">
        <v>41135.533333333333</v>
      </c>
      <c r="D146" s="365">
        <v>53010.863414897707</v>
      </c>
      <c r="E146" s="366">
        <v>52500.934550667378</v>
      </c>
      <c r="F146" s="367">
        <v>146647.33129889841</v>
      </c>
      <c r="G146" s="368">
        <v>821944.80142178631</v>
      </c>
      <c r="H146" s="984"/>
      <c r="I146" s="369">
        <v>7.257857043526629E-2</v>
      </c>
      <c r="J146" s="370">
        <v>9.9240298909231875E-2</v>
      </c>
      <c r="K146" s="371">
        <v>6.3310066848959554E-2</v>
      </c>
      <c r="L146" s="372">
        <v>7.8669907753460055E-2</v>
      </c>
      <c r="M146" s="373">
        <v>2.5731038412432516E-2</v>
      </c>
      <c r="N146" s="895"/>
      <c r="O146" s="876"/>
      <c r="P146" s="876"/>
      <c r="Q146" s="876"/>
      <c r="S146" s="193">
        <v>2015</v>
      </c>
      <c r="T146" s="193">
        <f t="shared" si="398"/>
        <v>2013</v>
      </c>
      <c r="ET146" s="95"/>
    </row>
    <row r="147" spans="1:150" ht="13.8" x14ac:dyDescent="0.25">
      <c r="A147" s="981"/>
      <c r="B147" s="314" t="s">
        <v>740</v>
      </c>
      <c r="C147" s="364">
        <v>38286.548387096773</v>
      </c>
      <c r="D147" s="365">
        <v>50696.967741935485</v>
      </c>
      <c r="E147" s="366">
        <v>51577.40376508185</v>
      </c>
      <c r="F147" s="367">
        <v>140560.91989411411</v>
      </c>
      <c r="G147" s="368">
        <v>962505.72131590045</v>
      </c>
      <c r="H147" s="984"/>
      <c r="I147" s="369">
        <v>4.0140954307282803E-2</v>
      </c>
      <c r="J147" s="370">
        <v>9.8550427185031944E-2</v>
      </c>
      <c r="K147" s="371">
        <v>7.5582419558356095E-2</v>
      </c>
      <c r="L147" s="372">
        <v>7.3713859066032006E-2</v>
      </c>
      <c r="M147" s="373">
        <v>3.2469108948660397E-2</v>
      </c>
      <c r="N147" s="895"/>
      <c r="O147" s="876"/>
      <c r="P147" s="876"/>
      <c r="Q147" s="876"/>
      <c r="S147" s="193">
        <v>2015</v>
      </c>
      <c r="T147" s="193">
        <f t="shared" si="398"/>
        <v>2013</v>
      </c>
      <c r="ET147" s="95"/>
    </row>
    <row r="148" spans="1:150" ht="13.8" x14ac:dyDescent="0.25">
      <c r="A148" s="981"/>
      <c r="B148" s="323" t="s">
        <v>752</v>
      </c>
      <c r="C148" s="364">
        <v>40881.516129032258</v>
      </c>
      <c r="D148" s="365">
        <v>50425.161290322583</v>
      </c>
      <c r="E148" s="366">
        <v>53185.600009105947</v>
      </c>
      <c r="F148" s="367">
        <v>144492.2774284608</v>
      </c>
      <c r="G148" s="368">
        <v>1106997.9987443613</v>
      </c>
      <c r="H148" s="984"/>
      <c r="I148" s="369">
        <v>7.3541034348684586E-2</v>
      </c>
      <c r="J148" s="370">
        <v>5.4787292187645553E-2</v>
      </c>
      <c r="K148" s="371">
        <v>7.8902953771217685E-2</v>
      </c>
      <c r="L148" s="372">
        <v>6.886426124927536E-2</v>
      </c>
      <c r="M148" s="373">
        <v>3.707835993910491E-2</v>
      </c>
      <c r="N148" s="895"/>
      <c r="O148" s="876"/>
      <c r="P148" s="876"/>
      <c r="Q148" s="876"/>
      <c r="S148" s="193">
        <v>2015</v>
      </c>
      <c r="T148" s="193">
        <f t="shared" si="398"/>
        <v>2013</v>
      </c>
      <c r="ET148" s="95"/>
    </row>
    <row r="149" spans="1:150" ht="13.8" x14ac:dyDescent="0.25">
      <c r="A149" s="981"/>
      <c r="B149" s="314" t="s">
        <v>754</v>
      </c>
      <c r="C149" s="364">
        <v>43724.866666666669</v>
      </c>
      <c r="D149" s="365">
        <v>52659.4</v>
      </c>
      <c r="E149" s="366">
        <v>52589.383127120971</v>
      </c>
      <c r="F149" s="367">
        <v>148973.64979378763</v>
      </c>
      <c r="G149" s="368">
        <v>1255971.648538149</v>
      </c>
      <c r="H149" s="984"/>
      <c r="I149" s="369">
        <v>3.6699306889220872E-2</v>
      </c>
      <c r="J149" s="370">
        <v>6.3496688114061395E-2</v>
      </c>
      <c r="K149" s="371">
        <v>8.4831634117642815E-2</v>
      </c>
      <c r="L149" s="372">
        <v>6.2811952275471983E-2</v>
      </c>
      <c r="M149" s="373">
        <v>4.0065353168157847E-2</v>
      </c>
      <c r="N149" s="895"/>
      <c r="O149" s="876"/>
      <c r="P149" s="876"/>
      <c r="Q149" s="876"/>
      <c r="S149" s="193">
        <v>2015</v>
      </c>
      <c r="T149" s="193">
        <f t="shared" ref="T149:T180" si="399">T148+$T$98</f>
        <v>2013</v>
      </c>
      <c r="ET149" s="95"/>
    </row>
    <row r="150" spans="1:150" ht="13.8" x14ac:dyDescent="0.25">
      <c r="A150" s="981"/>
      <c r="B150" s="323" t="s">
        <v>755</v>
      </c>
      <c r="C150" s="364">
        <v>43263.032258064515</v>
      </c>
      <c r="D150" s="365">
        <v>52673.774193548386</v>
      </c>
      <c r="E150" s="366">
        <v>50751.051533165461</v>
      </c>
      <c r="F150" s="367">
        <v>146687.85798477835</v>
      </c>
      <c r="G150" s="368">
        <v>1402659.5065229274</v>
      </c>
      <c r="H150" s="984"/>
      <c r="I150" s="369">
        <v>2.0041785727595671E-2</v>
      </c>
      <c r="J150" s="370">
        <v>5.9493406419430094E-2</v>
      </c>
      <c r="K150" s="371">
        <v>5.4918030579838711E-2</v>
      </c>
      <c r="L150" s="372">
        <v>4.5992227390424523E-2</v>
      </c>
      <c r="M150" s="373">
        <v>4.0682029408591225E-2</v>
      </c>
      <c r="N150" s="895"/>
      <c r="O150" s="876"/>
      <c r="P150" s="876"/>
      <c r="Q150" s="876"/>
      <c r="S150" s="193">
        <v>2015</v>
      </c>
      <c r="T150" s="193">
        <f t="shared" si="399"/>
        <v>2013</v>
      </c>
      <c r="ET150" s="95"/>
    </row>
    <row r="151" spans="1:150" ht="13.8" x14ac:dyDescent="0.25">
      <c r="A151" s="981"/>
      <c r="B151" s="314" t="s">
        <v>756</v>
      </c>
      <c r="C151" s="364">
        <v>42575.933333333334</v>
      </c>
      <c r="D151" s="365">
        <v>51610.7</v>
      </c>
      <c r="E151" s="366">
        <v>49168.533333333333</v>
      </c>
      <c r="F151" s="367">
        <v>143355.16666666666</v>
      </c>
      <c r="G151" s="368">
        <v>1546014.6731895942</v>
      </c>
      <c r="H151" s="984"/>
      <c r="I151" s="369">
        <v>3.0270619076426721E-2</v>
      </c>
      <c r="J151" s="370">
        <v>8.6060899391847759E-2</v>
      </c>
      <c r="K151" s="371">
        <v>4.6495260798002147E-2</v>
      </c>
      <c r="L151" s="372">
        <v>5.5401359542565309E-2</v>
      </c>
      <c r="M151" s="373">
        <v>4.2029595856515778E-2</v>
      </c>
      <c r="N151" s="895"/>
      <c r="O151" s="876"/>
      <c r="P151" s="876"/>
      <c r="Q151" s="876"/>
      <c r="S151" s="193">
        <v>2015</v>
      </c>
      <c r="T151" s="193">
        <f t="shared" si="399"/>
        <v>2013</v>
      </c>
      <c r="ET151" s="95"/>
    </row>
    <row r="152" spans="1:150" ht="14.4" thickBot="1" x14ac:dyDescent="0.3">
      <c r="A152" s="982"/>
      <c r="B152" s="323" t="s">
        <v>758</v>
      </c>
      <c r="C152" s="364">
        <v>40145.193548387098</v>
      </c>
      <c r="D152" s="365">
        <v>50708.06451612903</v>
      </c>
      <c r="E152" s="366">
        <v>45716.645161290326</v>
      </c>
      <c r="F152" s="367">
        <v>136569.90322580645</v>
      </c>
      <c r="G152" s="368">
        <v>1682584.5764154007</v>
      </c>
      <c r="H152" s="984"/>
      <c r="I152" s="388">
        <v>2.8151245924988435E-2</v>
      </c>
      <c r="J152" s="376">
        <v>5.5494453106220192E-2</v>
      </c>
      <c r="K152" s="377">
        <v>4.8522858679624907E-2</v>
      </c>
      <c r="L152" s="378">
        <v>4.4999221248968491E-2</v>
      </c>
      <c r="M152" s="379">
        <v>4.227000115618762E-2</v>
      </c>
      <c r="N152" s="895"/>
      <c r="O152" s="876"/>
      <c r="P152" s="876"/>
      <c r="Q152" s="876"/>
      <c r="S152" s="193">
        <v>2015</v>
      </c>
      <c r="T152" s="193">
        <f t="shared" si="399"/>
        <v>2013</v>
      </c>
      <c r="ET152" s="95"/>
    </row>
    <row r="153" spans="1:150" ht="16.2" thickBot="1" x14ac:dyDescent="0.3">
      <c r="A153" s="1066" t="s">
        <v>825</v>
      </c>
      <c r="B153" s="1067"/>
      <c r="C153" s="174">
        <v>40955</v>
      </c>
      <c r="D153" s="174">
        <v>50225</v>
      </c>
      <c r="E153" s="174">
        <v>49035</v>
      </c>
      <c r="F153" s="174">
        <v>140215</v>
      </c>
      <c r="G153" s="389"/>
      <c r="H153" s="985"/>
      <c r="I153" s="189">
        <v>2.4588252032589519E-2</v>
      </c>
      <c r="J153" s="189">
        <v>5.4629516364514963E-2</v>
      </c>
      <c r="K153" s="190">
        <v>4.4779829545454453E-2</v>
      </c>
      <c r="L153" s="191"/>
      <c r="M153" s="190">
        <v>4.227000115618762E-2</v>
      </c>
      <c r="N153" s="891"/>
      <c r="O153" s="872"/>
      <c r="P153" s="872"/>
      <c r="Q153" s="872"/>
      <c r="S153">
        <v>2015</v>
      </c>
      <c r="T153" s="193">
        <f t="shared" si="399"/>
        <v>2013</v>
      </c>
      <c r="ET153" s="95"/>
    </row>
    <row r="154" spans="1:150" ht="13.8" x14ac:dyDescent="0.25">
      <c r="A154" s="981">
        <v>2016</v>
      </c>
      <c r="B154" s="314" t="s">
        <v>710</v>
      </c>
      <c r="C154" s="364">
        <v>39607.741935483871</v>
      </c>
      <c r="D154" s="365">
        <v>48576.645161290326</v>
      </c>
      <c r="E154" s="366">
        <v>45722.870967741932</v>
      </c>
      <c r="F154" s="386">
        <v>133907.25806451612</v>
      </c>
      <c r="G154" s="387">
        <v>133907.25806451612</v>
      </c>
      <c r="H154" s="983" t="s">
        <v>826</v>
      </c>
      <c r="I154" s="359">
        <v>2.4289160807658829E-2</v>
      </c>
      <c r="J154" s="360">
        <v>5.5652763991004543E-2</v>
      </c>
      <c r="K154" s="361">
        <v>6.0853092912746987E-2</v>
      </c>
      <c r="L154" s="362">
        <v>4.7915906712796108E-2</v>
      </c>
      <c r="M154" s="363">
        <v>4.7915906712796108E-2</v>
      </c>
      <c r="N154" s="895"/>
      <c r="O154" s="876"/>
      <c r="P154" s="876"/>
      <c r="Q154" s="876"/>
      <c r="S154" s="193"/>
      <c r="T154" s="193">
        <f t="shared" si="399"/>
        <v>2013</v>
      </c>
      <c r="ET154" s="95"/>
    </row>
    <row r="155" spans="1:150" ht="13.8" x14ac:dyDescent="0.25">
      <c r="A155" s="981"/>
      <c r="B155" s="323" t="s">
        <v>715</v>
      </c>
      <c r="C155" s="364">
        <v>42175</v>
      </c>
      <c r="D155" s="365">
        <v>50786.758620689652</v>
      </c>
      <c r="E155" s="366">
        <v>48931.65517241379</v>
      </c>
      <c r="F155" s="367">
        <v>141893.41379310345</v>
      </c>
      <c r="G155" s="368">
        <v>275800.67185761954</v>
      </c>
      <c r="H155" s="984"/>
      <c r="I155" s="369">
        <v>4.7498917818037341E-2</v>
      </c>
      <c r="J155" s="370">
        <v>8.032059592609779E-2</v>
      </c>
      <c r="K155" s="371">
        <v>8.8176747547456746E-2</v>
      </c>
      <c r="L155" s="372">
        <v>7.2998907075876529E-2</v>
      </c>
      <c r="M155" s="373">
        <v>6.0672313359037888E-2</v>
      </c>
      <c r="N155" s="895"/>
      <c r="O155" s="876"/>
      <c r="P155" s="876"/>
      <c r="Q155" s="876"/>
      <c r="S155" s="193">
        <v>2016</v>
      </c>
      <c r="T155" s="193">
        <f t="shared" si="399"/>
        <v>2013</v>
      </c>
      <c r="ET155" s="95"/>
    </row>
    <row r="156" spans="1:150" ht="13.8" x14ac:dyDescent="0.25">
      <c r="A156" s="981"/>
      <c r="B156" s="314" t="s">
        <v>718</v>
      </c>
      <c r="C156" s="364">
        <v>41617.387096774197</v>
      </c>
      <c r="D156" s="365">
        <v>50753.290322580644</v>
      </c>
      <c r="E156" s="366">
        <v>49804.483870967742</v>
      </c>
      <c r="F156" s="367">
        <v>142175.16129032261</v>
      </c>
      <c r="G156" s="368">
        <v>417975.83314794215</v>
      </c>
      <c r="H156" s="984"/>
      <c r="I156" s="369">
        <v>-3.4558590096035913E-3</v>
      </c>
      <c r="J156" s="370">
        <v>4.0190775776976932E-2</v>
      </c>
      <c r="K156" s="371">
        <v>5.9887375652244432E-2</v>
      </c>
      <c r="L156" s="372">
        <v>3.3667731816716229E-2</v>
      </c>
      <c r="M156" s="373">
        <v>5.1329708365608573E-2</v>
      </c>
      <c r="N156" s="895"/>
      <c r="O156" s="876"/>
      <c r="P156" s="876"/>
      <c r="Q156" s="876"/>
      <c r="S156" s="193">
        <v>2016</v>
      </c>
      <c r="T156" s="193">
        <f t="shared" si="399"/>
        <v>2013</v>
      </c>
      <c r="ET156" s="95"/>
    </row>
    <row r="157" spans="1:150" ht="13.8" x14ac:dyDescent="0.25">
      <c r="A157" s="981"/>
      <c r="B157" s="323" t="s">
        <v>725</v>
      </c>
      <c r="C157" s="390">
        <v>44601.033333333333</v>
      </c>
      <c r="D157" s="391">
        <v>54324.1</v>
      </c>
      <c r="E157" s="392">
        <v>53576.4</v>
      </c>
      <c r="F157" s="393">
        <v>152501.53333333333</v>
      </c>
      <c r="G157" s="394">
        <v>570477.36648127553</v>
      </c>
      <c r="H157" s="984"/>
      <c r="I157" s="395">
        <v>0.12415018567371827</v>
      </c>
      <c r="J157" s="396">
        <v>0.13174422399844438</v>
      </c>
      <c r="K157" s="397">
        <v>0.13119156806607712</v>
      </c>
      <c r="L157" s="398">
        <v>0.12931920139298558</v>
      </c>
      <c r="M157" s="399">
        <v>7.1103345139745144E-2</v>
      </c>
      <c r="N157" s="897"/>
      <c r="O157" s="878"/>
      <c r="P157" s="878"/>
      <c r="Q157" s="878"/>
      <c r="S157" s="193">
        <v>2016</v>
      </c>
      <c r="T157" s="193">
        <f t="shared" si="399"/>
        <v>2013</v>
      </c>
      <c r="ET157" s="95"/>
    </row>
    <row r="158" spans="1:150" ht="13.8" x14ac:dyDescent="0.25">
      <c r="A158" s="981"/>
      <c r="B158" s="314" t="s">
        <v>730</v>
      </c>
      <c r="C158" s="364">
        <v>43616.903225806454</v>
      </c>
      <c r="D158" s="365">
        <v>55362.290322580644</v>
      </c>
      <c r="E158" s="366">
        <v>54595.272050195585</v>
      </c>
      <c r="F158" s="367">
        <v>153574.46559858267</v>
      </c>
      <c r="G158" s="368">
        <v>724051.83207985817</v>
      </c>
      <c r="H158" s="984"/>
      <c r="I158" s="369">
        <v>6.1240187175554801E-2</v>
      </c>
      <c r="J158" s="370">
        <v>8.3507211992229546E-2</v>
      </c>
      <c r="K158" s="371">
        <v>8.1204308553895432E-2</v>
      </c>
      <c r="L158" s="372">
        <v>7.627856086114404E-2</v>
      </c>
      <c r="M158" s="373">
        <v>7.2196867475452287E-2</v>
      </c>
      <c r="N158" s="895"/>
      <c r="O158" s="876"/>
      <c r="P158" s="876"/>
      <c r="Q158" s="876"/>
      <c r="S158" s="193">
        <v>2016</v>
      </c>
      <c r="T158" s="193">
        <f t="shared" si="399"/>
        <v>2013</v>
      </c>
      <c r="ET158" s="95"/>
    </row>
    <row r="159" spans="1:150" ht="13.8" x14ac:dyDescent="0.25">
      <c r="A159" s="981"/>
      <c r="B159" s="323" t="s">
        <v>735</v>
      </c>
      <c r="C159" s="390">
        <v>42355.76666666667</v>
      </c>
      <c r="D159" s="391">
        <v>55511.8</v>
      </c>
      <c r="E159" s="392">
        <v>55002.5</v>
      </c>
      <c r="F159" s="393">
        <v>152870.06666666668</v>
      </c>
      <c r="G159" s="394">
        <v>876921.89874652482</v>
      </c>
      <c r="H159" s="984"/>
      <c r="I159" s="395">
        <v>2.9663729492588012E-2</v>
      </c>
      <c r="J159" s="396">
        <v>4.7177812697150948E-2</v>
      </c>
      <c r="K159" s="397">
        <v>4.7648017520877113E-2</v>
      </c>
      <c r="L159" s="398">
        <v>4.2433335217570534E-2</v>
      </c>
      <c r="M159" s="399">
        <v>6.6886605073284811E-2</v>
      </c>
      <c r="N159" s="897"/>
      <c r="O159" s="878"/>
      <c r="P159" s="878"/>
      <c r="Q159" s="878"/>
      <c r="S159" s="193">
        <v>2016</v>
      </c>
      <c r="T159" s="193">
        <f t="shared" si="399"/>
        <v>2013</v>
      </c>
      <c r="ET159" s="95"/>
    </row>
    <row r="160" spans="1:150" ht="13.8" x14ac:dyDescent="0.25">
      <c r="A160" s="981"/>
      <c r="B160" s="314" t="s">
        <v>740</v>
      </c>
      <c r="C160" s="390">
        <v>39043.387096774197</v>
      </c>
      <c r="D160" s="391">
        <v>52469.774193548386</v>
      </c>
      <c r="E160" s="392">
        <v>54030.93548387097</v>
      </c>
      <c r="F160" s="393">
        <v>145544.09677419355</v>
      </c>
      <c r="G160" s="394">
        <v>1022465.9955207184</v>
      </c>
      <c r="H160" s="984"/>
      <c r="I160" s="395">
        <v>1.97677445881356E-2</v>
      </c>
      <c r="J160" s="396">
        <v>3.4968688080854834E-2</v>
      </c>
      <c r="K160" s="397">
        <v>4.7569895723409257E-2</v>
      </c>
      <c r="L160" s="398">
        <v>3.5452079310759332E-2</v>
      </c>
      <c r="M160" s="399">
        <v>6.2296018482718818E-2</v>
      </c>
      <c r="N160" s="897"/>
      <c r="O160" s="878"/>
      <c r="P160" s="878"/>
      <c r="Q160" s="878"/>
      <c r="S160" s="193">
        <v>2016</v>
      </c>
      <c r="T160" s="193">
        <f t="shared" si="399"/>
        <v>2013</v>
      </c>
      <c r="ET160" s="95"/>
    </row>
    <row r="161" spans="1:150" ht="13.8" x14ac:dyDescent="0.25">
      <c r="A161" s="981"/>
      <c r="B161" s="323" t="s">
        <v>752</v>
      </c>
      <c r="C161" s="390">
        <v>44200.096774193546</v>
      </c>
      <c r="D161" s="391">
        <v>56313.548387096773</v>
      </c>
      <c r="E161" s="392">
        <v>57270.741935483871</v>
      </c>
      <c r="F161" s="393">
        <v>157784.38709677418</v>
      </c>
      <c r="G161" s="394">
        <v>1180250.3826174927</v>
      </c>
      <c r="H161" s="984"/>
      <c r="I161" s="395">
        <v>8.1175576627026749E-2</v>
      </c>
      <c r="J161" s="396">
        <v>0.11677477961591107</v>
      </c>
      <c r="K161" s="397">
        <v>7.6809172514336665E-2</v>
      </c>
      <c r="L161" s="398">
        <v>9.1991834476374823E-2</v>
      </c>
      <c r="M161" s="399">
        <v>6.6172101445729492E-2</v>
      </c>
      <c r="N161" s="897"/>
      <c r="O161" s="878"/>
      <c r="P161" s="878"/>
      <c r="Q161" s="878"/>
      <c r="S161" s="193">
        <v>2016</v>
      </c>
      <c r="T161" s="193">
        <f t="shared" si="399"/>
        <v>2013</v>
      </c>
      <c r="ET161" s="95"/>
    </row>
    <row r="162" spans="1:150" ht="13.8" x14ac:dyDescent="0.25">
      <c r="A162" s="981"/>
      <c r="B162" s="314" t="s">
        <v>754</v>
      </c>
      <c r="C162" s="364">
        <v>46498.1</v>
      </c>
      <c r="D162" s="365">
        <v>57810.833333333336</v>
      </c>
      <c r="E162" s="366">
        <v>56692.76666666667</v>
      </c>
      <c r="F162" s="367">
        <v>161001.70000000001</v>
      </c>
      <c r="G162" s="368">
        <v>1341252.0826174926</v>
      </c>
      <c r="H162" s="984"/>
      <c r="I162" s="369">
        <v>6.3424626413955063E-2</v>
      </c>
      <c r="J162" s="370">
        <v>9.7825522762001349E-2</v>
      </c>
      <c r="K162" s="371">
        <v>7.8026842977542657E-2</v>
      </c>
      <c r="L162" s="372">
        <v>8.0739447700058697E-2</v>
      </c>
      <c r="M162" s="373">
        <v>6.7899967470287592E-2</v>
      </c>
      <c r="N162" s="895"/>
      <c r="O162" s="876"/>
      <c r="P162" s="876"/>
      <c r="Q162" s="876"/>
      <c r="S162" s="193">
        <v>2016</v>
      </c>
      <c r="T162" s="193">
        <f t="shared" si="399"/>
        <v>2013</v>
      </c>
      <c r="ET162" s="95"/>
    </row>
    <row r="163" spans="1:150" ht="13.8" x14ac:dyDescent="0.25">
      <c r="A163" s="981"/>
      <c r="B163" s="323" t="s">
        <v>755</v>
      </c>
      <c r="C163" s="364">
        <v>44845.129032258068</v>
      </c>
      <c r="D163" s="365">
        <v>54877.838709677417</v>
      </c>
      <c r="E163" s="366">
        <v>53297.93548387097</v>
      </c>
      <c r="F163" s="367">
        <v>153020.90322580645</v>
      </c>
      <c r="G163" s="368">
        <v>1494272.9858432992</v>
      </c>
      <c r="H163" s="984"/>
      <c r="I163" s="369">
        <v>3.6569253046257286E-2</v>
      </c>
      <c r="J163" s="370">
        <v>4.1843679323798857E-2</v>
      </c>
      <c r="K163" s="371">
        <v>5.018386562968332E-2</v>
      </c>
      <c r="L163" s="372">
        <v>4.3173615921811903E-2</v>
      </c>
      <c r="M163" s="373">
        <v>6.5314125697884862E-2</v>
      </c>
      <c r="N163" s="895"/>
      <c r="O163" s="876"/>
      <c r="P163" s="876"/>
      <c r="Q163" s="876"/>
      <c r="S163" s="193">
        <v>2016</v>
      </c>
      <c r="T163" s="193">
        <f t="shared" si="399"/>
        <v>2013</v>
      </c>
      <c r="ET163" s="95"/>
    </row>
    <row r="164" spans="1:150" ht="13.8" x14ac:dyDescent="0.25">
      <c r="A164" s="981"/>
      <c r="B164" s="314" t="s">
        <v>756</v>
      </c>
      <c r="C164" s="364">
        <v>45747.76666666667</v>
      </c>
      <c r="D164" s="365">
        <v>57078.166666666664</v>
      </c>
      <c r="E164" s="366">
        <v>53268.533333333333</v>
      </c>
      <c r="F164" s="367">
        <v>156094.46666666667</v>
      </c>
      <c r="G164" s="368">
        <v>1650367.4525099657</v>
      </c>
      <c r="H164" s="984"/>
      <c r="I164" s="369">
        <v>7.4498268975117451E-2</v>
      </c>
      <c r="J164" s="370">
        <v>0.10593668883907149</v>
      </c>
      <c r="K164" s="371">
        <v>8.3386664641884781E-2</v>
      </c>
      <c r="L164" s="372">
        <v>8.886530075069965E-2</v>
      </c>
      <c r="M164" s="373">
        <v>6.7497922969308233E-2</v>
      </c>
      <c r="N164" s="895"/>
      <c r="O164" s="876"/>
      <c r="P164" s="876"/>
      <c r="Q164" s="876"/>
      <c r="S164" s="193">
        <v>2016</v>
      </c>
      <c r="T164" s="193">
        <f t="shared" si="399"/>
        <v>2013</v>
      </c>
      <c r="ET164" s="95"/>
    </row>
    <row r="165" spans="1:150" ht="14.4" thickBot="1" x14ac:dyDescent="0.3">
      <c r="A165" s="982"/>
      <c r="B165" s="323" t="s">
        <v>758</v>
      </c>
      <c r="C165" s="364">
        <v>45044.129032258068</v>
      </c>
      <c r="D165" s="365">
        <v>56658.225806451614</v>
      </c>
      <c r="E165" s="366">
        <v>51741.354838709674</v>
      </c>
      <c r="F165" s="367">
        <v>153443.70967741936</v>
      </c>
      <c r="G165" s="368">
        <v>1803811.1621873851</v>
      </c>
      <c r="H165" s="984"/>
      <c r="I165" s="388">
        <v>0.12203043629535054</v>
      </c>
      <c r="J165" s="376">
        <v>0.11734151849613543</v>
      </c>
      <c r="K165" s="377">
        <v>0.13178372245303455</v>
      </c>
      <c r="L165" s="378">
        <v>0.12355435607004517</v>
      </c>
      <c r="M165" s="379">
        <v>7.2047840846281241E-2</v>
      </c>
      <c r="N165" s="895"/>
      <c r="O165" s="876"/>
      <c r="P165" s="876"/>
      <c r="Q165" s="876"/>
      <c r="S165" s="193">
        <v>2016</v>
      </c>
      <c r="T165" s="193">
        <f t="shared" si="399"/>
        <v>2013</v>
      </c>
      <c r="ET165" s="95"/>
    </row>
    <row r="166" spans="1:150" ht="16.2" thickBot="1" x14ac:dyDescent="0.3">
      <c r="A166" s="1066" t="s">
        <v>825</v>
      </c>
      <c r="B166" s="1067"/>
      <c r="C166" s="174">
        <v>43300</v>
      </c>
      <c r="D166" s="174">
        <v>54200</v>
      </c>
      <c r="E166" s="174">
        <v>52800</v>
      </c>
      <c r="F166" s="174">
        <v>150300</v>
      </c>
      <c r="G166" s="400"/>
      <c r="H166" s="985"/>
      <c r="I166" s="189">
        <v>5.7257966060310084E-2</v>
      </c>
      <c r="J166" s="189">
        <v>7.9143852663016379E-2</v>
      </c>
      <c r="K166" s="190">
        <v>7.6781890486387283E-2</v>
      </c>
      <c r="L166" s="191"/>
      <c r="M166" s="190">
        <v>7.2047840846281241E-2</v>
      </c>
      <c r="N166" s="891"/>
      <c r="O166" s="872"/>
      <c r="P166" s="872"/>
      <c r="Q166" s="872"/>
      <c r="S166" s="193">
        <v>2016</v>
      </c>
      <c r="T166" s="193">
        <f t="shared" si="399"/>
        <v>2013</v>
      </c>
      <c r="ET166" s="95"/>
    </row>
    <row r="167" spans="1:150" ht="13.8" x14ac:dyDescent="0.25">
      <c r="A167" s="981">
        <v>2017</v>
      </c>
      <c r="B167" s="314" t="s">
        <v>710</v>
      </c>
      <c r="C167" s="364">
        <v>43322.645161290326</v>
      </c>
      <c r="D167" s="365">
        <v>53340.451612903227</v>
      </c>
      <c r="E167" s="366">
        <v>49643.838709677417</v>
      </c>
      <c r="F167" s="386">
        <v>146306.93548387097</v>
      </c>
      <c r="G167" s="387">
        <v>146306.93548387097</v>
      </c>
      <c r="H167" s="983" t="s">
        <v>827</v>
      </c>
      <c r="I167" s="359">
        <v>9.3792350794891913E-2</v>
      </c>
      <c r="J167" s="360">
        <v>9.8067835598681388E-2</v>
      </c>
      <c r="K167" s="361">
        <v>8.5755064346282578E-2</v>
      </c>
      <c r="L167" s="362">
        <v>9.2598994248547228E-2</v>
      </c>
      <c r="M167" s="363">
        <v>9.2598994248547228E-2</v>
      </c>
      <c r="N167" s="895"/>
      <c r="O167" s="876"/>
      <c r="P167" s="876"/>
      <c r="Q167" s="876"/>
      <c r="T167" s="193">
        <f t="shared" si="399"/>
        <v>2013</v>
      </c>
      <c r="ET167" s="95"/>
    </row>
    <row r="168" spans="1:150" ht="13.8" x14ac:dyDescent="0.25">
      <c r="A168" s="981"/>
      <c r="B168" s="323" t="s">
        <v>715</v>
      </c>
      <c r="C168" s="364">
        <v>44620.678571428572</v>
      </c>
      <c r="D168" s="365">
        <v>54880.107142857145</v>
      </c>
      <c r="E168" s="366">
        <v>51641.499946411874</v>
      </c>
      <c r="F168" s="367">
        <v>151142.28566069758</v>
      </c>
      <c r="G168" s="368">
        <v>297449.22114456852</v>
      </c>
      <c r="H168" s="984"/>
      <c r="I168" s="369">
        <v>5.798882208485056E-2</v>
      </c>
      <c r="J168" s="370">
        <v>8.059873544479236E-2</v>
      </c>
      <c r="K168" s="371">
        <v>5.5380198451284224E-2</v>
      </c>
      <c r="L168" s="372">
        <v>6.5181826417116451E-2</v>
      </c>
      <c r="M168" s="373">
        <v>7.8493461024362166E-2</v>
      </c>
      <c r="N168" s="895"/>
      <c r="O168" s="876"/>
      <c r="P168" s="876"/>
      <c r="Q168" s="876"/>
      <c r="S168" s="193">
        <v>2017</v>
      </c>
      <c r="T168" s="193">
        <f t="shared" si="399"/>
        <v>2013</v>
      </c>
      <c r="ET168" s="95"/>
    </row>
    <row r="169" spans="1:150" ht="13.8" x14ac:dyDescent="0.25">
      <c r="A169" s="981"/>
      <c r="B169" s="314" t="s">
        <v>718</v>
      </c>
      <c r="C169" s="364">
        <v>47551.225806451614</v>
      </c>
      <c r="D169" s="365">
        <v>59029.903225806454</v>
      </c>
      <c r="E169" s="366">
        <v>56354.548387096773</v>
      </c>
      <c r="F169" s="367">
        <v>162935.67741935485</v>
      </c>
      <c r="G169" s="368">
        <v>460384.89856392337</v>
      </c>
      <c r="H169" s="984"/>
      <c r="I169" s="369">
        <v>0.14258076067772535</v>
      </c>
      <c r="J169" s="370">
        <v>0.16307539571564414</v>
      </c>
      <c r="K169" s="371">
        <v>0.13151555858100608</v>
      </c>
      <c r="L169" s="372">
        <v>0.14602069686869656</v>
      </c>
      <c r="M169" s="373">
        <v>0.10146296042185421</v>
      </c>
      <c r="N169" s="895"/>
      <c r="O169" s="876"/>
      <c r="P169" s="876"/>
      <c r="Q169" s="876"/>
      <c r="S169" s="193">
        <v>2017</v>
      </c>
      <c r="T169" s="193">
        <f t="shared" si="399"/>
        <v>2013</v>
      </c>
      <c r="ET169" s="95"/>
    </row>
    <row r="170" spans="1:150" ht="13.8" x14ac:dyDescent="0.25">
      <c r="A170" s="981"/>
      <c r="B170" s="323" t="s">
        <v>725</v>
      </c>
      <c r="C170" s="364">
        <v>42659.833333333336</v>
      </c>
      <c r="D170" s="365">
        <v>54475.633333333331</v>
      </c>
      <c r="E170" s="366">
        <v>63080.616666666669</v>
      </c>
      <c r="F170" s="367">
        <v>160216.08333333334</v>
      </c>
      <c r="G170" s="368">
        <v>620600.98189725669</v>
      </c>
      <c r="H170" s="984"/>
      <c r="I170" s="369">
        <v>-4.3523655281529287E-2</v>
      </c>
      <c r="J170" s="370">
        <v>2.7894310873688264E-3</v>
      </c>
      <c r="K170" s="371">
        <v>0.17739558213442239</v>
      </c>
      <c r="L170" s="372">
        <v>5.0586704483408518E-2</v>
      </c>
      <c r="M170" s="373">
        <v>8.7862583795647042E-2</v>
      </c>
      <c r="N170" s="895"/>
      <c r="O170" s="876"/>
      <c r="P170" s="876"/>
      <c r="Q170" s="876"/>
      <c r="S170" s="193">
        <v>2017</v>
      </c>
      <c r="T170" s="193">
        <f t="shared" si="399"/>
        <v>2013</v>
      </c>
      <c r="ET170" s="95"/>
    </row>
    <row r="171" spans="1:150" ht="13.8" x14ac:dyDescent="0.25">
      <c r="A171" s="981"/>
      <c r="B171" s="314" t="s">
        <v>730</v>
      </c>
      <c r="C171" s="364">
        <v>46689</v>
      </c>
      <c r="D171" s="365">
        <v>61210.482180166997</v>
      </c>
      <c r="E171" s="366">
        <v>58165.885569130776</v>
      </c>
      <c r="F171" s="367">
        <v>166065.36774929776</v>
      </c>
      <c r="G171" s="368">
        <v>786666.34964655444</v>
      </c>
      <c r="H171" s="984"/>
      <c r="I171" s="369">
        <v>7.0433628868358161E-2</v>
      </c>
      <c r="J171" s="370">
        <v>0.10563493351721123</v>
      </c>
      <c r="K171" s="371">
        <v>6.5401515275028285E-2</v>
      </c>
      <c r="L171" s="372">
        <v>8.1334498557619428E-2</v>
      </c>
      <c r="M171" s="373">
        <v>8.647794921923535E-2</v>
      </c>
      <c r="N171" s="895"/>
      <c r="O171" s="876"/>
      <c r="P171" s="876"/>
      <c r="Q171" s="876"/>
      <c r="S171" s="193">
        <v>2017</v>
      </c>
      <c r="T171" s="193">
        <f t="shared" si="399"/>
        <v>2013</v>
      </c>
      <c r="ET171" s="95"/>
    </row>
    <row r="172" spans="1:150" ht="13.8" x14ac:dyDescent="0.25">
      <c r="A172" s="981"/>
      <c r="B172" s="323" t="s">
        <v>735</v>
      </c>
      <c r="C172" s="364">
        <v>46568.26666666667</v>
      </c>
      <c r="D172" s="365">
        <v>62428.354623662672</v>
      </c>
      <c r="E172" s="366">
        <v>59982.778287697103</v>
      </c>
      <c r="F172" s="367">
        <v>168979.39957802644</v>
      </c>
      <c r="G172" s="368">
        <v>955645.74922458082</v>
      </c>
      <c r="H172" s="984"/>
      <c r="I172" s="369">
        <v>9.9455170606442406E-2</v>
      </c>
      <c r="J172" s="370">
        <v>0.12459611512620143</v>
      </c>
      <c r="K172" s="371">
        <v>9.0546398576375683E-2</v>
      </c>
      <c r="L172" s="372">
        <v>0.10537924959819756</v>
      </c>
      <c r="M172" s="373">
        <v>8.9772932561707153E-2</v>
      </c>
      <c r="N172" s="895"/>
      <c r="O172" s="876"/>
      <c r="P172" s="876"/>
      <c r="Q172" s="876"/>
      <c r="S172" s="193">
        <v>2017</v>
      </c>
      <c r="T172" s="193">
        <f t="shared" si="399"/>
        <v>2013</v>
      </c>
      <c r="ET172" s="95"/>
    </row>
    <row r="173" spans="1:150" ht="13.8" x14ac:dyDescent="0.25">
      <c r="A173" s="981"/>
      <c r="B173" s="314" t="s">
        <v>740</v>
      </c>
      <c r="C173" s="364">
        <v>41982.516129032258</v>
      </c>
      <c r="D173" s="365">
        <v>59796.509359393349</v>
      </c>
      <c r="E173" s="366">
        <v>57596.083340171128</v>
      </c>
      <c r="F173" s="367">
        <v>159375.10882859671</v>
      </c>
      <c r="G173" s="368">
        <v>1115020.8580531776</v>
      </c>
      <c r="H173" s="984"/>
      <c r="I173" s="369">
        <v>7.5278536285108694E-2</v>
      </c>
      <c r="J173" s="370">
        <v>0.13963725360849463</v>
      </c>
      <c r="K173" s="371">
        <v>6.5983456040001512E-2</v>
      </c>
      <c r="L173" s="372">
        <v>9.502970138226563E-2</v>
      </c>
      <c r="M173" s="373">
        <v>9.0521213358614627E-2</v>
      </c>
      <c r="N173" s="895"/>
      <c r="O173" s="876"/>
      <c r="P173" s="876"/>
      <c r="Q173" s="876"/>
      <c r="S173" s="193">
        <v>2017</v>
      </c>
      <c r="T173" s="193">
        <f t="shared" si="399"/>
        <v>2013</v>
      </c>
      <c r="ET173" s="95"/>
    </row>
    <row r="174" spans="1:150" ht="13.8" x14ac:dyDescent="0.25">
      <c r="A174" s="981"/>
      <c r="B174" s="323" t="s">
        <v>752</v>
      </c>
      <c r="C174" s="364">
        <v>45948.580645161288</v>
      </c>
      <c r="D174" s="365">
        <v>62799.193548387098</v>
      </c>
      <c r="E174" s="366">
        <v>59244.419354838712</v>
      </c>
      <c r="F174" s="367">
        <v>167992.19354838709</v>
      </c>
      <c r="G174" s="368">
        <v>1283013.0516015647</v>
      </c>
      <c r="H174" s="984"/>
      <c r="I174" s="369">
        <v>3.9558372007651436E-2</v>
      </c>
      <c r="J174" s="370">
        <v>0.11517024494191513</v>
      </c>
      <c r="K174" s="371">
        <v>3.4462228926215248E-2</v>
      </c>
      <c r="L174" s="372">
        <v>6.4694654771844773E-2</v>
      </c>
      <c r="M174" s="373">
        <v>8.7068532658443942E-2</v>
      </c>
      <c r="N174" s="895"/>
      <c r="O174" s="876"/>
      <c r="P174" s="876"/>
      <c r="Q174" s="876"/>
      <c r="S174" s="193">
        <v>2017</v>
      </c>
      <c r="T174" s="193">
        <f t="shared" si="399"/>
        <v>2013</v>
      </c>
      <c r="ET174" s="95"/>
    </row>
    <row r="175" spans="1:150" ht="13.8" x14ac:dyDescent="0.25">
      <c r="A175" s="981"/>
      <c r="B175" s="314" t="s">
        <v>754</v>
      </c>
      <c r="C175" s="364">
        <v>47964.666666666664</v>
      </c>
      <c r="D175" s="365">
        <v>65386.366666666669</v>
      </c>
      <c r="E175" s="366">
        <v>59174.8</v>
      </c>
      <c r="F175" s="367">
        <v>172525.83333333331</v>
      </c>
      <c r="G175" s="368">
        <v>1455538.884934898</v>
      </c>
      <c r="H175" s="984"/>
      <c r="I175" s="369">
        <v>3.1540356846122011E-2</v>
      </c>
      <c r="J175" s="370">
        <v>0.13104002998284633</v>
      </c>
      <c r="K175" s="371">
        <v>4.3780423487299665E-2</v>
      </c>
      <c r="L175" s="372">
        <v>7.1577712119395676E-2</v>
      </c>
      <c r="M175" s="373">
        <v>8.5209039969855072E-2</v>
      </c>
      <c r="N175" s="895"/>
      <c r="O175" s="876"/>
      <c r="P175" s="876"/>
      <c r="Q175" s="876"/>
      <c r="S175" s="193">
        <v>2017</v>
      </c>
      <c r="T175" s="193">
        <f t="shared" si="399"/>
        <v>2013</v>
      </c>
      <c r="ET175" s="95"/>
    </row>
    <row r="176" spans="1:150" ht="13.8" x14ac:dyDescent="0.25">
      <c r="A176" s="981"/>
      <c r="B176" s="323" t="s">
        <v>755</v>
      </c>
      <c r="C176" s="364">
        <v>47530.290322580644</v>
      </c>
      <c r="D176" s="365">
        <v>62012.258064516129</v>
      </c>
      <c r="E176" s="366">
        <v>57318.258064516129</v>
      </c>
      <c r="F176" s="367">
        <v>166860.80645161291</v>
      </c>
      <c r="G176" s="368">
        <v>1622399.6913865109</v>
      </c>
      <c r="H176" s="984"/>
      <c r="I176" s="369">
        <v>5.9876319864997633E-2</v>
      </c>
      <c r="J176" s="370">
        <v>0.13000547256575165</v>
      </c>
      <c r="K176" s="371">
        <v>7.5431112746605161E-2</v>
      </c>
      <c r="L176" s="372">
        <v>9.044452708126749E-2</v>
      </c>
      <c r="M176" s="373">
        <v>8.5745179600434707E-2</v>
      </c>
      <c r="N176" s="895"/>
      <c r="O176" s="876"/>
      <c r="P176" s="876"/>
      <c r="Q176" s="876"/>
      <c r="S176" s="193">
        <v>2017</v>
      </c>
      <c r="T176" s="193">
        <f t="shared" si="399"/>
        <v>2013</v>
      </c>
      <c r="ET176" s="95"/>
    </row>
    <row r="177" spans="1:150" ht="13.8" x14ac:dyDescent="0.25">
      <c r="A177" s="981"/>
      <c r="B177" s="314" t="s">
        <v>756</v>
      </c>
      <c r="C177" s="364">
        <v>47185.666666666664</v>
      </c>
      <c r="D177" s="365">
        <v>62238.633333333331</v>
      </c>
      <c r="E177" s="366">
        <v>55233</v>
      </c>
      <c r="F177" s="367">
        <v>164657.29999999999</v>
      </c>
      <c r="G177" s="368">
        <v>1787056.9913865109</v>
      </c>
      <c r="H177" s="984"/>
      <c r="I177" s="369">
        <v>3.1431042535409612E-2</v>
      </c>
      <c r="J177" s="370">
        <v>9.0410518908280765E-2</v>
      </c>
      <c r="K177" s="371">
        <v>3.6878557447298475E-2</v>
      </c>
      <c r="L177" s="372">
        <v>5.485673846222161E-2</v>
      </c>
      <c r="M177" s="373">
        <v>8.2823700060650429E-2</v>
      </c>
      <c r="N177" s="895"/>
      <c r="O177" s="876"/>
      <c r="P177" s="876"/>
      <c r="Q177" s="876"/>
      <c r="S177" s="193">
        <v>2017</v>
      </c>
      <c r="T177" s="193">
        <f t="shared" si="399"/>
        <v>2013</v>
      </c>
      <c r="ET177" s="95"/>
    </row>
    <row r="178" spans="1:150" ht="14.4" thickBot="1" x14ac:dyDescent="0.3">
      <c r="A178" s="982"/>
      <c r="B178" s="323" t="s">
        <v>758</v>
      </c>
      <c r="C178" s="364">
        <v>46341.612903225803</v>
      </c>
      <c r="D178" s="365">
        <v>61376.322580645159</v>
      </c>
      <c r="E178" s="366">
        <v>53390.354838709674</v>
      </c>
      <c r="F178" s="367">
        <v>161108.29032258064</v>
      </c>
      <c r="G178" s="368">
        <v>1948165.2817090915</v>
      </c>
      <c r="H178" s="984"/>
      <c r="I178" s="388">
        <v>2.8804727693559136E-2</v>
      </c>
      <c r="J178" s="376">
        <v>8.3272935342361187E-2</v>
      </c>
      <c r="K178" s="377">
        <v>3.1870058392176472E-2</v>
      </c>
      <c r="L178" s="378">
        <v>4.9950438902150562E-2</v>
      </c>
      <c r="M178" s="379">
        <v>8.0027290299421239E-2</v>
      </c>
      <c r="N178" s="895"/>
      <c r="O178" s="876"/>
      <c r="P178" s="876"/>
      <c r="Q178" s="876"/>
      <c r="S178" s="193">
        <v>2017</v>
      </c>
      <c r="T178" s="193">
        <f t="shared" si="399"/>
        <v>2013</v>
      </c>
      <c r="ET178" s="95"/>
    </row>
    <row r="179" spans="1:150" ht="16.2" thickBot="1" x14ac:dyDescent="0.3">
      <c r="A179" s="1066" t="s">
        <v>825</v>
      </c>
      <c r="B179" s="1067"/>
      <c r="C179" s="174">
        <v>45697.081906041996</v>
      </c>
      <c r="D179" s="174">
        <v>59914.517972639296</v>
      </c>
      <c r="E179" s="174">
        <v>56735.506930409698</v>
      </c>
      <c r="F179" s="174">
        <v>162347.10680909097</v>
      </c>
      <c r="G179" s="400"/>
      <c r="H179" s="985"/>
      <c r="I179" s="189">
        <v>5.5862916450791777E-2</v>
      </c>
      <c r="J179" s="189">
        <v>0.10522443568760109</v>
      </c>
      <c r="K179" s="190">
        <v>7.3967520472651538E-2</v>
      </c>
      <c r="L179" s="191"/>
      <c r="M179" s="190">
        <v>8.0027290299421239E-2</v>
      </c>
      <c r="N179" s="891"/>
      <c r="O179" s="872"/>
      <c r="P179" s="872"/>
      <c r="Q179" s="872"/>
      <c r="R179" s="23">
        <f>AVERAGE(C167:C178)</f>
        <v>45697.081906041996</v>
      </c>
      <c r="S179" s="193">
        <v>2017</v>
      </c>
      <c r="T179" s="193">
        <f t="shared" si="399"/>
        <v>2013</v>
      </c>
      <c r="ET179" s="95"/>
    </row>
    <row r="180" spans="1:150" ht="13.8" x14ac:dyDescent="0.25">
      <c r="A180" s="981">
        <v>2018</v>
      </c>
      <c r="B180" s="314" t="s">
        <v>710</v>
      </c>
      <c r="C180" s="364">
        <v>44341</v>
      </c>
      <c r="D180" s="365">
        <v>57672.709677419356</v>
      </c>
      <c r="E180" s="366">
        <v>51027.516129032258</v>
      </c>
      <c r="F180" s="386">
        <v>153041.22580645164</v>
      </c>
      <c r="G180" s="387">
        <v>153041.22580645164</v>
      </c>
      <c r="H180" s="983" t="s">
        <v>828</v>
      </c>
      <c r="I180" s="359">
        <v>2.3506294108273779E-2</v>
      </c>
      <c r="J180" s="360">
        <v>8.1218998593332897E-2</v>
      </c>
      <c r="K180" s="361">
        <v>2.7872087560487362E-2</v>
      </c>
      <c r="L180" s="362">
        <v>4.6028510544006807E-2</v>
      </c>
      <c r="M180" s="363">
        <v>4.6028510544006807E-2</v>
      </c>
      <c r="N180" s="895"/>
      <c r="O180" s="876"/>
      <c r="P180" s="876"/>
      <c r="Q180" s="876"/>
      <c r="T180" s="193">
        <f t="shared" si="399"/>
        <v>2013</v>
      </c>
      <c r="ET180" s="95"/>
    </row>
    <row r="181" spans="1:150" ht="13.8" x14ac:dyDescent="0.25">
      <c r="A181" s="981"/>
      <c r="B181" s="323" t="s">
        <v>715</v>
      </c>
      <c r="C181" s="364">
        <v>44942.607142857145</v>
      </c>
      <c r="D181" s="365">
        <v>57856.382854565039</v>
      </c>
      <c r="E181" s="366">
        <v>51341.142857142855</v>
      </c>
      <c r="F181" s="367">
        <v>154140.13285456505</v>
      </c>
      <c r="G181" s="368">
        <v>307181.35866101668</v>
      </c>
      <c r="H181" s="984"/>
      <c r="I181" s="369">
        <v>7.2147843048426686E-3</v>
      </c>
      <c r="J181" s="370">
        <v>5.4232323270805932E-2</v>
      </c>
      <c r="K181" s="371">
        <v>-5.8161960744884961E-3</v>
      </c>
      <c r="L181" s="372">
        <v>1.9834602743784124E-2</v>
      </c>
      <c r="M181" s="373">
        <v>3.2718651872744697E-2</v>
      </c>
      <c r="N181" s="895"/>
      <c r="O181" s="876"/>
      <c r="P181" s="876"/>
      <c r="Q181" s="876"/>
      <c r="S181" s="193">
        <v>2018</v>
      </c>
      <c r="T181" s="193">
        <f t="shared" ref="T181:T212" si="400">T180+$T$98</f>
        <v>2013</v>
      </c>
      <c r="ET181" s="95"/>
    </row>
    <row r="182" spans="1:150" ht="13.8" x14ac:dyDescent="0.25">
      <c r="A182" s="981"/>
      <c r="B182" s="314" t="s">
        <v>718</v>
      </c>
      <c r="C182" s="364">
        <v>47113.774193548386</v>
      </c>
      <c r="D182" s="365">
        <v>62185.949659172125</v>
      </c>
      <c r="E182" s="366">
        <v>57596.806451612902</v>
      </c>
      <c r="F182" s="367">
        <v>166896.53030433343</v>
      </c>
      <c r="G182" s="368">
        <v>474077.88896535011</v>
      </c>
      <c r="H182" s="984"/>
      <c r="I182" s="369">
        <v>-9.1995864561681823E-3</v>
      </c>
      <c r="J182" s="370">
        <v>5.34652144234911E-2</v>
      </c>
      <c r="K182" s="371">
        <v>2.2043616710103252E-2</v>
      </c>
      <c r="L182" s="372">
        <v>2.4309303816771655E-2</v>
      </c>
      <c r="M182" s="373">
        <v>2.97424838306799E-2</v>
      </c>
      <c r="N182" s="895"/>
      <c r="O182" s="876"/>
      <c r="P182" s="876"/>
      <c r="Q182" s="876"/>
      <c r="S182" s="193">
        <v>2018</v>
      </c>
      <c r="T182" s="193">
        <f t="shared" si="400"/>
        <v>2013</v>
      </c>
      <c r="ET182" s="95"/>
    </row>
    <row r="183" spans="1:150" ht="13.8" x14ac:dyDescent="0.25">
      <c r="A183" s="981"/>
      <c r="B183" s="323" t="s">
        <v>725</v>
      </c>
      <c r="C183" s="364">
        <v>47082.9</v>
      </c>
      <c r="D183" s="365">
        <v>62561.153648976149</v>
      </c>
      <c r="E183" s="366">
        <v>57285.966666666667</v>
      </c>
      <c r="F183" s="367">
        <v>166930.02031564282</v>
      </c>
      <c r="G183" s="368">
        <v>641007.90928099293</v>
      </c>
      <c r="H183" s="984"/>
      <c r="I183" s="369">
        <v>0.10368223035720561</v>
      </c>
      <c r="J183" s="370">
        <v>0.14842453076530518</v>
      </c>
      <c r="K183" s="371">
        <v>-9.1861023341295825E-2</v>
      </c>
      <c r="L183" s="372">
        <v>4.1905511872618817E-2</v>
      </c>
      <c r="M183" s="373">
        <v>3.2882525131284313E-2</v>
      </c>
      <c r="N183" s="895"/>
      <c r="O183" s="876"/>
      <c r="P183" s="876"/>
      <c r="Q183" s="876"/>
      <c r="S183" s="193">
        <v>2018</v>
      </c>
      <c r="T183" s="193">
        <f t="shared" si="400"/>
        <v>2013</v>
      </c>
      <c r="ET183" s="95"/>
    </row>
    <row r="184" spans="1:150" ht="13.8" x14ac:dyDescent="0.25">
      <c r="A184" s="981"/>
      <c r="B184" s="314" t="s">
        <v>730</v>
      </c>
      <c r="C184" s="364">
        <v>47493.258064516129</v>
      </c>
      <c r="D184" s="365">
        <v>64262.548387096773</v>
      </c>
      <c r="E184" s="366">
        <v>58649</v>
      </c>
      <c r="F184" s="367">
        <v>170404.80645161291</v>
      </c>
      <c r="G184" s="368">
        <v>811412.7157326059</v>
      </c>
      <c r="H184" s="984"/>
      <c r="I184" s="369">
        <v>1.722585757921842E-2</v>
      </c>
      <c r="J184" s="370">
        <v>4.9861822652308492E-2</v>
      </c>
      <c r="K184" s="371">
        <v>8.305803756654526E-3</v>
      </c>
      <c r="L184" s="372">
        <v>2.6130907130897052E-2</v>
      </c>
      <c r="M184" s="373">
        <v>3.1457257701654529E-2</v>
      </c>
      <c r="N184" s="895"/>
      <c r="O184" s="876"/>
      <c r="P184" s="876"/>
      <c r="Q184" s="876"/>
      <c r="S184" s="193">
        <v>2018</v>
      </c>
      <c r="T184" s="193">
        <f t="shared" si="400"/>
        <v>2013</v>
      </c>
      <c r="ET184" s="95"/>
    </row>
    <row r="185" spans="1:150" ht="13.8" x14ac:dyDescent="0.25">
      <c r="A185" s="981"/>
      <c r="B185" s="323" t="s">
        <v>735</v>
      </c>
      <c r="C185" s="364">
        <v>47208.633333333331</v>
      </c>
      <c r="D185" s="365">
        <v>65114</v>
      </c>
      <c r="E185" s="366">
        <v>60968.333333333336</v>
      </c>
      <c r="F185" s="367">
        <v>173290.96666666667</v>
      </c>
      <c r="G185" s="368">
        <v>984703.68239927257</v>
      </c>
      <c r="H185" s="984"/>
      <c r="I185" s="369">
        <v>1.3751138114080432E-2</v>
      </c>
      <c r="J185" s="370">
        <v>4.3019640554796373E-2</v>
      </c>
      <c r="K185" s="371">
        <v>1.6430633487985284E-2</v>
      </c>
      <c r="L185" s="372">
        <v>2.5515341511492151E-2</v>
      </c>
      <c r="M185" s="373">
        <v>3.0406594910582285E-2</v>
      </c>
      <c r="N185" s="895"/>
      <c r="O185" s="876"/>
      <c r="P185" s="876"/>
      <c r="Q185" s="876"/>
      <c r="S185" s="193">
        <v>2018</v>
      </c>
      <c r="T185" s="193">
        <f t="shared" si="400"/>
        <v>2013</v>
      </c>
      <c r="ET185" s="95"/>
    </row>
    <row r="186" spans="1:150" ht="13.8" x14ac:dyDescent="0.25">
      <c r="A186" s="981"/>
      <c r="B186" s="314" t="s">
        <v>740</v>
      </c>
      <c r="C186" s="364">
        <v>43204.838709677417</v>
      </c>
      <c r="D186" s="365">
        <v>61430.645161290326</v>
      </c>
      <c r="E186" s="366">
        <v>58824.647880323762</v>
      </c>
      <c r="F186" s="367">
        <v>163460.13175129151</v>
      </c>
      <c r="G186" s="368">
        <v>1148163.8141505641</v>
      </c>
      <c r="H186" s="984"/>
      <c r="I186" s="369">
        <v>2.9115038672012417E-2</v>
      </c>
      <c r="J186" s="370">
        <v>2.7328280854579227E-2</v>
      </c>
      <c r="K186" s="371">
        <v>2.1330695924175046E-2</v>
      </c>
      <c r="L186" s="372">
        <v>2.5631498875323899E-2</v>
      </c>
      <c r="M186" s="373">
        <v>2.9724068261157033E-2</v>
      </c>
      <c r="N186" s="895"/>
      <c r="O186" s="876"/>
      <c r="P186" s="876"/>
      <c r="Q186" s="876"/>
      <c r="S186" s="193">
        <v>2018</v>
      </c>
      <c r="T186" s="193">
        <f t="shared" si="400"/>
        <v>2013</v>
      </c>
      <c r="ET186" s="95"/>
    </row>
    <row r="187" spans="1:150" ht="13.8" x14ac:dyDescent="0.25">
      <c r="A187" s="981"/>
      <c r="B187" s="323" t="s">
        <v>752</v>
      </c>
      <c r="C187" s="364">
        <v>46837.903225806454</v>
      </c>
      <c r="D187" s="365">
        <v>63517.129032258068</v>
      </c>
      <c r="E187" s="366">
        <v>61645.838709677417</v>
      </c>
      <c r="F187" s="367">
        <v>172000.87096774194</v>
      </c>
      <c r="G187" s="368">
        <v>1320164.685118306</v>
      </c>
      <c r="H187" s="984"/>
      <c r="I187" s="369">
        <v>1.935473453495714E-2</v>
      </c>
      <c r="J187" s="370">
        <v>1.1432240500314652E-2</v>
      </c>
      <c r="K187" s="371">
        <v>4.0534102300094056E-2</v>
      </c>
      <c r="L187" s="372">
        <v>2.386228392333134E-2</v>
      </c>
      <c r="M187" s="373">
        <v>2.8956551510029849E-2</v>
      </c>
      <c r="N187" s="895"/>
      <c r="O187" s="876"/>
      <c r="P187" s="876"/>
      <c r="Q187" s="876"/>
      <c r="S187" s="193">
        <v>2018</v>
      </c>
      <c r="T187" s="193">
        <f t="shared" si="400"/>
        <v>2013</v>
      </c>
      <c r="ET187" s="95"/>
    </row>
    <row r="188" spans="1:150" ht="13.8" x14ac:dyDescent="0.25">
      <c r="A188" s="981"/>
      <c r="B188" s="314" t="s">
        <v>754</v>
      </c>
      <c r="C188" s="364">
        <v>49113.5</v>
      </c>
      <c r="D188" s="365">
        <v>64878.033333333333</v>
      </c>
      <c r="E188" s="366">
        <v>61123.966666666667</v>
      </c>
      <c r="F188" s="367">
        <v>175115.5</v>
      </c>
      <c r="G188" s="368">
        <v>1495280.185118306</v>
      </c>
      <c r="H188" s="984"/>
      <c r="I188" s="369">
        <v>2.3951658859994215E-2</v>
      </c>
      <c r="J188" s="370">
        <v>-7.7743015745892355E-3</v>
      </c>
      <c r="K188" s="371">
        <v>3.2939134000734505E-2</v>
      </c>
      <c r="L188" s="372">
        <v>1.5010312465283171E-2</v>
      </c>
      <c r="M188" s="373">
        <v>2.7303496041732656E-2</v>
      </c>
      <c r="N188" s="895"/>
      <c r="O188" s="876"/>
      <c r="P188" s="876"/>
      <c r="Q188" s="876"/>
      <c r="S188" s="193">
        <v>2018</v>
      </c>
      <c r="T188" s="193">
        <f t="shared" si="400"/>
        <v>2013</v>
      </c>
      <c r="ET188" s="95"/>
    </row>
    <row r="189" spans="1:150" ht="13.8" x14ac:dyDescent="0.25">
      <c r="A189" s="981"/>
      <c r="B189" s="323" t="s">
        <v>755</v>
      </c>
      <c r="C189" s="364">
        <v>49354.387096774197</v>
      </c>
      <c r="D189" s="365">
        <v>64632.096774193546</v>
      </c>
      <c r="E189" s="366">
        <v>59720.096774193546</v>
      </c>
      <c r="F189" s="367">
        <v>173706.58064516127</v>
      </c>
      <c r="G189" s="368">
        <v>1668986.7657634672</v>
      </c>
      <c r="H189" s="984"/>
      <c r="I189" s="369">
        <v>3.837756432400672E-2</v>
      </c>
      <c r="J189" s="370">
        <v>4.2247110352791807E-2</v>
      </c>
      <c r="K189" s="371">
        <v>4.1903553785147513E-2</v>
      </c>
      <c r="L189" s="372">
        <v>4.1026855491876901E-2</v>
      </c>
      <c r="M189" s="373">
        <v>2.8714918169851611E-2</v>
      </c>
      <c r="N189" s="895"/>
      <c r="O189" s="876"/>
      <c r="P189" s="876"/>
      <c r="Q189" s="876"/>
      <c r="S189" s="193">
        <v>2018</v>
      </c>
      <c r="T189" s="193">
        <f t="shared" si="400"/>
        <v>2013</v>
      </c>
      <c r="ET189" s="95"/>
    </row>
    <row r="190" spans="1:150" ht="13.8" x14ac:dyDescent="0.25">
      <c r="A190" s="981"/>
      <c r="B190" s="314" t="s">
        <v>756</v>
      </c>
      <c r="C190" s="364">
        <v>48557.066666666666</v>
      </c>
      <c r="D190" s="365">
        <v>64891.366666666669</v>
      </c>
      <c r="E190" s="366">
        <v>58420.066666666666</v>
      </c>
      <c r="F190" s="367">
        <v>171868.5</v>
      </c>
      <c r="G190" s="368">
        <v>1840855.2657634672</v>
      </c>
      <c r="H190" s="984"/>
      <c r="I190" s="369">
        <v>2.9063910650833264E-2</v>
      </c>
      <c r="J190" s="370">
        <v>4.2621972740404065E-2</v>
      </c>
      <c r="K190" s="371">
        <v>5.7702219084001694E-2</v>
      </c>
      <c r="L190" s="372">
        <v>4.3795203735273347E-2</v>
      </c>
      <c r="M190" s="373">
        <v>3.0104397697588992E-2</v>
      </c>
      <c r="N190" s="895"/>
      <c r="O190" s="876"/>
      <c r="P190" s="876"/>
      <c r="Q190" s="876"/>
      <c r="S190" s="193">
        <v>2018</v>
      </c>
      <c r="T190" s="193">
        <f t="shared" si="400"/>
        <v>2013</v>
      </c>
      <c r="ET190" s="95"/>
    </row>
    <row r="191" spans="1:150" ht="14.4" thickBot="1" x14ac:dyDescent="0.3">
      <c r="A191" s="982"/>
      <c r="B191" s="323" t="s">
        <v>758</v>
      </c>
      <c r="C191" s="364">
        <v>45893.451612903227</v>
      </c>
      <c r="D191" s="365">
        <v>61448.193548387098</v>
      </c>
      <c r="E191" s="366">
        <v>54599.774193548386</v>
      </c>
      <c r="F191" s="367">
        <v>161941.41935483873</v>
      </c>
      <c r="G191" s="368">
        <v>2002796.685118306</v>
      </c>
      <c r="H191" s="984"/>
      <c r="I191" s="388">
        <v>-9.6708177002484044E-3</v>
      </c>
      <c r="J191" s="376">
        <v>1.1709884971929474E-3</v>
      </c>
      <c r="K191" s="377">
        <v>2.2652394023083833E-2</v>
      </c>
      <c r="L191" s="378">
        <v>5.1712362572400306E-3</v>
      </c>
      <c r="M191" s="379">
        <v>2.8042488962377599E-2</v>
      </c>
      <c r="N191" s="895"/>
      <c r="O191" s="876"/>
      <c r="P191" s="876"/>
      <c r="Q191" s="876"/>
      <c r="S191" s="193">
        <v>2018</v>
      </c>
      <c r="T191" s="193">
        <f t="shared" si="400"/>
        <v>2013</v>
      </c>
      <c r="ET191" s="95"/>
    </row>
    <row r="192" spans="1:150" ht="16.2" thickBot="1" x14ac:dyDescent="0.3">
      <c r="A192" s="1066" t="s">
        <v>825</v>
      </c>
      <c r="B192" s="1067"/>
      <c r="C192" s="174">
        <f>AVERAGE(C180:C191)</f>
        <v>46761.943337173579</v>
      </c>
      <c r="D192" s="174">
        <f>AVERAGE(D180:D191)</f>
        <v>62537.517395279887</v>
      </c>
      <c r="E192" s="174">
        <f>AVERAGE(E180:E191)</f>
        <v>57600.263027405366</v>
      </c>
      <c r="F192" s="174">
        <f>AVERAGE(F180:F191)</f>
        <v>166899.72375985884</v>
      </c>
      <c r="G192" s="400">
        <f>AVERAGE(G180:G191)</f>
        <v>1070639.3484898421</v>
      </c>
      <c r="H192" s="985"/>
      <c r="I192" s="189">
        <f>(C192-C179)/C179</f>
        <v>2.3302613355510319E-2</v>
      </c>
      <c r="J192" s="189">
        <f>(D192-D179)/D179</f>
        <v>4.3779029046656363E-2</v>
      </c>
      <c r="K192" s="189">
        <f>(E192-E179)/E179</f>
        <v>1.5241885439683404E-2</v>
      </c>
      <c r="L192" s="191">
        <f>(E192-E179)/E179</f>
        <v>1.5241885439683404E-2</v>
      </c>
      <c r="M192" s="190">
        <f>(F192-F179)/F179</f>
        <v>2.8042488962377606E-2</v>
      </c>
      <c r="N192" s="891"/>
      <c r="O192" s="872"/>
      <c r="P192" s="872"/>
      <c r="Q192" s="872"/>
      <c r="S192" s="193">
        <v>2018</v>
      </c>
      <c r="T192" s="193">
        <f t="shared" si="400"/>
        <v>2013</v>
      </c>
      <c r="ET192" s="95"/>
    </row>
    <row r="193" spans="1:150" ht="13.8" x14ac:dyDescent="0.25">
      <c r="A193" s="981">
        <v>2019</v>
      </c>
      <c r="B193" s="314" t="s">
        <v>710</v>
      </c>
      <c r="C193" s="364">
        <v>44642.741935483871</v>
      </c>
      <c r="D193" s="365">
        <v>58065.774193548386</v>
      </c>
      <c r="E193" s="366">
        <v>52814.774193548386</v>
      </c>
      <c r="F193" s="386">
        <v>155523.29032258064</v>
      </c>
      <c r="G193" s="387">
        <v>155523.29032258064</v>
      </c>
      <c r="H193" s="983" t="s">
        <v>828</v>
      </c>
      <c r="I193" s="401">
        <v>6.8050322609745206E-3</v>
      </c>
      <c r="J193" s="402">
        <v>6.8154334749928915E-3</v>
      </c>
      <c r="K193" s="403">
        <v>3.502537846437058E-2</v>
      </c>
      <c r="L193" s="404">
        <v>1.6218273886985379E-2</v>
      </c>
      <c r="M193" s="405">
        <v>1.6218273886985379E-2</v>
      </c>
      <c r="N193" s="898"/>
      <c r="O193" s="879"/>
      <c r="P193" s="879"/>
      <c r="Q193" s="879"/>
      <c r="S193" s="193"/>
      <c r="T193" s="193">
        <f t="shared" si="400"/>
        <v>2013</v>
      </c>
      <c r="ET193" s="95"/>
    </row>
    <row r="194" spans="1:150" ht="13.8" x14ac:dyDescent="0.25">
      <c r="A194" s="981"/>
      <c r="B194" s="323" t="s">
        <v>715</v>
      </c>
      <c r="C194" s="364">
        <v>46672.785714285717</v>
      </c>
      <c r="D194" s="365">
        <v>61999.285714285717</v>
      </c>
      <c r="E194" s="366">
        <v>56348</v>
      </c>
      <c r="F194" s="367">
        <v>165020.07142857142</v>
      </c>
      <c r="G194" s="368">
        <v>320543.36175115209</v>
      </c>
      <c r="H194" s="984"/>
      <c r="I194" s="369">
        <v>3.8497512303390137E-2</v>
      </c>
      <c r="J194" s="370">
        <v>7.1606669053867242E-2</v>
      </c>
      <c r="K194" s="371">
        <v>9.7521341836677947E-2</v>
      </c>
      <c r="L194" s="372">
        <v>7.058472295642737E-2</v>
      </c>
      <c r="M194" s="373">
        <v>4.3498743375507853E-2</v>
      </c>
      <c r="N194" s="895"/>
      <c r="O194" s="876"/>
      <c r="P194" s="876"/>
      <c r="Q194" s="876"/>
      <c r="S194" s="193">
        <v>2019</v>
      </c>
      <c r="T194" s="193">
        <f t="shared" si="400"/>
        <v>2013</v>
      </c>
      <c r="ET194" s="95"/>
    </row>
    <row r="195" spans="1:150" ht="13.8" x14ac:dyDescent="0.25">
      <c r="A195" s="981"/>
      <c r="B195" s="314" t="s">
        <v>718</v>
      </c>
      <c r="C195" s="364">
        <v>48267.870967741932</v>
      </c>
      <c r="D195" s="365">
        <v>63392.258064516129</v>
      </c>
      <c r="E195" s="366">
        <v>56616.741935483871</v>
      </c>
      <c r="F195" s="367">
        <v>168276.87096774194</v>
      </c>
      <c r="G195" s="368">
        <v>488820.23271889403</v>
      </c>
      <c r="H195" s="984"/>
      <c r="I195" s="369">
        <v>2.4495952488382558E-2</v>
      </c>
      <c r="J195" s="370">
        <v>1.9398407710351315E-2</v>
      </c>
      <c r="K195" s="371">
        <v>-1.7015952385352875E-2</v>
      </c>
      <c r="L195" s="372">
        <v>8.2706372678418294E-3</v>
      </c>
      <c r="M195" s="373">
        <v>3.1096881117401054E-2</v>
      </c>
      <c r="N195" s="895"/>
      <c r="O195" s="876"/>
      <c r="P195" s="876"/>
      <c r="Q195" s="876"/>
      <c r="S195" s="193">
        <v>2019</v>
      </c>
      <c r="T195" s="193">
        <f t="shared" si="400"/>
        <v>2013</v>
      </c>
      <c r="ET195" s="95"/>
    </row>
    <row r="196" spans="1:150" ht="13.8" x14ac:dyDescent="0.25">
      <c r="A196" s="981"/>
      <c r="B196" s="323" t="s">
        <v>725</v>
      </c>
      <c r="C196" s="364">
        <v>44721.599999999999</v>
      </c>
      <c r="D196" s="365">
        <v>61176.3</v>
      </c>
      <c r="E196" s="366">
        <v>56750.2</v>
      </c>
      <c r="F196" s="367">
        <v>162648.09999999998</v>
      </c>
      <c r="G196" s="368">
        <v>651468.332718894</v>
      </c>
      <c r="H196" s="984"/>
      <c r="I196" s="369">
        <v>-5.0151966000395107E-2</v>
      </c>
      <c r="J196" s="370">
        <v>-2.2135999229592376E-2</v>
      </c>
      <c r="K196" s="371">
        <v>-9.3524941245064098E-3</v>
      </c>
      <c r="L196" s="372">
        <v>-2.5650990202638724E-2</v>
      </c>
      <c r="M196" s="373">
        <v>1.6318711963529964E-2</v>
      </c>
      <c r="N196" s="895"/>
      <c r="O196" s="876"/>
      <c r="P196" s="876"/>
      <c r="Q196" s="876"/>
      <c r="S196" s="193">
        <v>2019</v>
      </c>
      <c r="T196" s="193">
        <f t="shared" si="400"/>
        <v>2013</v>
      </c>
      <c r="ET196" s="95"/>
    </row>
    <row r="197" spans="1:150" ht="13.8" x14ac:dyDescent="0.25">
      <c r="A197" s="981"/>
      <c r="B197" s="314" t="s">
        <v>730</v>
      </c>
      <c r="C197" s="364">
        <v>48394.677419354841</v>
      </c>
      <c r="D197" s="365">
        <v>67411.387096774197</v>
      </c>
      <c r="E197" s="366">
        <v>62668.322580645159</v>
      </c>
      <c r="F197" s="367">
        <v>178474.38709677418</v>
      </c>
      <c r="G197" s="368">
        <v>829942.71981566818</v>
      </c>
      <c r="H197" s="984"/>
      <c r="I197" s="369">
        <v>1.8979943503016777E-2</v>
      </c>
      <c r="J197" s="370">
        <v>4.8999592899893106E-2</v>
      </c>
      <c r="K197" s="371">
        <v>6.853181777430406E-2</v>
      </c>
      <c r="L197" s="372">
        <v>4.7355358180302565E-2</v>
      </c>
      <c r="M197" s="373">
        <v>2.2836718877805584E-2</v>
      </c>
      <c r="N197" s="895"/>
      <c r="O197" s="876"/>
      <c r="P197" s="876"/>
      <c r="Q197" s="876"/>
      <c r="S197" s="193">
        <v>2019</v>
      </c>
      <c r="T197" s="193">
        <f t="shared" si="400"/>
        <v>2013</v>
      </c>
      <c r="ET197" s="95"/>
    </row>
    <row r="198" spans="1:150" ht="13.8" x14ac:dyDescent="0.25">
      <c r="A198" s="981"/>
      <c r="B198" s="323" t="s">
        <v>735</v>
      </c>
      <c r="C198" s="364">
        <v>44990.2</v>
      </c>
      <c r="D198" s="365">
        <v>64227.3</v>
      </c>
      <c r="E198" s="366">
        <v>61506.366666666669</v>
      </c>
      <c r="F198" s="367">
        <v>170723.86666666667</v>
      </c>
      <c r="G198" s="368">
        <v>1000666.5864823349</v>
      </c>
      <c r="H198" s="984"/>
      <c r="I198" s="369">
        <v>-4.699211090626787E-2</v>
      </c>
      <c r="J198" s="370">
        <v>-1.3617655189360154E-2</v>
      </c>
      <c r="K198" s="371">
        <v>8.8247997594379513E-3</v>
      </c>
      <c r="L198" s="372">
        <v>-1.4813813145482357E-2</v>
      </c>
      <c r="M198" s="373">
        <v>1.6210870710027248E-2</v>
      </c>
      <c r="N198" s="895"/>
      <c r="O198" s="876"/>
      <c r="P198" s="876"/>
      <c r="Q198" s="876"/>
      <c r="S198" s="193">
        <v>2019</v>
      </c>
      <c r="T198" s="193">
        <f t="shared" si="400"/>
        <v>2013</v>
      </c>
      <c r="ET198" s="95"/>
    </row>
    <row r="199" spans="1:150" ht="13.8" x14ac:dyDescent="0.25">
      <c r="A199" s="981"/>
      <c r="B199" s="314" t="s">
        <v>740</v>
      </c>
      <c r="C199" s="364">
        <v>43749.258064516129</v>
      </c>
      <c r="D199" s="365">
        <v>62981.677419354841</v>
      </c>
      <c r="E199" s="366">
        <v>60408.806451612902</v>
      </c>
      <c r="F199" s="367">
        <v>167139.74193548388</v>
      </c>
      <c r="G199" s="368">
        <v>1167806.3284178188</v>
      </c>
      <c r="H199" s="984"/>
      <c r="I199" s="369">
        <v>1.2600888490685835E-2</v>
      </c>
      <c r="J199" s="370">
        <v>2.5248509990285384E-2</v>
      </c>
      <c r="K199" s="371">
        <v>2.6930183662332196E-2</v>
      </c>
      <c r="L199" s="372">
        <v>2.2510750142982872E-2</v>
      </c>
      <c r="M199" s="373">
        <v>1.7107762869000176E-2</v>
      </c>
      <c r="N199" s="895"/>
      <c r="O199" s="876"/>
      <c r="P199" s="876"/>
      <c r="Q199" s="876"/>
      <c r="S199" s="193">
        <v>2019</v>
      </c>
      <c r="T199" s="193">
        <f t="shared" si="400"/>
        <v>2013</v>
      </c>
      <c r="ET199" s="95"/>
    </row>
    <row r="200" spans="1:150" ht="13.8" x14ac:dyDescent="0.25">
      <c r="A200" s="981"/>
      <c r="B200" s="323" t="s">
        <v>752</v>
      </c>
      <c r="C200" s="364">
        <v>46647.354838709674</v>
      </c>
      <c r="D200" s="365">
        <v>63398.516129032258</v>
      </c>
      <c r="E200" s="366">
        <v>62568.06451612903</v>
      </c>
      <c r="F200" s="367">
        <v>172613.93548387097</v>
      </c>
      <c r="G200" s="368">
        <v>1340420.2639016898</v>
      </c>
      <c r="H200" s="984"/>
      <c r="I200" s="369">
        <v>-4.068251863840756E-3</v>
      </c>
      <c r="J200" s="370">
        <v>-1.8674160031000647E-3</v>
      </c>
      <c r="K200" s="371">
        <v>1.4960065849616526E-2</v>
      </c>
      <c r="L200" s="372">
        <v>3.564310533311188E-3</v>
      </c>
      <c r="M200" s="373">
        <v>1.5343221199382917E-2</v>
      </c>
      <c r="N200" s="895"/>
      <c r="O200" s="876"/>
      <c r="P200" s="876"/>
      <c r="Q200" s="876"/>
      <c r="S200" s="193">
        <v>2019</v>
      </c>
      <c r="T200" s="193">
        <f t="shared" si="400"/>
        <v>2013</v>
      </c>
      <c r="ET200" s="95"/>
    </row>
    <row r="201" spans="1:150" ht="13.8" x14ac:dyDescent="0.25">
      <c r="A201" s="981"/>
      <c r="B201" s="314" t="s">
        <v>754</v>
      </c>
      <c r="C201" s="364">
        <v>48423.7</v>
      </c>
      <c r="D201" s="365">
        <v>64866.3</v>
      </c>
      <c r="E201" s="366">
        <v>62377.751281927784</v>
      </c>
      <c r="F201" s="367">
        <v>175667.75128192778</v>
      </c>
      <c r="G201" s="368">
        <v>1516088.0151836176</v>
      </c>
      <c r="H201" s="984"/>
      <c r="I201" s="369">
        <v>-1.404501817219304E-2</v>
      </c>
      <c r="J201" s="370">
        <v>-1.8085217338580347E-4</v>
      </c>
      <c r="K201" s="371">
        <v>2.0512160509780119E-2</v>
      </c>
      <c r="L201" s="372">
        <v>3.1536402084781923E-3</v>
      </c>
      <c r="M201" s="373">
        <v>1.3915672977145244E-2</v>
      </c>
      <c r="N201" s="895"/>
      <c r="O201" s="876"/>
      <c r="P201" s="876"/>
      <c r="Q201" s="876"/>
      <c r="S201" s="193">
        <v>2019</v>
      </c>
      <c r="T201" s="193">
        <f t="shared" si="400"/>
        <v>2013</v>
      </c>
      <c r="ET201" s="95"/>
    </row>
    <row r="202" spans="1:150" ht="13.8" x14ac:dyDescent="0.25">
      <c r="A202" s="981"/>
      <c r="B202" s="323" t="s">
        <v>755</v>
      </c>
      <c r="C202" s="390">
        <v>48885.387096774197</v>
      </c>
      <c r="D202" s="391">
        <v>66077.548387096773</v>
      </c>
      <c r="E202" s="392">
        <v>61538.261715171757</v>
      </c>
      <c r="F202" s="393">
        <v>176501.19719904271</v>
      </c>
      <c r="G202" s="394">
        <v>1692589.2123826602</v>
      </c>
      <c r="H202" s="984"/>
      <c r="I202" s="395">
        <v>-9.5027013319076113E-3</v>
      </c>
      <c r="J202" s="396">
        <v>2.2364300170443649E-2</v>
      </c>
      <c r="K202" s="397">
        <v>3.0444775530971392E-2</v>
      </c>
      <c r="L202" s="398">
        <v>1.6088144407091498E-2</v>
      </c>
      <c r="M202" s="399">
        <v>1.4141781770448114E-2</v>
      </c>
      <c r="N202" s="897"/>
      <c r="O202" s="878"/>
      <c r="P202" s="878"/>
      <c r="Q202" s="878"/>
      <c r="S202" s="193">
        <v>2019</v>
      </c>
      <c r="T202" s="193">
        <f t="shared" si="400"/>
        <v>2013</v>
      </c>
      <c r="ET202" s="95"/>
    </row>
    <row r="203" spans="1:150" ht="13.8" x14ac:dyDescent="0.25">
      <c r="A203" s="981"/>
      <c r="B203" s="314" t="s">
        <v>756</v>
      </c>
      <c r="C203" s="364">
        <v>47883.533333333333</v>
      </c>
      <c r="D203" s="365">
        <v>64801.866666666669</v>
      </c>
      <c r="E203" s="366">
        <v>59477.23333333333</v>
      </c>
      <c r="F203" s="367">
        <v>172162.63333333333</v>
      </c>
      <c r="G203" s="368">
        <v>1864751.8457159935</v>
      </c>
      <c r="H203" s="984"/>
      <c r="I203" s="369">
        <v>-1.3870964198825839E-2</v>
      </c>
      <c r="J203" s="370">
        <v>-1.379228156185132E-3</v>
      </c>
      <c r="K203" s="371">
        <v>1.8095951048783424E-2</v>
      </c>
      <c r="L203" s="372">
        <v>1.7113859336255199E-3</v>
      </c>
      <c r="M203" s="373">
        <v>1.2981237795800071E-2</v>
      </c>
      <c r="N203" s="895"/>
      <c r="O203" s="876"/>
      <c r="P203" s="876"/>
      <c r="Q203" s="876"/>
      <c r="S203" s="193">
        <v>2019</v>
      </c>
      <c r="T203" s="193">
        <f t="shared" si="400"/>
        <v>2013</v>
      </c>
      <c r="ET203" s="95"/>
    </row>
    <row r="204" spans="1:150" ht="14.4" thickBot="1" x14ac:dyDescent="0.3">
      <c r="A204" s="982"/>
      <c r="B204" s="323" t="s">
        <v>758</v>
      </c>
      <c r="C204" s="364">
        <v>44881.161290322583</v>
      </c>
      <c r="D204" s="365">
        <v>60800.129032258068</v>
      </c>
      <c r="E204" s="366">
        <v>54568.806451612902</v>
      </c>
      <c r="F204" s="367">
        <v>160250.09677419355</v>
      </c>
      <c r="G204" s="368">
        <v>2025001.942490187</v>
      </c>
      <c r="H204" s="984"/>
      <c r="I204" s="388">
        <v>-2.2057402243766566E-2</v>
      </c>
      <c r="J204" s="376">
        <v>-1.0546518598935134E-2</v>
      </c>
      <c r="K204" s="377">
        <v>-5.6717710636876621E-4</v>
      </c>
      <c r="L204" s="378">
        <v>-1.0444039501341096E-2</v>
      </c>
      <c r="M204" s="379">
        <v>1.1087125087072547E-2</v>
      </c>
      <c r="N204" s="895"/>
      <c r="O204" s="876"/>
      <c r="P204" s="876"/>
      <c r="Q204" s="876"/>
      <c r="S204" s="193">
        <v>2019</v>
      </c>
      <c r="T204" s="193">
        <f t="shared" si="400"/>
        <v>2013</v>
      </c>
      <c r="ET204" s="95"/>
    </row>
    <row r="205" spans="1:150" ht="16.2" thickBot="1" x14ac:dyDescent="0.3">
      <c r="A205" s="1066" t="s">
        <v>825</v>
      </c>
      <c r="B205" s="1067"/>
      <c r="C205" s="406">
        <v>46510</v>
      </c>
      <c r="D205" s="406">
        <v>63270</v>
      </c>
      <c r="E205" s="406">
        <v>58970</v>
      </c>
      <c r="F205" s="406">
        <v>168750</v>
      </c>
      <c r="G205" s="400"/>
      <c r="H205" s="985"/>
      <c r="I205" s="189">
        <v>-5.3464499572284385E-3</v>
      </c>
      <c r="J205" s="189">
        <v>1.1672529581068014E-2</v>
      </c>
      <c r="K205" s="190">
        <v>2.3784722222222276E-2</v>
      </c>
      <c r="L205" s="407"/>
      <c r="M205" s="190">
        <v>1.1087125087072547E-2</v>
      </c>
      <c r="N205" s="891"/>
      <c r="O205" s="872"/>
      <c r="P205" s="872"/>
      <c r="Q205" s="872"/>
      <c r="S205" s="193">
        <v>2019</v>
      </c>
      <c r="T205" s="193">
        <f t="shared" si="400"/>
        <v>2013</v>
      </c>
    </row>
    <row r="206" spans="1:150" ht="14.25" customHeight="1" x14ac:dyDescent="0.25">
      <c r="A206" s="1068">
        <v>2020</v>
      </c>
      <c r="B206" s="509" t="s">
        <v>710</v>
      </c>
      <c r="C206" s="511">
        <v>43332.290322580644</v>
      </c>
      <c r="D206" s="512">
        <v>57700.516129032258</v>
      </c>
      <c r="E206" s="513">
        <v>52034.419354838712</v>
      </c>
      <c r="F206" s="516">
        <v>153067.22580645164</v>
      </c>
      <c r="G206" s="517">
        <v>153067.22580645164</v>
      </c>
      <c r="H206" s="1070" t="s">
        <v>828</v>
      </c>
      <c r="I206" s="260">
        <v>-2.9354191881785532E-2</v>
      </c>
      <c r="J206" s="261">
        <v>-6.2904192631381833E-3</v>
      </c>
      <c r="K206" s="262">
        <v>-1.4775313359287239E-2</v>
      </c>
      <c r="L206" s="263">
        <v>-1.5792261795868123E-2</v>
      </c>
      <c r="M206" s="264">
        <v>-1.5792261795868123E-2</v>
      </c>
      <c r="N206" s="899"/>
      <c r="O206" s="880"/>
      <c r="P206" s="880"/>
      <c r="Q206" s="880"/>
      <c r="T206" s="193">
        <f t="shared" si="400"/>
        <v>2013</v>
      </c>
    </row>
    <row r="207" spans="1:150" ht="13.8" x14ac:dyDescent="0.25">
      <c r="A207" s="1068"/>
      <c r="B207" s="510" t="s">
        <v>715</v>
      </c>
      <c r="C207" s="511">
        <v>45272.517241379312</v>
      </c>
      <c r="D207" s="512">
        <v>61550.793103448275</v>
      </c>
      <c r="E207" s="513">
        <v>56757.310344827587</v>
      </c>
      <c r="F207" s="514">
        <v>163580.62068965519</v>
      </c>
      <c r="G207" s="515">
        <v>316647.84649610682</v>
      </c>
      <c r="H207" s="1071"/>
      <c r="I207" s="245">
        <v>-3.0001819078860088E-2</v>
      </c>
      <c r="J207" s="246">
        <v>-7.2338351268150421E-3</v>
      </c>
      <c r="K207" s="247">
        <v>7.2639728974868136E-3</v>
      </c>
      <c r="L207" s="248">
        <v>-8.7228827769554318E-3</v>
      </c>
      <c r="M207" s="249">
        <v>-1.2152849566947066E-2</v>
      </c>
      <c r="N207" s="900"/>
      <c r="O207" s="881"/>
      <c r="P207" s="881"/>
      <c r="Q207" s="881"/>
      <c r="S207" s="193">
        <v>2020</v>
      </c>
      <c r="T207" s="193">
        <f t="shared" si="400"/>
        <v>2013</v>
      </c>
    </row>
    <row r="208" spans="1:150" ht="13.8" x14ac:dyDescent="0.25">
      <c r="A208" s="1068"/>
      <c r="B208" s="509" t="s">
        <v>718</v>
      </c>
      <c r="C208" s="511">
        <v>35126.774193548386</v>
      </c>
      <c r="D208" s="512">
        <v>51849.741935483871</v>
      </c>
      <c r="E208" s="513">
        <v>46524.032258064515</v>
      </c>
      <c r="F208" s="514">
        <v>133500.54838709679</v>
      </c>
      <c r="G208" s="515">
        <v>450148.39488320361</v>
      </c>
      <c r="H208" s="1071"/>
      <c r="I208" s="245">
        <v>-0.27225349928891451</v>
      </c>
      <c r="J208" s="246">
        <v>-0.18208084837875796</v>
      </c>
      <c r="K208" s="247">
        <v>-0.17826369607986697</v>
      </c>
      <c r="L208" s="248">
        <v>-0.20666133367378603</v>
      </c>
      <c r="M208" s="249">
        <v>-7.9112596507291966E-2</v>
      </c>
      <c r="N208" s="900"/>
      <c r="O208" s="881"/>
      <c r="P208" s="881"/>
      <c r="Q208" s="881"/>
      <c r="S208" s="193">
        <v>2020</v>
      </c>
      <c r="T208" s="193">
        <f t="shared" si="400"/>
        <v>2013</v>
      </c>
    </row>
    <row r="209" spans="1:20" ht="13.8" x14ac:dyDescent="0.25">
      <c r="A209" s="1068"/>
      <c r="B209" s="510" t="s">
        <v>725</v>
      </c>
      <c r="C209" s="511">
        <v>28013.166666666668</v>
      </c>
      <c r="D209" s="512">
        <v>47126.400000000001</v>
      </c>
      <c r="E209" s="513">
        <v>42406.9</v>
      </c>
      <c r="F209" s="514">
        <v>117546.46666666667</v>
      </c>
      <c r="G209" s="515">
        <v>567694.86154987034</v>
      </c>
      <c r="H209" s="1071"/>
      <c r="I209" s="245">
        <v>-0.37360991854793502</v>
      </c>
      <c r="J209" s="246">
        <v>-0.22966246732803391</v>
      </c>
      <c r="K209" s="247">
        <v>-0.25274448371988112</v>
      </c>
      <c r="L209" s="248">
        <v>-0.27729578970386559</v>
      </c>
      <c r="M209" s="249">
        <v>-0.12859177792939869</v>
      </c>
      <c r="N209" s="900"/>
      <c r="O209" s="881"/>
      <c r="P209" s="881"/>
      <c r="Q209" s="881"/>
      <c r="S209" s="193">
        <v>2020</v>
      </c>
      <c r="T209" s="193">
        <f t="shared" si="400"/>
        <v>2013</v>
      </c>
    </row>
    <row r="210" spans="1:20" ht="13.8" x14ac:dyDescent="0.25">
      <c r="A210" s="1068"/>
      <c r="B210" s="509" t="s">
        <v>730</v>
      </c>
      <c r="C210" s="511">
        <v>39763.387096774197</v>
      </c>
      <c r="D210" s="512">
        <v>63616.93548387097</v>
      </c>
      <c r="E210" s="513">
        <v>58081</v>
      </c>
      <c r="F210" s="514">
        <v>161461.32258064515</v>
      </c>
      <c r="G210" s="515">
        <v>729156.18413051544</v>
      </c>
      <c r="H210" s="1071"/>
      <c r="I210" s="245">
        <v>-1.5505598997114897E-2</v>
      </c>
      <c r="J210" s="246">
        <v>3.2133272507692656E-2</v>
      </c>
      <c r="K210" s="247">
        <v>1.2254015979917479E-2</v>
      </c>
      <c r="L210" s="248">
        <v>1.2417322631711691E-2</v>
      </c>
      <c r="M210" s="249">
        <v>-9.8600876340504406E-2</v>
      </c>
      <c r="N210" s="900"/>
      <c r="O210" s="881"/>
      <c r="P210" s="881"/>
      <c r="Q210" s="881"/>
      <c r="S210" s="193">
        <v>2020</v>
      </c>
      <c r="T210" s="193">
        <f t="shared" si="400"/>
        <v>2013</v>
      </c>
    </row>
    <row r="211" spans="1:20" ht="13.8" x14ac:dyDescent="0.25">
      <c r="A211" s="1068"/>
      <c r="B211" s="510" t="s">
        <v>735</v>
      </c>
      <c r="C211" s="511">
        <v>44292.6</v>
      </c>
      <c r="D211" s="512">
        <v>66291.133333333331</v>
      </c>
      <c r="E211" s="513">
        <v>62260.066666666666</v>
      </c>
      <c r="F211" s="514">
        <v>172843.8</v>
      </c>
      <c r="G211" s="515">
        <v>901999.98413051548</v>
      </c>
      <c r="H211" s="1071"/>
      <c r="I211" s="245">
        <v>-1.5505598997114897E-2</v>
      </c>
      <c r="J211" s="246">
        <v>3.2133272507692656E-2</v>
      </c>
      <c r="K211" s="247">
        <v>1.2254015979917479E-2</v>
      </c>
      <c r="L211" s="248">
        <v>1.2417322631711691E-2</v>
      </c>
      <c r="M211" s="249">
        <v>-9.8600876340504406E-2</v>
      </c>
      <c r="N211" s="900"/>
      <c r="O211" s="881"/>
      <c r="P211" s="881"/>
      <c r="Q211" s="881"/>
      <c r="S211" s="193">
        <v>2020</v>
      </c>
      <c r="T211" s="193">
        <f t="shared" si="400"/>
        <v>2013</v>
      </c>
    </row>
    <row r="212" spans="1:20" ht="13.8" x14ac:dyDescent="0.25">
      <c r="A212" s="1068"/>
      <c r="B212" s="509" t="s">
        <v>740</v>
      </c>
      <c r="C212" s="511">
        <v>39867.677419354841</v>
      </c>
      <c r="D212" s="512">
        <v>62533.677419354841</v>
      </c>
      <c r="E212" s="513">
        <v>59020.225806451614</v>
      </c>
      <c r="F212" s="514">
        <v>161421.5806451613</v>
      </c>
      <c r="G212" s="515">
        <v>1063421.5647756767</v>
      </c>
      <c r="H212" s="1071"/>
      <c r="I212" s="245">
        <v>-8.8723347935117006E-2</v>
      </c>
      <c r="J212" s="246">
        <v>-7.1131798700287642E-3</v>
      </c>
      <c r="K212" s="247">
        <v>-2.2986394314437133E-2</v>
      </c>
      <c r="L212" s="248">
        <v>-3.4211859035475745E-2</v>
      </c>
      <c r="M212" s="249">
        <v>-8.9385338220906774E-2</v>
      </c>
      <c r="N212" s="900"/>
      <c r="O212" s="881"/>
      <c r="P212" s="881"/>
      <c r="Q212" s="881"/>
      <c r="S212" s="193">
        <v>2020</v>
      </c>
      <c r="T212" s="193">
        <f t="shared" si="400"/>
        <v>2013</v>
      </c>
    </row>
    <row r="213" spans="1:20" ht="13.8" x14ac:dyDescent="0.25">
      <c r="A213" s="1068"/>
      <c r="B213" s="510" t="s">
        <v>752</v>
      </c>
      <c r="C213" s="511">
        <v>40612.612903225803</v>
      </c>
      <c r="D213" s="512">
        <v>61342.225806451614</v>
      </c>
      <c r="E213" s="513">
        <v>58116.096774193546</v>
      </c>
      <c r="F213" s="514">
        <v>160070.93548387097</v>
      </c>
      <c r="G213" s="515">
        <v>1223492.5002595477</v>
      </c>
      <c r="H213" s="1071"/>
      <c r="I213" s="245">
        <v>-0.12936943490900843</v>
      </c>
      <c r="J213" s="246">
        <v>-3.2434360425653577E-2</v>
      </c>
      <c r="K213" s="247">
        <v>-7.1153994875258447E-2</v>
      </c>
      <c r="L213" s="248">
        <v>-7.2665048536431853E-2</v>
      </c>
      <c r="M213" s="249">
        <v>-8.7232166501115982E-2</v>
      </c>
      <c r="N213" s="900"/>
      <c r="O213" s="881"/>
      <c r="P213" s="881"/>
      <c r="Q213" s="881"/>
      <c r="S213" s="193">
        <v>2020</v>
      </c>
      <c r="T213" s="193">
        <f t="shared" ref="T213:T244" si="401">T212+$T$98</f>
        <v>2013</v>
      </c>
    </row>
    <row r="214" spans="1:20" ht="13.8" x14ac:dyDescent="0.25">
      <c r="A214" s="1068"/>
      <c r="B214" s="509" t="s">
        <v>754</v>
      </c>
      <c r="C214" s="511">
        <v>44213.633333333331</v>
      </c>
      <c r="D214" s="512">
        <v>64904.866666666669</v>
      </c>
      <c r="E214" s="513">
        <v>58732.26666666667</v>
      </c>
      <c r="F214" s="514">
        <v>167850.76666666666</v>
      </c>
      <c r="G214" s="515">
        <v>1391343.2669262143</v>
      </c>
      <c r="H214" s="1071"/>
      <c r="I214" s="245">
        <v>-8.6942275511096137E-2</v>
      </c>
      <c r="J214" s="246">
        <v>5.9455628988651572E-4</v>
      </c>
      <c r="K214" s="247">
        <v>-5.8442065325257905E-2</v>
      </c>
      <c r="L214" s="248">
        <v>-4.4498688906854045E-2</v>
      </c>
      <c r="M214" s="249">
        <v>-8.2280676984505474E-2</v>
      </c>
      <c r="N214" s="900"/>
      <c r="O214" s="881"/>
      <c r="P214" s="881"/>
      <c r="Q214" s="881"/>
      <c r="R214" s="23"/>
      <c r="S214" s="193">
        <v>2020</v>
      </c>
      <c r="T214" s="193">
        <f>T213+$T$98</f>
        <v>2013</v>
      </c>
    </row>
    <row r="215" spans="1:20" ht="13.8" x14ac:dyDescent="0.25">
      <c r="A215" s="1068"/>
      <c r="B215" s="510" t="s">
        <v>755</v>
      </c>
      <c r="C215" s="519">
        <v>35015.451612903227</v>
      </c>
      <c r="D215" s="520">
        <v>55922.645161290326</v>
      </c>
      <c r="E215" s="521">
        <v>50345.129032258068</v>
      </c>
      <c r="F215" s="522">
        <v>141283.22580645161</v>
      </c>
      <c r="G215" s="523">
        <v>1532626.492732666</v>
      </c>
      <c r="H215" s="1071"/>
      <c r="I215" s="255">
        <v>-0.2837235482336235</v>
      </c>
      <c r="J215" s="256">
        <v>-0.15368159796602618</v>
      </c>
      <c r="K215" s="257">
        <v>-0.18188899671428505</v>
      </c>
      <c r="L215" s="258">
        <v>-0.19953389524534126</v>
      </c>
      <c r="M215" s="259">
        <v>-9.4507703629290285E-2</v>
      </c>
      <c r="N215" s="901"/>
      <c r="O215" s="882"/>
      <c r="P215" s="882"/>
      <c r="Q215" s="882"/>
      <c r="R215" s="23"/>
      <c r="S215" s="193">
        <v>2020</v>
      </c>
      <c r="T215" s="193">
        <f t="shared" si="401"/>
        <v>2013</v>
      </c>
    </row>
    <row r="216" spans="1:20" ht="13.8" x14ac:dyDescent="0.25">
      <c r="A216" s="1068"/>
      <c r="B216" s="509" t="s">
        <v>756</v>
      </c>
      <c r="C216" s="511">
        <v>34626.9</v>
      </c>
      <c r="D216" s="512">
        <v>54664.7</v>
      </c>
      <c r="E216" s="513">
        <v>48428.2</v>
      </c>
      <c r="F216" s="514">
        <v>137719.79999999999</v>
      </c>
      <c r="G216" s="515">
        <v>1670346.292732666</v>
      </c>
      <c r="H216" s="1071"/>
      <c r="I216" s="245">
        <v>-0.27685161078338688</v>
      </c>
      <c r="J216" s="246">
        <v>-0.15643325089400723</v>
      </c>
      <c r="K216" s="247">
        <v>-0.18576912062150391</v>
      </c>
      <c r="L216" s="248">
        <v>-0.20005986587488311</v>
      </c>
      <c r="M216" s="249">
        <v>-0.10425277413182188</v>
      </c>
      <c r="N216" s="900"/>
      <c r="O216" s="881"/>
      <c r="P216" s="881"/>
      <c r="Q216" s="881"/>
      <c r="S216" s="193">
        <v>2020</v>
      </c>
      <c r="T216" s="193">
        <f t="shared" si="401"/>
        <v>2013</v>
      </c>
    </row>
    <row r="217" spans="1:20" ht="14.4" thickBot="1" x14ac:dyDescent="0.3">
      <c r="A217" s="1069"/>
      <c r="B217" s="510" t="s">
        <v>758</v>
      </c>
      <c r="C217" s="511">
        <v>38729.93548387097</v>
      </c>
      <c r="D217" s="512">
        <v>58926.419354838712</v>
      </c>
      <c r="E217" s="513">
        <v>50302.838709677417</v>
      </c>
      <c r="F217" s="514">
        <v>147959.19354838709</v>
      </c>
      <c r="G217" s="515">
        <v>1818305.4862810532</v>
      </c>
      <c r="H217" s="1071"/>
      <c r="I217" s="254">
        <v>-0.1370558521572382</v>
      </c>
      <c r="J217" s="250">
        <v>-3.081752797638377E-2</v>
      </c>
      <c r="K217" s="251">
        <v>-7.8175940053191229E-2</v>
      </c>
      <c r="L217" s="252">
        <v>-7.6698257743490927E-2</v>
      </c>
      <c r="M217" s="253">
        <v>-0.10207222614065981</v>
      </c>
      <c r="N217" s="900"/>
      <c r="O217" s="881"/>
      <c r="P217" s="881"/>
      <c r="Q217" s="881"/>
      <c r="S217" s="193">
        <v>2020</v>
      </c>
      <c r="T217" s="193">
        <f t="shared" si="401"/>
        <v>2013</v>
      </c>
    </row>
    <row r="218" spans="1:20" ht="16.2" thickBot="1" x14ac:dyDescent="0.3">
      <c r="A218" s="1073" t="s">
        <v>825</v>
      </c>
      <c r="B218" s="1074"/>
      <c r="C218" s="524">
        <v>39100</v>
      </c>
      <c r="D218" s="524">
        <v>58900</v>
      </c>
      <c r="E218" s="524">
        <v>53600</v>
      </c>
      <c r="F218" s="524"/>
      <c r="G218" s="518"/>
      <c r="H218" s="1072"/>
      <c r="I218" s="243"/>
      <c r="J218" s="243"/>
      <c r="K218" s="244"/>
      <c r="L218" s="265"/>
      <c r="M218" s="244">
        <v>-0.10207222614065981</v>
      </c>
      <c r="N218" s="883">
        <f>Q309</f>
        <v>-0.15875971130418792</v>
      </c>
      <c r="O218" s="883">
        <f>S309</f>
        <v>-0.11906806003730136</v>
      </c>
      <c r="P218" s="883"/>
      <c r="Q218" s="887">
        <f>(M218*6+N218+O218)/8</f>
        <v>-0.111282641023181</v>
      </c>
      <c r="S218" s="193">
        <v>2020</v>
      </c>
      <c r="T218" s="193">
        <f t="shared" si="401"/>
        <v>2013</v>
      </c>
    </row>
    <row r="219" spans="1:20" ht="14.25" customHeight="1" x14ac:dyDescent="0.25">
      <c r="A219" s="1068">
        <v>2021</v>
      </c>
      <c r="B219" s="509" t="s">
        <v>710</v>
      </c>
      <c r="C219" s="511">
        <v>38182.838709677417</v>
      </c>
      <c r="D219" s="512">
        <v>54011.193548387098</v>
      </c>
      <c r="E219" s="513">
        <v>51048.193548387098</v>
      </c>
      <c r="F219" s="516">
        <v>143242.22580645161</v>
      </c>
      <c r="G219" s="517">
        <v>143242.22580645161</v>
      </c>
      <c r="H219" s="1070" t="s">
        <v>829</v>
      </c>
      <c r="I219" s="266">
        <v>-0.11883635908854386</v>
      </c>
      <c r="J219" s="267">
        <v>-6.3939160828214173E-2</v>
      </c>
      <c r="K219" s="268">
        <v>-1.8953335478315545E-2</v>
      </c>
      <c r="L219" s="269">
        <v>-6.4187483298504433E-2</v>
      </c>
      <c r="M219" s="270">
        <v>-6.4187483298504433E-2</v>
      </c>
      <c r="N219" s="902"/>
      <c r="O219" s="884"/>
      <c r="P219" s="884"/>
      <c r="Q219" s="884"/>
      <c r="T219" s="193">
        <f t="shared" si="401"/>
        <v>2013</v>
      </c>
    </row>
    <row r="220" spans="1:20" ht="13.8" x14ac:dyDescent="0.25">
      <c r="A220" s="1068"/>
      <c r="B220" s="510" t="s">
        <v>715</v>
      </c>
      <c r="C220" s="511">
        <v>42442.964285714283</v>
      </c>
      <c r="D220" s="512">
        <v>63244.714285714283</v>
      </c>
      <c r="E220" s="513">
        <v>56630.821428571428</v>
      </c>
      <c r="F220" s="514">
        <v>162318.5</v>
      </c>
      <c r="G220" s="515">
        <v>305560.72580645164</v>
      </c>
      <c r="H220" s="1071"/>
      <c r="I220" s="274">
        <v>-6.2500455642409108E-2</v>
      </c>
      <c r="J220" s="246">
        <v>2.7520704394808332E-2</v>
      </c>
      <c r="K220" s="275">
        <v>-2.2285925017883909E-3</v>
      </c>
      <c r="L220" s="276">
        <v>-7.7155880955463996E-3</v>
      </c>
      <c r="M220" s="277">
        <v>-3.5014041031198095E-2</v>
      </c>
      <c r="N220" s="902"/>
      <c r="O220" s="884"/>
      <c r="P220" s="884"/>
      <c r="Q220" s="884"/>
      <c r="S220" s="193">
        <v>2021</v>
      </c>
      <c r="T220" s="193">
        <f t="shared" si="401"/>
        <v>2013</v>
      </c>
    </row>
    <row r="221" spans="1:20" ht="13.8" x14ac:dyDescent="0.25">
      <c r="A221" s="1068"/>
      <c r="B221" s="509" t="s">
        <v>718</v>
      </c>
      <c r="C221" s="511">
        <v>43826.612903225803</v>
      </c>
      <c r="D221" s="512">
        <v>64973.290322580644</v>
      </c>
      <c r="E221" s="513">
        <v>57674.258064516129</v>
      </c>
      <c r="F221" s="514">
        <v>166474.16129032258</v>
      </c>
      <c r="G221" s="515">
        <v>472034.88709677418</v>
      </c>
      <c r="H221" s="1071"/>
      <c r="I221" s="245">
        <v>0.24766973083669283</v>
      </c>
      <c r="J221" s="246">
        <v>0.2531073038594151</v>
      </c>
      <c r="K221" s="247">
        <v>0.23966593747941578</v>
      </c>
      <c r="L221" s="248">
        <v>0.24699234049298324</v>
      </c>
      <c r="M221" s="249">
        <v>4.8620615917666976E-2</v>
      </c>
      <c r="N221" s="900"/>
      <c r="O221" s="881"/>
      <c r="P221" s="881"/>
      <c r="Q221" s="881"/>
      <c r="S221" s="193">
        <v>2021</v>
      </c>
      <c r="T221" s="193">
        <f t="shared" si="401"/>
        <v>2013</v>
      </c>
    </row>
    <row r="222" spans="1:20" ht="13.8" x14ac:dyDescent="0.25">
      <c r="A222" s="1068"/>
      <c r="B222" s="510" t="s">
        <v>725</v>
      </c>
      <c r="C222" s="511">
        <v>39560.366666666669</v>
      </c>
      <c r="D222" s="512">
        <v>60303</v>
      </c>
      <c r="E222" s="513">
        <v>54850</v>
      </c>
      <c r="F222" s="514">
        <v>154713.36666666667</v>
      </c>
      <c r="G222" s="515">
        <v>626748.25376344088</v>
      </c>
      <c r="H222" s="1071"/>
      <c r="I222" s="245">
        <v>0.41220616495814472</v>
      </c>
      <c r="J222" s="246">
        <v>0.27960124261560393</v>
      </c>
      <c r="K222" s="247">
        <v>0.29342158941115709</v>
      </c>
      <c r="L222" s="248">
        <v>0.31618900213645995</v>
      </c>
      <c r="M222" s="249">
        <v>0.10402312265492086</v>
      </c>
      <c r="N222" s="900"/>
      <c r="O222" s="881"/>
      <c r="P222" s="881"/>
      <c r="Q222" s="881"/>
      <c r="S222" s="193">
        <v>2021</v>
      </c>
      <c r="T222" s="193">
        <f t="shared" si="401"/>
        <v>2013</v>
      </c>
    </row>
    <row r="223" spans="1:20" ht="13.8" x14ac:dyDescent="0.25">
      <c r="A223" s="1068"/>
      <c r="B223" s="509" t="s">
        <v>730</v>
      </c>
      <c r="C223" s="511">
        <v>44441.838709677417</v>
      </c>
      <c r="D223" s="512">
        <v>68296.290322580651</v>
      </c>
      <c r="E223" s="513">
        <v>61616.419354838712</v>
      </c>
      <c r="F223" s="514">
        <v>174354.54838709679</v>
      </c>
      <c r="G223" s="515">
        <v>801102.80215053773</v>
      </c>
      <c r="H223" s="1071"/>
      <c r="I223" s="245">
        <v>0.11765727103470919</v>
      </c>
      <c r="J223" s="246">
        <v>7.3555175255118274E-2</v>
      </c>
      <c r="K223" s="247">
        <v>6.0870497319927552E-2</v>
      </c>
      <c r="L223" s="248">
        <v>7.9853339489473374E-2</v>
      </c>
      <c r="M223" s="249">
        <v>9.8671066070454172E-2</v>
      </c>
      <c r="N223" s="900"/>
      <c r="O223" s="881"/>
      <c r="P223" s="881"/>
      <c r="Q223" s="881"/>
      <c r="S223" s="193">
        <v>2021</v>
      </c>
      <c r="T223" s="193">
        <f t="shared" si="401"/>
        <v>2013</v>
      </c>
    </row>
    <row r="224" spans="1:20" ht="13.8" x14ac:dyDescent="0.25">
      <c r="A224" s="1068"/>
      <c r="B224" s="510" t="s">
        <v>735</v>
      </c>
      <c r="C224" s="511">
        <v>45660.23333333333</v>
      </c>
      <c r="D224" s="512">
        <v>65958.133333333331</v>
      </c>
      <c r="E224" s="513">
        <v>62163.833333333336</v>
      </c>
      <c r="F224" s="514">
        <v>173782.2</v>
      </c>
      <c r="G224" s="515">
        <v>974885.00215053768</v>
      </c>
      <c r="H224" s="1071"/>
      <c r="I224" s="245">
        <v>3.08772420976265E-2</v>
      </c>
      <c r="J224" s="526">
        <v>-5.0232962276503543E-3</v>
      </c>
      <c r="K224" s="275">
        <v>-1.5456670460787054E-3</v>
      </c>
      <c r="L224" s="248">
        <v>5.4291794093859203E-3</v>
      </c>
      <c r="M224" s="249">
        <v>8.0803790800816788E-2</v>
      </c>
      <c r="N224" s="900"/>
      <c r="O224" s="881"/>
      <c r="P224" s="881"/>
      <c r="Q224" s="881"/>
      <c r="S224" s="193">
        <v>2021</v>
      </c>
      <c r="T224" s="193">
        <f t="shared" si="401"/>
        <v>2013</v>
      </c>
    </row>
    <row r="225" spans="1:20" ht="13.8" x14ac:dyDescent="0.25">
      <c r="A225" s="1068"/>
      <c r="B225" s="509" t="s">
        <v>740</v>
      </c>
      <c r="C225" s="511">
        <v>39546.290322580644</v>
      </c>
      <c r="D225" s="512">
        <v>62136.580645161288</v>
      </c>
      <c r="E225" s="513">
        <v>54735.290322580644</v>
      </c>
      <c r="F225" s="514">
        <v>156418.16129032258</v>
      </c>
      <c r="G225" s="515">
        <v>1131303.1634408603</v>
      </c>
      <c r="H225" s="1071"/>
      <c r="I225" s="274">
        <v>-8.0613448682659104E-3</v>
      </c>
      <c r="J225" s="526">
        <v>-6.3501266930232883E-3</v>
      </c>
      <c r="K225" s="275">
        <v>-7.2601136734427321E-2</v>
      </c>
      <c r="L225" s="276">
        <v>-3.0995975475158422E-2</v>
      </c>
      <c r="M225" s="249">
        <v>6.3833197401355068E-2</v>
      </c>
      <c r="N225" s="900"/>
      <c r="O225" s="881"/>
      <c r="P225" s="881"/>
      <c r="Q225" s="881"/>
      <c r="S225" s="193">
        <v>2021</v>
      </c>
      <c r="T225" s="193">
        <f t="shared" si="401"/>
        <v>2013</v>
      </c>
    </row>
    <row r="226" spans="1:20" ht="13.8" x14ac:dyDescent="0.25">
      <c r="A226" s="1068"/>
      <c r="B226" s="510" t="s">
        <v>752</v>
      </c>
      <c r="C226" s="511">
        <v>42802.645161290326</v>
      </c>
      <c r="D226" s="512">
        <v>64501.580645161288</v>
      </c>
      <c r="E226" s="513">
        <v>62020.645161290326</v>
      </c>
      <c r="F226" s="514">
        <v>169324.87096774194</v>
      </c>
      <c r="G226" s="515">
        <v>1300628.0344086024</v>
      </c>
      <c r="H226" s="1071"/>
      <c r="I226" s="245">
        <v>5.3924928772326568E-2</v>
      </c>
      <c r="J226" s="246">
        <v>5.1503752874539351E-2</v>
      </c>
      <c r="K226" s="247">
        <v>6.7185317043359921E-2</v>
      </c>
      <c r="L226" s="248">
        <v>5.7811466247121412E-2</v>
      </c>
      <c r="M226" s="249">
        <v>6.304536736652766E-2</v>
      </c>
      <c r="N226" s="900"/>
      <c r="O226" s="881"/>
      <c r="P226" s="881"/>
      <c r="Q226" s="881"/>
      <c r="S226" s="193">
        <v>2021</v>
      </c>
      <c r="T226" s="193">
        <f t="shared" si="401"/>
        <v>2013</v>
      </c>
    </row>
    <row r="227" spans="1:20" ht="13.8" x14ac:dyDescent="0.25">
      <c r="A227" s="1068"/>
      <c r="B227" s="509" t="s">
        <v>754</v>
      </c>
      <c r="C227" s="511">
        <v>46498.3</v>
      </c>
      <c r="D227" s="512">
        <v>68422.633333333331</v>
      </c>
      <c r="E227" s="513">
        <v>62940.167687527741</v>
      </c>
      <c r="F227" s="514">
        <v>177861.10102086107</v>
      </c>
      <c r="G227" s="515">
        <v>1478489.1354294633</v>
      </c>
      <c r="H227" s="1071"/>
      <c r="I227" s="245">
        <v>5.1673352638590471E-2</v>
      </c>
      <c r="J227" s="246">
        <v>5.4198812004852166E-2</v>
      </c>
      <c r="K227" s="247">
        <v>7.1645472917687567E-2</v>
      </c>
      <c r="L227" s="248">
        <v>5.9638299859981148E-2</v>
      </c>
      <c r="M227" s="249">
        <v>6.2634340909827113E-2</v>
      </c>
      <c r="N227" s="900"/>
      <c r="O227" s="881"/>
      <c r="P227" s="881"/>
      <c r="Q227" s="881"/>
      <c r="S227" s="193">
        <v>2021</v>
      </c>
      <c r="T227" s="193">
        <f t="shared" si="401"/>
        <v>2013</v>
      </c>
    </row>
    <row r="228" spans="1:20" ht="13.8" x14ac:dyDescent="0.25">
      <c r="A228" s="1068"/>
      <c r="B228" s="510" t="s">
        <v>755</v>
      </c>
      <c r="C228" s="511">
        <v>46942.258064516129</v>
      </c>
      <c r="D228" s="512">
        <v>67603.612903225803</v>
      </c>
      <c r="E228" s="513">
        <v>62112.842373264546</v>
      </c>
      <c r="F228" s="514">
        <v>176658.71334100649</v>
      </c>
      <c r="G228" s="515">
        <v>1655147.8487704699</v>
      </c>
      <c r="H228" s="1071"/>
      <c r="I228" s="245">
        <v>0.34061552549611734</v>
      </c>
      <c r="J228" s="246">
        <v>0.20887723941250633</v>
      </c>
      <c r="K228" s="247">
        <v>0.23374085174091916</v>
      </c>
      <c r="L228" s="248">
        <v>0.25038703167081477</v>
      </c>
      <c r="M228" s="249">
        <v>7.9942084140375957E-2</v>
      </c>
      <c r="N228" s="900"/>
      <c r="O228" s="881"/>
      <c r="P228" s="881"/>
      <c r="Q228" s="881"/>
      <c r="S228" s="193">
        <v>2021</v>
      </c>
      <c r="T228" s="193">
        <f t="shared" si="401"/>
        <v>2013</v>
      </c>
    </row>
    <row r="229" spans="1:20" ht="13.8" x14ac:dyDescent="0.25">
      <c r="A229" s="1068"/>
      <c r="B229" s="509" t="s">
        <v>756</v>
      </c>
      <c r="C229" s="511">
        <v>45325.166666666664</v>
      </c>
      <c r="D229" s="512">
        <v>65288.9</v>
      </c>
      <c r="E229" s="513">
        <v>58818.666666666664</v>
      </c>
      <c r="F229" s="514">
        <v>169432.73333333334</v>
      </c>
      <c r="G229" s="515">
        <v>1824580.5821038033</v>
      </c>
      <c r="H229" s="1071"/>
      <c r="I229" s="245">
        <v>0.30895825692356699</v>
      </c>
      <c r="J229" s="246">
        <v>0.19435211388702409</v>
      </c>
      <c r="K229" s="247">
        <v>0.21455405459353574</v>
      </c>
      <c r="L229" s="248">
        <v>0.23027141582643429</v>
      </c>
      <c r="M229" s="249">
        <v>9.2336714872945258E-2</v>
      </c>
      <c r="N229" s="900"/>
      <c r="O229" s="881"/>
      <c r="P229" s="881"/>
      <c r="Q229" s="881"/>
      <c r="S229" s="193">
        <v>2021</v>
      </c>
      <c r="T229" s="193">
        <f t="shared" si="401"/>
        <v>2013</v>
      </c>
    </row>
    <row r="230" spans="1:20" ht="14.4" thickBot="1" x14ac:dyDescent="0.3">
      <c r="A230" s="1069"/>
      <c r="B230" s="510" t="s">
        <v>758</v>
      </c>
      <c r="C230" s="511">
        <v>43600.709677419356</v>
      </c>
      <c r="D230" s="512">
        <v>64090.193548387098</v>
      </c>
      <c r="E230" s="513">
        <v>56334.709677419356</v>
      </c>
      <c r="F230" s="527">
        <v>164025.61290322582</v>
      </c>
      <c r="G230" s="515">
        <v>1988606.195007029</v>
      </c>
      <c r="H230" s="1071"/>
      <c r="I230" s="254">
        <v>0.12576251761578106</v>
      </c>
      <c r="J230" s="250">
        <v>8.7630883567751783E-2</v>
      </c>
      <c r="K230" s="251">
        <v>0.11991114462853383</v>
      </c>
      <c r="L230" s="252">
        <v>0.10858682701311517</v>
      </c>
      <c r="M230" s="253">
        <v>9.3659019351192141E-2</v>
      </c>
      <c r="N230" s="900"/>
      <c r="O230" s="881"/>
      <c r="P230" s="881"/>
      <c r="Q230" s="881"/>
      <c r="S230" s="193">
        <v>2021</v>
      </c>
      <c r="T230" s="193">
        <f t="shared" si="401"/>
        <v>2013</v>
      </c>
    </row>
    <row r="231" spans="1:20" ht="16.2" thickBot="1" x14ac:dyDescent="0.3">
      <c r="A231" s="1073" t="s">
        <v>825</v>
      </c>
      <c r="B231" s="1074"/>
      <c r="C231" s="524">
        <v>43200</v>
      </c>
      <c r="D231" s="524">
        <v>64100</v>
      </c>
      <c r="E231" s="524">
        <v>58400</v>
      </c>
      <c r="F231" s="525"/>
      <c r="G231" s="518"/>
      <c r="H231" s="1072"/>
      <c r="I231" s="271"/>
      <c r="J231" s="271"/>
      <c r="K231" s="272"/>
      <c r="L231" s="273"/>
      <c r="M231" s="244">
        <v>9.3659019351192141E-2</v>
      </c>
      <c r="N231" s="883">
        <f>Q310</f>
        <v>6.6040055739227888E-2</v>
      </c>
      <c r="O231" s="883">
        <f>S310</f>
        <v>8.7576032530160983E-2</v>
      </c>
      <c r="P231" s="883"/>
      <c r="Q231" s="887">
        <f>(M231*6+N231+O231)/8</f>
        <v>8.9446275547067716E-2</v>
      </c>
      <c r="S231" s="193">
        <v>2021</v>
      </c>
      <c r="T231" s="193">
        <f t="shared" si="401"/>
        <v>2013</v>
      </c>
    </row>
    <row r="232" spans="1:20" ht="14.25" customHeight="1" x14ac:dyDescent="0.25">
      <c r="A232" s="1047">
        <v>2022</v>
      </c>
      <c r="B232" s="595" t="s">
        <v>710</v>
      </c>
      <c r="C232" s="582">
        <v>36873.161290322583</v>
      </c>
      <c r="D232" s="583">
        <v>54462.354838709674</v>
      </c>
      <c r="E232" s="584">
        <v>48774.580645161288</v>
      </c>
      <c r="F232" s="592">
        <v>140110.09677419355</v>
      </c>
      <c r="G232" s="593">
        <v>140110.09677419355</v>
      </c>
      <c r="H232" s="1049" t="s">
        <v>830</v>
      </c>
      <c r="I232" s="266">
        <v>-3.4300158490387374E-2</v>
      </c>
      <c r="J232" s="590">
        <v>8.353107211348576E-3</v>
      </c>
      <c r="K232" s="268">
        <v>-4.4538557492161186E-2</v>
      </c>
      <c r="L232" s="269">
        <v>-2.186596176249167E-2</v>
      </c>
      <c r="M232" s="270">
        <v>-2.186596176249167E-2</v>
      </c>
      <c r="N232" s="902"/>
      <c r="O232" s="884"/>
      <c r="P232" s="884"/>
      <c r="Q232" s="884"/>
      <c r="S232" s="193"/>
      <c r="T232" s="193">
        <f t="shared" si="401"/>
        <v>2013</v>
      </c>
    </row>
    <row r="233" spans="1:20" ht="13.8" x14ac:dyDescent="0.25">
      <c r="A233" s="1047"/>
      <c r="B233" s="596" t="s">
        <v>715</v>
      </c>
      <c r="C233" s="582">
        <v>39569.678571428572</v>
      </c>
      <c r="D233" s="583">
        <v>57265.75</v>
      </c>
      <c r="E233" s="584">
        <v>50600.25</v>
      </c>
      <c r="F233" s="585">
        <v>147435.67857142858</v>
      </c>
      <c r="G233" s="586">
        <v>287545.7753456221</v>
      </c>
      <c r="H233" s="1050"/>
      <c r="I233" s="274">
        <v>-6.7697573971119127E-2</v>
      </c>
      <c r="J233" s="526">
        <v>-9.4536979939599655E-2</v>
      </c>
      <c r="K233" s="275">
        <v>-0.10648920987624733</v>
      </c>
      <c r="L233" s="276">
        <v>-9.168900296991056E-2</v>
      </c>
      <c r="M233" s="277">
        <v>-5.8957022088763411E-2</v>
      </c>
      <c r="N233" s="902"/>
      <c r="O233" s="884"/>
      <c r="P233" s="884"/>
      <c r="Q233" s="884"/>
      <c r="S233" s="193">
        <v>2022</v>
      </c>
      <c r="T233" s="193">
        <f t="shared" si="401"/>
        <v>2013</v>
      </c>
    </row>
    <row r="234" spans="1:20" ht="13.8" x14ac:dyDescent="0.25">
      <c r="A234" s="1047"/>
      <c r="B234" s="595" t="s">
        <v>718</v>
      </c>
      <c r="C234" s="582">
        <v>45219.193548387098</v>
      </c>
      <c r="D234" s="583">
        <v>64136.93548387097</v>
      </c>
      <c r="E234" s="584">
        <v>57494.419354838712</v>
      </c>
      <c r="F234" s="585">
        <v>166850.54838709679</v>
      </c>
      <c r="G234" s="586">
        <v>454396.32373271888</v>
      </c>
      <c r="H234" s="1050"/>
      <c r="I234" s="245">
        <v>3.17747722881591E-2</v>
      </c>
      <c r="J234" s="526">
        <v>-1.2872286974498656E-2</v>
      </c>
      <c r="K234" s="275">
        <v>-3.1181798554953907E-3</v>
      </c>
      <c r="L234" s="248">
        <v>2.2609340323860305E-3</v>
      </c>
      <c r="M234" s="277">
        <v>-3.7367075710315278E-2</v>
      </c>
      <c r="N234" s="902"/>
      <c r="O234" s="884"/>
      <c r="P234" s="884"/>
      <c r="Q234" s="884"/>
      <c r="S234" s="193">
        <v>2022</v>
      </c>
      <c r="T234" s="193">
        <f t="shared" si="401"/>
        <v>2013</v>
      </c>
    </row>
    <row r="235" spans="1:20" ht="13.8" x14ac:dyDescent="0.25">
      <c r="A235" s="1047"/>
      <c r="B235" s="596" t="s">
        <v>725</v>
      </c>
      <c r="C235" s="582">
        <v>44058.9</v>
      </c>
      <c r="D235" s="583">
        <v>64241.566666666666</v>
      </c>
      <c r="E235" s="584">
        <v>59686.5</v>
      </c>
      <c r="F235" s="585">
        <v>167986.96666666667</v>
      </c>
      <c r="G235" s="586">
        <v>622383.29039938562</v>
      </c>
      <c r="H235" s="1050"/>
      <c r="I235" s="245">
        <v>0.11371313545290697</v>
      </c>
      <c r="J235" s="246">
        <v>6.5312947393440887E-2</v>
      </c>
      <c r="K235" s="247">
        <v>8.8176845943482227E-2</v>
      </c>
      <c r="L235" s="248">
        <v>8.5794784807432078E-2</v>
      </c>
      <c r="M235" s="277">
        <v>-6.9644603520551129E-3</v>
      </c>
      <c r="N235" s="902"/>
      <c r="O235" s="884"/>
      <c r="P235" s="884"/>
      <c r="Q235" s="884"/>
      <c r="S235" s="193">
        <v>2022</v>
      </c>
      <c r="T235" s="193">
        <f t="shared" si="401"/>
        <v>2013</v>
      </c>
    </row>
    <row r="236" spans="1:20" ht="13.8" x14ac:dyDescent="0.25">
      <c r="A236" s="1047"/>
      <c r="B236" s="595" t="s">
        <v>730</v>
      </c>
      <c r="C236" s="582">
        <v>47849.451612903227</v>
      </c>
      <c r="D236" s="583">
        <v>70441.645161290318</v>
      </c>
      <c r="E236" s="584">
        <v>64904.225806451614</v>
      </c>
      <c r="F236" s="585">
        <v>183195.32258064515</v>
      </c>
      <c r="G236" s="586">
        <v>805578.61298003071</v>
      </c>
      <c r="H236" s="1050"/>
      <c r="I236" s="245">
        <v>7.667578574969687E-2</v>
      </c>
      <c r="J236" s="246">
        <v>3.1412465136490042E-2</v>
      </c>
      <c r="K236" s="247">
        <v>5.3359258555401787E-2</v>
      </c>
      <c r="L236" s="248">
        <v>5.0705727354587449E-2</v>
      </c>
      <c r="M236" s="249">
        <v>5.5870617572149062E-3</v>
      </c>
      <c r="N236" s="900"/>
      <c r="O236" s="881"/>
      <c r="P236" s="881"/>
      <c r="Q236" s="881"/>
      <c r="S236" s="193">
        <v>2022</v>
      </c>
      <c r="T236" s="193">
        <f t="shared" si="401"/>
        <v>2013</v>
      </c>
    </row>
    <row r="237" spans="1:20" ht="13.8" x14ac:dyDescent="0.25">
      <c r="A237" s="1047"/>
      <c r="B237" s="596" t="s">
        <v>735</v>
      </c>
      <c r="C237" s="582">
        <v>45144.4272360377</v>
      </c>
      <c r="D237" s="583">
        <v>68527.233333333337</v>
      </c>
      <c r="E237" s="584">
        <v>64417.5</v>
      </c>
      <c r="F237" s="585">
        <v>178089.16056937104</v>
      </c>
      <c r="G237" s="586">
        <v>983667.77354940202</v>
      </c>
      <c r="H237" s="1050"/>
      <c r="I237" s="274">
        <v>-1.1296615449380024E-2</v>
      </c>
      <c r="J237" s="246">
        <v>3.895046554784256E-2</v>
      </c>
      <c r="K237" s="247">
        <v>3.6253663035580669E-2</v>
      </c>
      <c r="L237" s="248">
        <v>2.4783669267456787E-2</v>
      </c>
      <c r="M237" s="249">
        <v>9.0090332495522674E-3</v>
      </c>
      <c r="N237" s="900"/>
      <c r="O237" s="881"/>
      <c r="P237" s="881"/>
      <c r="Q237" s="881"/>
      <c r="S237" s="193">
        <v>2022</v>
      </c>
      <c r="T237" s="193">
        <f t="shared" si="401"/>
        <v>2013</v>
      </c>
    </row>
    <row r="238" spans="1:20" ht="13.8" x14ac:dyDescent="0.25">
      <c r="A238" s="1047"/>
      <c r="B238" s="595" t="s">
        <v>740</v>
      </c>
      <c r="C238" s="582">
        <v>39422.725928347616</v>
      </c>
      <c r="D238" s="583">
        <v>61731.419354838712</v>
      </c>
      <c r="E238" s="584">
        <v>59338.838709677417</v>
      </c>
      <c r="F238" s="585">
        <v>160492.98399286374</v>
      </c>
      <c r="G238" s="586">
        <v>1144160.7575422656</v>
      </c>
      <c r="H238" s="1050"/>
      <c r="I238" s="274">
        <v>-3.1245508295495829E-3</v>
      </c>
      <c r="J238" s="526">
        <v>-6.5204954330573828E-3</v>
      </c>
      <c r="K238" s="247">
        <v>8.4105672226563719E-2</v>
      </c>
      <c r="L238" s="248">
        <v>2.6050828554224026E-2</v>
      </c>
      <c r="M238" s="249">
        <v>1.1365294924393865E-2</v>
      </c>
      <c r="N238" s="900"/>
      <c r="O238" s="881"/>
      <c r="P238" s="881"/>
      <c r="Q238" s="881"/>
      <c r="S238" s="193">
        <v>2022</v>
      </c>
      <c r="T238" s="193">
        <f t="shared" si="401"/>
        <v>2013</v>
      </c>
    </row>
    <row r="239" spans="1:20" ht="13.8" x14ac:dyDescent="0.25">
      <c r="A239" s="1047"/>
      <c r="B239" s="596" t="s">
        <v>752</v>
      </c>
      <c r="C239" s="582">
        <v>46657.959749207759</v>
      </c>
      <c r="D239" s="583">
        <v>66778.967741935485</v>
      </c>
      <c r="E239" s="584">
        <v>64609.903225806454</v>
      </c>
      <c r="F239" s="585">
        <v>178046.83071694971</v>
      </c>
      <c r="G239" s="586">
        <v>1322207.5882592152</v>
      </c>
      <c r="H239" s="1050"/>
      <c r="I239" s="245">
        <v>9.0071876945682E-2</v>
      </c>
      <c r="J239" s="246">
        <v>3.5307461832643314E-2</v>
      </c>
      <c r="K239" s="247">
        <v>4.174832521948986E-2</v>
      </c>
      <c r="L239" s="248">
        <v>5.1510210516382937E-2</v>
      </c>
      <c r="M239" s="249">
        <v>1.6591641329971152E-2</v>
      </c>
      <c r="N239" s="900"/>
      <c r="O239" s="881"/>
      <c r="P239" s="881"/>
      <c r="Q239" s="881"/>
      <c r="S239" s="193">
        <v>2022</v>
      </c>
      <c r="T239" s="193">
        <f t="shared" si="401"/>
        <v>2013</v>
      </c>
    </row>
    <row r="240" spans="1:20" ht="13.8" x14ac:dyDescent="0.25">
      <c r="A240" s="1047"/>
      <c r="B240" s="595" t="s">
        <v>754</v>
      </c>
      <c r="C240" s="582">
        <v>48525.282323483843</v>
      </c>
      <c r="D240" s="583">
        <v>69028.333333333328</v>
      </c>
      <c r="E240" s="584">
        <v>64900.566666666666</v>
      </c>
      <c r="F240" s="585">
        <v>182454.18232348384</v>
      </c>
      <c r="G240" s="586">
        <v>1504661.770582699</v>
      </c>
      <c r="H240" s="1050"/>
      <c r="I240" s="245">
        <v>4.3592611417704312E-2</v>
      </c>
      <c r="J240" s="246">
        <v>8.8523339499258832E-3</v>
      </c>
      <c r="K240" s="247">
        <v>3.1147025042441993E-2</v>
      </c>
      <c r="L240" s="248">
        <v>2.5823978802897773E-2</v>
      </c>
      <c r="M240" s="249">
        <v>1.7702284396992285E-2</v>
      </c>
      <c r="N240" s="900"/>
      <c r="O240" s="881"/>
      <c r="P240" s="881"/>
      <c r="Q240" s="881"/>
      <c r="S240" s="193">
        <v>2022</v>
      </c>
      <c r="T240" s="193">
        <f t="shared" si="401"/>
        <v>2013</v>
      </c>
    </row>
    <row r="241" spans="1:21" ht="13.8" x14ac:dyDescent="0.25">
      <c r="A241" s="1047"/>
      <c r="B241" s="596" t="s">
        <v>755</v>
      </c>
      <c r="C241" s="582">
        <v>47235.470685454842</v>
      </c>
      <c r="D241" s="583">
        <v>67575.709677419349</v>
      </c>
      <c r="E241" s="584">
        <v>62039.129032258068</v>
      </c>
      <c r="F241" s="585">
        <v>176850.30939513227</v>
      </c>
      <c r="G241" s="586">
        <v>1681512.0799778313</v>
      </c>
      <c r="H241" s="1050"/>
      <c r="I241" s="245">
        <v>6.2462402327499913E-3</v>
      </c>
      <c r="J241" s="246">
        <v>-4.1274755309894076E-4</v>
      </c>
      <c r="K241" s="599">
        <v>-1.1867648974023882E-3</v>
      </c>
      <c r="L241" s="248">
        <v>1.0845547921314314E-3</v>
      </c>
      <c r="M241" s="249">
        <v>1.5928626090379927E-2</v>
      </c>
      <c r="N241" s="900"/>
      <c r="O241" s="881"/>
      <c r="P241" s="881"/>
      <c r="Q241" s="881"/>
      <c r="S241" s="193">
        <v>2022</v>
      </c>
      <c r="T241" s="193">
        <f t="shared" si="401"/>
        <v>2013</v>
      </c>
      <c r="U241" s="16"/>
    </row>
    <row r="242" spans="1:21" ht="13.8" x14ac:dyDescent="0.25">
      <c r="A242" s="1047"/>
      <c r="B242" s="595" t="s">
        <v>756</v>
      </c>
      <c r="C242" s="582">
        <v>47506.468197195856</v>
      </c>
      <c r="D242" s="583">
        <v>68336.2</v>
      </c>
      <c r="E242" s="584">
        <v>61746.23333333333</v>
      </c>
      <c r="F242" s="585">
        <v>177588.9015305292</v>
      </c>
      <c r="G242" s="586">
        <v>1859100.9815083605</v>
      </c>
      <c r="H242" s="1050"/>
      <c r="I242" s="245">
        <v>4.8125615214414184E-2</v>
      </c>
      <c r="J242" s="246">
        <v>4.667409008269393E-2</v>
      </c>
      <c r="K242" s="247">
        <v>4.9772747880491443E-2</v>
      </c>
      <c r="L242" s="248">
        <v>4.8138090183257765E-2</v>
      </c>
      <c r="M242" s="249">
        <v>1.8919635418214398E-2</v>
      </c>
      <c r="N242" s="900"/>
      <c r="O242" s="881"/>
      <c r="P242" s="881"/>
      <c r="Q242" s="881"/>
      <c r="S242" s="193">
        <v>2022</v>
      </c>
      <c r="T242" s="193">
        <f t="shared" si="401"/>
        <v>2013</v>
      </c>
    </row>
    <row r="243" spans="1:21" ht="14.4" thickBot="1" x14ac:dyDescent="0.3">
      <c r="A243" s="1048"/>
      <c r="B243" s="596" t="s">
        <v>758</v>
      </c>
      <c r="C243" s="582">
        <v>43473.430209587808</v>
      </c>
      <c r="D243" s="583">
        <v>62781.93548387097</v>
      </c>
      <c r="E243" s="584">
        <v>54417.838709677417</v>
      </c>
      <c r="F243" s="598">
        <v>160673.20440313619</v>
      </c>
      <c r="G243" s="586">
        <v>2019774.1859114966</v>
      </c>
      <c r="H243" s="1050"/>
      <c r="I243" s="600">
        <v>-2.9192063334112475E-3</v>
      </c>
      <c r="J243" s="601">
        <v>-2.0412765075025312E-2</v>
      </c>
      <c r="K243" s="602">
        <v>-3.4026463945908622E-2</v>
      </c>
      <c r="L243" s="603">
        <v>-2.0438323263986424E-2</v>
      </c>
      <c r="M243" s="253">
        <v>1.5673284626551043E-2</v>
      </c>
      <c r="N243" s="900"/>
      <c r="O243" s="881"/>
      <c r="P243" s="881"/>
      <c r="Q243" s="881"/>
      <c r="S243" s="193">
        <v>2022</v>
      </c>
      <c r="T243" s="193">
        <f t="shared" si="401"/>
        <v>2013</v>
      </c>
    </row>
    <row r="244" spans="1:21" ht="16.2" thickBot="1" x14ac:dyDescent="0.3">
      <c r="A244" s="1052" t="s">
        <v>825</v>
      </c>
      <c r="B244" s="1053"/>
      <c r="C244" s="581">
        <v>44300</v>
      </c>
      <c r="D244" s="581">
        <v>64600</v>
      </c>
      <c r="E244" s="581">
        <v>59400</v>
      </c>
      <c r="F244" s="597"/>
      <c r="G244" s="594"/>
      <c r="H244" s="1051"/>
      <c r="I244" s="243">
        <v>2.5462962962963021E-2</v>
      </c>
      <c r="J244" s="243">
        <v>7.8003120124805481E-3</v>
      </c>
      <c r="K244" s="244">
        <v>1.7123287671232834E-2</v>
      </c>
      <c r="L244" s="273"/>
      <c r="M244" s="244">
        <v>1.5673284626551043E-2</v>
      </c>
      <c r="N244" s="883">
        <f>Q311</f>
        <v>5.8360672544597036E-2</v>
      </c>
      <c r="O244" s="883">
        <f>S311</f>
        <v>-8.9979297345734344E-2</v>
      </c>
      <c r="P244" s="883"/>
      <c r="Q244" s="887">
        <f>(M244*6+N244+O244)/8</f>
        <v>7.8026353697711187E-3</v>
      </c>
      <c r="S244" s="193">
        <v>2022</v>
      </c>
      <c r="T244" s="193">
        <f t="shared" si="401"/>
        <v>2013</v>
      </c>
    </row>
    <row r="245" spans="1:21" ht="13.8" x14ac:dyDescent="0.25">
      <c r="A245" s="1047">
        <v>2023</v>
      </c>
      <c r="B245" s="595" t="s">
        <v>710</v>
      </c>
      <c r="C245" s="582">
        <v>42391.624152076824</v>
      </c>
      <c r="D245" s="583">
        <v>60890.612903225803</v>
      </c>
      <c r="E245" s="584">
        <v>53770.129032258068</v>
      </c>
      <c r="F245" s="592">
        <v>157052.36608756069</v>
      </c>
      <c r="G245" s="593">
        <v>157052.36608756069</v>
      </c>
      <c r="H245" s="1049" t="s">
        <v>831</v>
      </c>
      <c r="I245" s="589">
        <v>0.149660692727276</v>
      </c>
      <c r="J245" s="590">
        <v>0.1180312177751664</v>
      </c>
      <c r="K245" s="591">
        <v>0.10242114480572918</v>
      </c>
      <c r="L245" s="587">
        <v>0.12092111634661062</v>
      </c>
      <c r="M245" s="588">
        <v>0.12092111634661062</v>
      </c>
      <c r="N245" s="900"/>
      <c r="O245" s="881"/>
      <c r="P245" s="881"/>
      <c r="Q245" s="881"/>
      <c r="T245" s="193">
        <f t="shared" ref="T245:T292" si="402">T244+$T$98</f>
        <v>2013</v>
      </c>
    </row>
    <row r="246" spans="1:21" ht="13.8" x14ac:dyDescent="0.25">
      <c r="A246" s="1047"/>
      <c r="B246" s="596" t="s">
        <v>715</v>
      </c>
      <c r="C246" s="582">
        <v>44129.510624159026</v>
      </c>
      <c r="D246" s="583">
        <v>63744.964285714283</v>
      </c>
      <c r="E246" s="584">
        <v>57329.428571428572</v>
      </c>
      <c r="F246" s="585">
        <v>165203.90348130188</v>
      </c>
      <c r="G246" s="586">
        <v>322256.26956886257</v>
      </c>
      <c r="H246" s="1050"/>
      <c r="I246" s="245">
        <v>0.11523550904006827</v>
      </c>
      <c r="J246" s="246">
        <v>0.11314292200336645</v>
      </c>
      <c r="K246" s="247">
        <v>0.13298706175223585</v>
      </c>
      <c r="L246" s="248">
        <v>0.12051509568130125</v>
      </c>
      <c r="M246" s="249">
        <v>0.12071293407638972</v>
      </c>
      <c r="N246" s="900"/>
      <c r="O246" s="881"/>
      <c r="P246" s="881"/>
      <c r="Q246" s="881"/>
      <c r="S246" s="193">
        <v>2023</v>
      </c>
      <c r="T246" s="193">
        <f t="shared" si="402"/>
        <v>2013</v>
      </c>
    </row>
    <row r="247" spans="1:21" ht="13.8" x14ac:dyDescent="0.25">
      <c r="A247" s="1047"/>
      <c r="B247" s="595" t="s">
        <v>718</v>
      </c>
      <c r="C247" s="582">
        <v>48082.44939519911</v>
      </c>
      <c r="D247" s="583">
        <v>69048.290322580651</v>
      </c>
      <c r="E247" s="584">
        <v>63702.516129032258</v>
      </c>
      <c r="F247" s="585">
        <v>180833.25584681204</v>
      </c>
      <c r="G247" s="586">
        <v>503089.52541567461</v>
      </c>
      <c r="H247" s="1050"/>
      <c r="I247" s="245">
        <v>6.3319480559691221E-2</v>
      </c>
      <c r="J247" s="246">
        <v>7.6576075886020153E-2</v>
      </c>
      <c r="K247" s="247">
        <v>0.1079773801328263</v>
      </c>
      <c r="L247" s="248">
        <v>8.3803784853466956E-2</v>
      </c>
      <c r="M247" s="249">
        <v>0.10716020165602758</v>
      </c>
      <c r="N247" s="900"/>
      <c r="O247" s="881"/>
      <c r="P247" s="881"/>
      <c r="Q247" s="881"/>
      <c r="S247" s="193">
        <v>2023</v>
      </c>
      <c r="T247" s="193">
        <f t="shared" si="402"/>
        <v>2013</v>
      </c>
    </row>
    <row r="248" spans="1:21" ht="13.8" x14ac:dyDescent="0.25">
      <c r="A248" s="1047"/>
      <c r="B248" s="596" t="s">
        <v>725</v>
      </c>
      <c r="C248" s="582">
        <v>43619.579449772435</v>
      </c>
      <c r="D248" s="583">
        <v>64263.866666666669</v>
      </c>
      <c r="E248" s="584">
        <v>56594.26666666667</v>
      </c>
      <c r="F248" s="585">
        <v>164477.71278310576</v>
      </c>
      <c r="G248" s="586">
        <v>667567.23819878034</v>
      </c>
      <c r="H248" s="1050"/>
      <c r="I248" s="274">
        <v>-9.971210135240936E-3</v>
      </c>
      <c r="J248" s="246">
        <v>3.4712727533112636E-4</v>
      </c>
      <c r="K248" s="275">
        <v>-5.180791859689092E-2</v>
      </c>
      <c r="L248" s="276">
        <v>-2.0890036609353513E-2</v>
      </c>
      <c r="M248" s="277">
        <v>7.2598266207307693E-2</v>
      </c>
      <c r="N248" s="902"/>
      <c r="O248" s="884"/>
      <c r="P248" s="884"/>
      <c r="Q248" s="884"/>
      <c r="S248" s="193">
        <v>2023</v>
      </c>
      <c r="T248" s="193">
        <f t="shared" si="402"/>
        <v>2013</v>
      </c>
    </row>
    <row r="249" spans="1:21" ht="13.8" x14ac:dyDescent="0.25">
      <c r="A249" s="1047"/>
      <c r="B249" s="595" t="s">
        <v>730</v>
      </c>
      <c r="C249" s="117">
        <v>46405</v>
      </c>
      <c r="D249" s="118">
        <v>69287</v>
      </c>
      <c r="E249" s="119">
        <v>64723</v>
      </c>
      <c r="F249" s="103">
        <v>180415</v>
      </c>
      <c r="G249" s="102">
        <v>847982</v>
      </c>
      <c r="H249" s="1050"/>
      <c r="I249" s="245">
        <v>-0.03</v>
      </c>
      <c r="J249" s="246">
        <v>-1.6E-2</v>
      </c>
      <c r="K249" s="247">
        <v>-3.0000000000000001E-3</v>
      </c>
      <c r="L249" s="248">
        <v>-1.4999999999999999E-2</v>
      </c>
      <c r="M249" s="249">
        <v>5.2999999999999999E-2</v>
      </c>
      <c r="N249" s="900"/>
      <c r="O249" s="881"/>
      <c r="P249" s="881"/>
      <c r="Q249" s="881"/>
      <c r="S249" s="193">
        <v>2023</v>
      </c>
      <c r="T249" s="193">
        <f t="shared" si="402"/>
        <v>2013</v>
      </c>
    </row>
    <row r="250" spans="1:21" ht="13.8" x14ac:dyDescent="0.25">
      <c r="A250" s="1047"/>
      <c r="B250" s="596" t="s">
        <v>735</v>
      </c>
      <c r="C250" s="117">
        <v>46374</v>
      </c>
      <c r="D250" s="118">
        <v>72966</v>
      </c>
      <c r="E250" s="119">
        <v>67927</v>
      </c>
      <c r="F250" s="611">
        <v>187268</v>
      </c>
      <c r="G250" s="612">
        <v>1035250</v>
      </c>
      <c r="H250" s="1050"/>
      <c r="I250" s="274">
        <v>2.7E-2</v>
      </c>
      <c r="J250" s="246">
        <v>6.5000000000000002E-2</v>
      </c>
      <c r="K250" s="247">
        <v>5.3999999999999999E-2</v>
      </c>
      <c r="L250" s="248">
        <v>5.1999999999999998E-2</v>
      </c>
      <c r="M250" s="249">
        <v>5.1999999999999998E-2</v>
      </c>
      <c r="N250" s="900"/>
      <c r="O250" s="881"/>
      <c r="P250" s="881"/>
      <c r="Q250" s="881"/>
      <c r="S250" s="193">
        <v>2023</v>
      </c>
      <c r="T250" s="193">
        <f>T249+$T$98</f>
        <v>2013</v>
      </c>
    </row>
    <row r="251" spans="1:21" ht="13.8" x14ac:dyDescent="0.25">
      <c r="A251" s="1047"/>
      <c r="B251" s="595" t="s">
        <v>740</v>
      </c>
      <c r="C251" s="117">
        <v>41211</v>
      </c>
      <c r="D251" s="118">
        <v>66908</v>
      </c>
      <c r="E251" s="119">
        <v>64117</v>
      </c>
      <c r="F251" s="611">
        <v>172236</v>
      </c>
      <c r="G251" s="612">
        <v>1207486</v>
      </c>
      <c r="H251" s="1050"/>
      <c r="I251" s="274">
        <v>4.4999999999999998E-2</v>
      </c>
      <c r="J251" s="526">
        <v>8.4000000000000005E-2</v>
      </c>
      <c r="K251" s="247">
        <v>8.1000000000000003E-2</v>
      </c>
      <c r="L251" s="248">
        <v>7.2999999999999995E-2</v>
      </c>
      <c r="M251" s="249">
        <v>5.5E-2</v>
      </c>
      <c r="N251" s="900"/>
      <c r="O251" s="881"/>
      <c r="P251" s="881"/>
      <c r="Q251" s="881"/>
      <c r="S251" s="193">
        <v>2023</v>
      </c>
      <c r="T251" s="193">
        <f t="shared" si="402"/>
        <v>2013</v>
      </c>
    </row>
    <row r="252" spans="1:21" ht="13.8" x14ac:dyDescent="0.25">
      <c r="A252" s="1047"/>
      <c r="B252" s="596" t="s">
        <v>752</v>
      </c>
      <c r="C252" s="117">
        <v>44915</v>
      </c>
      <c r="D252" s="118">
        <v>68834</v>
      </c>
      <c r="E252" s="119">
        <v>66620</v>
      </c>
      <c r="F252" s="611">
        <v>180369</v>
      </c>
      <c r="G252" s="612">
        <v>1387855</v>
      </c>
      <c r="H252" s="1050"/>
      <c r="I252" s="245">
        <v>-3.6999999999999998E-2</v>
      </c>
      <c r="J252" s="246">
        <v>3.1E-2</v>
      </c>
      <c r="K252" s="247">
        <v>3.1E-2</v>
      </c>
      <c r="L252" s="248">
        <v>1.2999999999999999E-2</v>
      </c>
      <c r="M252" s="249">
        <v>0.05</v>
      </c>
      <c r="N252" s="900"/>
      <c r="O252" s="881"/>
      <c r="P252" s="881"/>
      <c r="Q252" s="881"/>
      <c r="S252" s="193">
        <v>2023</v>
      </c>
      <c r="T252" s="193">
        <f t="shared" si="402"/>
        <v>2013</v>
      </c>
    </row>
    <row r="253" spans="1:21" ht="13.8" x14ac:dyDescent="0.25">
      <c r="A253" s="1047"/>
      <c r="B253" s="595" t="s">
        <v>754</v>
      </c>
      <c r="C253" s="117">
        <v>49276</v>
      </c>
      <c r="D253" s="118">
        <v>71353</v>
      </c>
      <c r="E253" s="119">
        <v>66587</v>
      </c>
      <c r="F253" s="611">
        <v>187216</v>
      </c>
      <c r="G253" s="612">
        <v>1575071</v>
      </c>
      <c r="H253" s="1050"/>
      <c r="I253" s="245">
        <v>1.4999999999999999E-2</v>
      </c>
      <c r="J253" s="246">
        <v>3.4000000000000002E-2</v>
      </c>
      <c r="K253" s="247">
        <v>2.5999999999999999E-2</v>
      </c>
      <c r="L253" s="248">
        <v>2.5999999999999999E-2</v>
      </c>
      <c r="M253" s="249">
        <v>4.7E-2</v>
      </c>
      <c r="N253" s="900"/>
      <c r="O253" s="881"/>
      <c r="P253" s="881"/>
      <c r="Q253" s="881"/>
      <c r="S253" s="193">
        <v>2023</v>
      </c>
      <c r="T253" s="193">
        <f t="shared" si="402"/>
        <v>2013</v>
      </c>
    </row>
    <row r="254" spans="1:21" ht="13.8" x14ac:dyDescent="0.25">
      <c r="A254" s="1047"/>
      <c r="B254" s="596" t="s">
        <v>755</v>
      </c>
      <c r="C254" s="117">
        <v>48101</v>
      </c>
      <c r="D254" s="118">
        <v>69597</v>
      </c>
      <c r="E254" s="119">
        <v>64021</v>
      </c>
      <c r="F254" s="611">
        <v>181720</v>
      </c>
      <c r="G254" s="612">
        <v>1756791</v>
      </c>
      <c r="H254" s="1050"/>
      <c r="I254" s="245">
        <v>1.7999999999999999E-2</v>
      </c>
      <c r="J254" s="246">
        <v>0.03</v>
      </c>
      <c r="K254" s="599">
        <v>3.2000000000000001E-2</v>
      </c>
      <c r="L254" s="248">
        <v>2.8000000000000001E-2</v>
      </c>
      <c r="M254" s="249">
        <v>4.4999999999999998E-2</v>
      </c>
      <c r="N254" s="900"/>
      <c r="O254" s="881"/>
      <c r="P254" s="881"/>
      <c r="Q254" s="881"/>
      <c r="S254" s="193">
        <v>2023</v>
      </c>
      <c r="T254" s="193">
        <f t="shared" si="402"/>
        <v>2013</v>
      </c>
    </row>
    <row r="255" spans="1:21" ht="13.8" x14ac:dyDescent="0.25">
      <c r="A255" s="1047"/>
      <c r="B255" s="595" t="s">
        <v>756</v>
      </c>
      <c r="C255" s="117">
        <v>48656</v>
      </c>
      <c r="D255" s="118">
        <v>70906</v>
      </c>
      <c r="E255" s="119">
        <v>64210</v>
      </c>
      <c r="F255" s="611">
        <v>183772</v>
      </c>
      <c r="G255" s="612">
        <v>1940563</v>
      </c>
      <c r="H255" s="1050"/>
      <c r="I255" s="245">
        <v>2.4E-2</v>
      </c>
      <c r="J255" s="246">
        <v>3.7999999999999999E-2</v>
      </c>
      <c r="K255" s="247">
        <v>0.04</v>
      </c>
      <c r="L255" s="248">
        <v>3.5000000000000003E-2</v>
      </c>
      <c r="M255" s="249">
        <v>4.3999999999999997E-2</v>
      </c>
      <c r="N255" s="900"/>
      <c r="O255" s="881"/>
      <c r="P255" s="881"/>
      <c r="Q255" s="881"/>
      <c r="S255" s="193">
        <v>2023</v>
      </c>
      <c r="T255" s="193">
        <f t="shared" si="402"/>
        <v>2013</v>
      </c>
    </row>
    <row r="256" spans="1:21" ht="14.4" thickBot="1" x14ac:dyDescent="0.3">
      <c r="A256" s="1048"/>
      <c r="B256" s="596" t="s">
        <v>758</v>
      </c>
      <c r="C256" s="117">
        <v>46263</v>
      </c>
      <c r="D256" s="118">
        <v>66941</v>
      </c>
      <c r="E256" s="119">
        <v>59426</v>
      </c>
      <c r="F256" s="613">
        <v>172630</v>
      </c>
      <c r="G256" s="612">
        <v>2113193</v>
      </c>
      <c r="H256" s="1050"/>
      <c r="I256" s="600">
        <v>6.4000000000000001E-2</v>
      </c>
      <c r="J256" s="601">
        <v>6.6000000000000003E-2</v>
      </c>
      <c r="K256" s="602">
        <v>9.1999999999999998E-2</v>
      </c>
      <c r="L256" s="603">
        <v>7.3999999999999996E-2</v>
      </c>
      <c r="M256" s="253">
        <v>4.5999999999999999E-2</v>
      </c>
      <c r="N256" s="900"/>
      <c r="O256" s="881"/>
      <c r="P256" s="881"/>
      <c r="Q256" s="881"/>
      <c r="S256" s="193">
        <v>2023</v>
      </c>
      <c r="T256" s="193">
        <f t="shared" si="402"/>
        <v>2013</v>
      </c>
    </row>
    <row r="257" spans="1:20" ht="16.2" thickBot="1" x14ac:dyDescent="0.3">
      <c r="A257" s="1052" t="s">
        <v>825</v>
      </c>
      <c r="B257" s="1053"/>
      <c r="C257" s="614">
        <v>45800</v>
      </c>
      <c r="D257" s="615">
        <v>67900</v>
      </c>
      <c r="E257" s="615">
        <v>62400</v>
      </c>
      <c r="F257" s="597"/>
      <c r="G257" s="594"/>
      <c r="H257" s="1051"/>
      <c r="I257" s="616">
        <v>3.4000000000000002E-2</v>
      </c>
      <c r="J257" s="616">
        <v>5.0999999999999997E-2</v>
      </c>
      <c r="K257" s="617">
        <v>5.0999999999999997E-2</v>
      </c>
      <c r="L257" s="618" t="s">
        <v>832</v>
      </c>
      <c r="M257" s="617">
        <v>4.5999999999999999E-2</v>
      </c>
      <c r="N257" s="905">
        <f>Q312</f>
        <v>1.363427215266509E-2</v>
      </c>
      <c r="O257" s="885">
        <f>S312</f>
        <v>0.109605785881634</v>
      </c>
      <c r="P257" s="885"/>
      <c r="Q257" s="887">
        <f>(M257*6+N257+O257)/8</f>
        <v>4.9905007254287391E-2</v>
      </c>
      <c r="S257" s="193">
        <v>2023</v>
      </c>
      <c r="T257" s="193">
        <f>T256+$T$98</f>
        <v>2013</v>
      </c>
    </row>
    <row r="258" spans="1:20" ht="14.25" customHeight="1" x14ac:dyDescent="0.25">
      <c r="A258" s="1047">
        <v>2024</v>
      </c>
      <c r="B258" s="595" t="s">
        <v>710</v>
      </c>
      <c r="C258" s="120">
        <v>44088</v>
      </c>
      <c r="D258" s="121">
        <v>62645</v>
      </c>
      <c r="E258" s="122">
        <v>56106</v>
      </c>
      <c r="F258" s="123">
        <f>SUM(C258:E258)</f>
        <v>162839</v>
      </c>
      <c r="G258" s="125">
        <f>SUM($F$258:F258)</f>
        <v>162839</v>
      </c>
      <c r="H258" s="1049" t="s">
        <v>833</v>
      </c>
      <c r="I258" s="785">
        <v>0.04</v>
      </c>
      <c r="J258" s="786">
        <v>2.9000000000000001E-2</v>
      </c>
      <c r="K258" s="787">
        <v>4.2999999999999997E-2</v>
      </c>
      <c r="L258" s="788">
        <v>3.6999999999999998E-2</v>
      </c>
      <c r="M258" s="789">
        <v>3.6999999999999998E-2</v>
      </c>
      <c r="N258" s="903"/>
      <c r="O258" s="886"/>
      <c r="P258" s="886"/>
      <c r="Q258" s="886"/>
      <c r="T258" s="193">
        <f t="shared" si="402"/>
        <v>2013</v>
      </c>
    </row>
    <row r="259" spans="1:20" ht="14.25" customHeight="1" x14ac:dyDescent="0.25">
      <c r="A259" s="1047"/>
      <c r="B259" s="596" t="s">
        <v>715</v>
      </c>
      <c r="C259" s="120">
        <v>47016</v>
      </c>
      <c r="D259" s="121">
        <v>67610</v>
      </c>
      <c r="E259" s="122">
        <v>61629</v>
      </c>
      <c r="F259" s="124">
        <f t="shared" ref="F259:F269" si="403">SUM(C259:E259)</f>
        <v>176255</v>
      </c>
      <c r="G259" s="125">
        <f>SUM($F$258:F259)</f>
        <v>339094</v>
      </c>
      <c r="H259" s="1050"/>
      <c r="I259" s="790">
        <v>6.5000000000000002E-2</v>
      </c>
      <c r="J259" s="791">
        <v>6.0999999999999999E-2</v>
      </c>
      <c r="K259" s="792">
        <v>7.4999999999999997E-2</v>
      </c>
      <c r="L259" s="793">
        <v>6.7000000000000004E-2</v>
      </c>
      <c r="M259" s="794">
        <v>5.1999999999999998E-2</v>
      </c>
      <c r="N259" s="903"/>
      <c r="O259" s="886"/>
      <c r="P259" s="886"/>
      <c r="Q259" s="886"/>
      <c r="S259" s="193">
        <v>2024</v>
      </c>
      <c r="T259" s="193">
        <f t="shared" si="402"/>
        <v>2013</v>
      </c>
    </row>
    <row r="260" spans="1:20" ht="14.25" customHeight="1" x14ac:dyDescent="0.25">
      <c r="A260" s="1047"/>
      <c r="B260" s="595" t="s">
        <v>718</v>
      </c>
      <c r="C260" s="120">
        <v>46557</v>
      </c>
      <c r="D260" s="121">
        <v>67725</v>
      </c>
      <c r="E260" s="122">
        <v>62585</v>
      </c>
      <c r="F260" s="124">
        <f t="shared" si="403"/>
        <v>176867</v>
      </c>
      <c r="G260" s="125">
        <f>SUM($F$258:F260)</f>
        <v>515961</v>
      </c>
      <c r="H260" s="1050"/>
      <c r="I260" s="795">
        <v>-3.2000000000000001E-2</v>
      </c>
      <c r="J260" s="796">
        <v>-1.9E-2</v>
      </c>
      <c r="K260" s="797">
        <v>-1.7999999999999999E-2</v>
      </c>
      <c r="L260" s="798">
        <v>-2.1999999999999999E-2</v>
      </c>
      <c r="M260" s="794">
        <v>2.5999999999999999E-2</v>
      </c>
      <c r="N260" s="903"/>
      <c r="O260" s="886"/>
      <c r="P260" s="886"/>
      <c r="Q260" s="886"/>
      <c r="S260" s="193">
        <v>2024</v>
      </c>
      <c r="T260" s="193">
        <f t="shared" si="402"/>
        <v>2013</v>
      </c>
    </row>
    <row r="261" spans="1:20" ht="14.25" customHeight="1" x14ac:dyDescent="0.25">
      <c r="A261" s="1047"/>
      <c r="B261" s="596" t="s">
        <v>725</v>
      </c>
      <c r="C261" s="120">
        <v>48432</v>
      </c>
      <c r="D261" s="121">
        <v>71305</v>
      </c>
      <c r="E261" s="122">
        <v>65216</v>
      </c>
      <c r="F261" s="124">
        <f t="shared" si="403"/>
        <v>184953</v>
      </c>
      <c r="G261" s="125">
        <f>SUM($F$258:F261)</f>
        <v>700914</v>
      </c>
      <c r="H261" s="1050"/>
      <c r="I261" s="790">
        <v>0.11</v>
      </c>
      <c r="J261" s="791">
        <v>0.11</v>
      </c>
      <c r="K261" s="792">
        <v>0.152</v>
      </c>
      <c r="L261" s="793">
        <v>0.124</v>
      </c>
      <c r="M261" s="794">
        <v>0.05</v>
      </c>
      <c r="N261" s="903"/>
      <c r="O261" s="886"/>
      <c r="P261" s="886"/>
      <c r="Q261" s="886"/>
      <c r="S261" s="193">
        <v>2024</v>
      </c>
      <c r="T261" s="193">
        <f t="shared" si="402"/>
        <v>2013</v>
      </c>
    </row>
    <row r="262" spans="1:20" ht="14.25" customHeight="1" x14ac:dyDescent="0.25">
      <c r="A262" s="1047"/>
      <c r="B262" s="595" t="s">
        <v>730</v>
      </c>
      <c r="C262" s="120">
        <v>48323</v>
      </c>
      <c r="D262" s="121">
        <v>72833</v>
      </c>
      <c r="E262" s="122">
        <v>66970</v>
      </c>
      <c r="F262" s="124">
        <f t="shared" si="403"/>
        <v>188126</v>
      </c>
      <c r="G262" s="125">
        <f>SUM($F$258:F262)</f>
        <v>889040</v>
      </c>
      <c r="H262" s="1050"/>
      <c r="I262" s="790">
        <v>4.1000000000000002E-2</v>
      </c>
      <c r="J262" s="791">
        <v>5.0999999999999997E-2</v>
      </c>
      <c r="K262" s="792">
        <v>3.5000000000000003E-2</v>
      </c>
      <c r="L262" s="793">
        <v>4.2999999999999997E-2</v>
      </c>
      <c r="M262" s="794">
        <v>4.8000000000000001E-2</v>
      </c>
      <c r="N262" s="903"/>
      <c r="O262" s="886"/>
      <c r="P262" s="886"/>
      <c r="Q262" s="886"/>
      <c r="S262" s="193">
        <v>2024</v>
      </c>
      <c r="T262" s="193">
        <f t="shared" si="402"/>
        <v>2013</v>
      </c>
    </row>
    <row r="263" spans="1:20" ht="14.25" customHeight="1" x14ac:dyDescent="0.25">
      <c r="A263" s="1047"/>
      <c r="B263" s="596" t="s">
        <v>735</v>
      </c>
      <c r="C263" s="120">
        <v>45987</v>
      </c>
      <c r="D263" s="121">
        <v>71622</v>
      </c>
      <c r="E263" s="122">
        <v>66941</v>
      </c>
      <c r="F263" s="124">
        <f t="shared" si="403"/>
        <v>184550</v>
      </c>
      <c r="G263" s="125">
        <f>SUM($F$258:F263)</f>
        <v>1073590</v>
      </c>
      <c r="H263" s="1050"/>
      <c r="I263" s="795">
        <v>-8.0000000000000002E-3</v>
      </c>
      <c r="J263" s="799">
        <v>-1.7999999999999999E-2</v>
      </c>
      <c r="K263" s="800">
        <v>-1.4999999999999999E-2</v>
      </c>
      <c r="L263" s="801">
        <v>-1.4999999999999999E-2</v>
      </c>
      <c r="M263" s="794">
        <v>3.6999999999999998E-2</v>
      </c>
      <c r="N263" s="903"/>
      <c r="O263" s="886"/>
      <c r="P263" s="886"/>
      <c r="Q263" s="886"/>
      <c r="S263" s="193">
        <v>2024</v>
      </c>
      <c r="T263" s="193">
        <f t="shared" si="402"/>
        <v>2013</v>
      </c>
    </row>
    <row r="264" spans="1:20" ht="14.25" customHeight="1" x14ac:dyDescent="0.25">
      <c r="A264" s="1047"/>
      <c r="B264" s="595" t="s">
        <v>740</v>
      </c>
      <c r="C264" s="120">
        <v>43229</v>
      </c>
      <c r="D264" s="121">
        <v>69160</v>
      </c>
      <c r="E264" s="122">
        <v>65325</v>
      </c>
      <c r="F264" s="124">
        <f t="shared" si="403"/>
        <v>177714</v>
      </c>
      <c r="G264" s="125">
        <f>SUM($F$258:F264)</f>
        <v>1251304</v>
      </c>
      <c r="H264" s="1050"/>
      <c r="I264" s="790">
        <v>4.9000000000000002E-2</v>
      </c>
      <c r="J264" s="791">
        <v>3.4000000000000002E-2</v>
      </c>
      <c r="K264" s="792">
        <v>1.9E-2</v>
      </c>
      <c r="L264" s="793">
        <v>3.2000000000000001E-2</v>
      </c>
      <c r="M264" s="794">
        <v>3.5999999999999997E-2</v>
      </c>
      <c r="N264" s="903"/>
      <c r="O264" s="886"/>
      <c r="P264" s="886"/>
      <c r="Q264" s="886"/>
      <c r="S264" s="193">
        <v>2024</v>
      </c>
      <c r="T264" s="193">
        <f>T263+$T$98</f>
        <v>2013</v>
      </c>
    </row>
    <row r="265" spans="1:20" ht="14.25" customHeight="1" x14ac:dyDescent="0.25">
      <c r="A265" s="1047"/>
      <c r="B265" s="596" t="s">
        <v>752</v>
      </c>
      <c r="C265" s="120">
        <v>47431</v>
      </c>
      <c r="D265" s="121">
        <v>70740</v>
      </c>
      <c r="E265" s="122">
        <v>67360</v>
      </c>
      <c r="F265" s="124">
        <f t="shared" si="403"/>
        <v>185531</v>
      </c>
      <c r="G265" s="125">
        <f>SUM($F$258:F265)</f>
        <v>1436835</v>
      </c>
      <c r="H265" s="1050"/>
      <c r="I265" s="790">
        <v>5.6000000000000001E-2</v>
      </c>
      <c r="J265" s="791">
        <v>2.8000000000000001E-2</v>
      </c>
      <c r="K265" s="792">
        <v>1.0999999999999999E-2</v>
      </c>
      <c r="L265" s="793">
        <v>2.9000000000000001E-2</v>
      </c>
      <c r="M265" s="794">
        <v>3.5000000000000003E-2</v>
      </c>
      <c r="N265" s="903"/>
      <c r="O265" s="886"/>
      <c r="P265" s="886"/>
      <c r="Q265" s="886"/>
      <c r="S265" s="193">
        <v>2024</v>
      </c>
      <c r="T265" s="193">
        <f>T264+$T$98</f>
        <v>2013</v>
      </c>
    </row>
    <row r="266" spans="1:20" ht="14.25" customHeight="1" x14ac:dyDescent="0.25">
      <c r="A266" s="1047"/>
      <c r="B266" s="595" t="s">
        <v>754</v>
      </c>
      <c r="C266" s="120">
        <v>50143</v>
      </c>
      <c r="D266" s="121">
        <v>72766</v>
      </c>
      <c r="E266" s="122">
        <v>67535</v>
      </c>
      <c r="F266" s="124">
        <f t="shared" si="403"/>
        <v>190444</v>
      </c>
      <c r="G266" s="125">
        <f>SUM($F$258:F266)</f>
        <v>1627279</v>
      </c>
      <c r="H266" s="1050"/>
      <c r="I266" s="790">
        <v>1.7999999999999999E-2</v>
      </c>
      <c r="J266" s="791">
        <v>0.02</v>
      </c>
      <c r="K266" s="792">
        <v>1.4E-2</v>
      </c>
      <c r="L266" s="793">
        <v>1.7000000000000001E-2</v>
      </c>
      <c r="M266" s="794">
        <v>3.3000000000000002E-2</v>
      </c>
      <c r="N266" s="903"/>
      <c r="O266" s="886"/>
      <c r="P266" s="886"/>
      <c r="Q266" s="886"/>
      <c r="S266" s="193">
        <v>2024</v>
      </c>
      <c r="T266" s="193">
        <f t="shared" si="402"/>
        <v>2013</v>
      </c>
    </row>
    <row r="267" spans="1:20" ht="14.25" customHeight="1" x14ac:dyDescent="0.25">
      <c r="A267" s="1047"/>
      <c r="B267" s="596" t="s">
        <v>755</v>
      </c>
      <c r="C267" s="120">
        <v>50296</v>
      </c>
      <c r="D267" s="121">
        <v>72854</v>
      </c>
      <c r="E267" s="122">
        <v>65947</v>
      </c>
      <c r="F267" s="124">
        <f t="shared" si="403"/>
        <v>189097</v>
      </c>
      <c r="G267" s="125">
        <f>SUM($F$258:F267)</f>
        <v>1816376</v>
      </c>
      <c r="H267" s="1050"/>
      <c r="I267" s="790">
        <v>4.5999999999999999E-2</v>
      </c>
      <c r="J267" s="791">
        <v>4.7E-2</v>
      </c>
      <c r="K267" s="792">
        <v>0.03</v>
      </c>
      <c r="L267" s="793">
        <v>4.1000000000000002E-2</v>
      </c>
      <c r="M267" s="794">
        <v>3.4000000000000002E-2</v>
      </c>
      <c r="N267" s="903"/>
      <c r="O267" s="886"/>
      <c r="P267" s="886"/>
      <c r="Q267" s="886"/>
      <c r="S267" s="193">
        <v>2024</v>
      </c>
      <c r="T267" s="193">
        <f t="shared" si="402"/>
        <v>2013</v>
      </c>
    </row>
    <row r="268" spans="1:20" ht="14.25" customHeight="1" x14ac:dyDescent="0.25">
      <c r="A268" s="1047"/>
      <c r="B268" s="595" t="s">
        <v>756</v>
      </c>
      <c r="C268" s="120">
        <v>49357</v>
      </c>
      <c r="D268" s="121">
        <v>71739</v>
      </c>
      <c r="E268" s="122">
        <v>63628</v>
      </c>
      <c r="F268" s="124">
        <f t="shared" si="403"/>
        <v>184724</v>
      </c>
      <c r="G268" s="125">
        <f>SUM($F$258:F268)</f>
        <v>2001100</v>
      </c>
      <c r="H268" s="1050"/>
      <c r="I268" s="795">
        <v>-5.8999999999999997E-2</v>
      </c>
      <c r="J268" s="791">
        <v>1.2E-2</v>
      </c>
      <c r="K268" s="797">
        <v>-8.9999999999999993E-3</v>
      </c>
      <c r="L268" s="798">
        <v>-1.4E-2</v>
      </c>
      <c r="M268" s="794">
        <v>2.9000000000000001E-2</v>
      </c>
      <c r="N268" s="903"/>
      <c r="O268" s="886"/>
      <c r="P268" s="886"/>
      <c r="Q268" s="886"/>
      <c r="S268" s="193">
        <v>2024</v>
      </c>
      <c r="T268" s="193">
        <f t="shared" si="402"/>
        <v>2013</v>
      </c>
    </row>
    <row r="269" spans="1:20" ht="14.25" customHeight="1" thickBot="1" x14ac:dyDescent="0.3">
      <c r="A269" s="1048"/>
      <c r="B269" s="596" t="s">
        <v>758</v>
      </c>
      <c r="C269" s="120">
        <v>45766</v>
      </c>
      <c r="D269" s="121">
        <v>65696</v>
      </c>
      <c r="E269" s="122">
        <v>57682</v>
      </c>
      <c r="F269" s="784">
        <f t="shared" si="403"/>
        <v>169144</v>
      </c>
      <c r="G269" s="125">
        <f>SUM($F$258:F269)</f>
        <v>2170244</v>
      </c>
      <c r="H269" s="1050"/>
      <c r="I269" s="802">
        <v>6.7000000000000004E-2</v>
      </c>
      <c r="J269" s="803">
        <v>-1.9E-2</v>
      </c>
      <c r="K269" s="804">
        <v>-2.9000000000000001E-2</v>
      </c>
      <c r="L269" s="805">
        <v>1E-3</v>
      </c>
      <c r="M269" s="806">
        <v>2.7E-2</v>
      </c>
      <c r="N269" s="903"/>
      <c r="O269" s="886"/>
      <c r="P269" s="886"/>
      <c r="Q269" s="886"/>
      <c r="S269" s="193">
        <v>2024</v>
      </c>
      <c r="T269" s="193">
        <f t="shared" si="402"/>
        <v>2013</v>
      </c>
    </row>
    <row r="270" spans="1:20" ht="14.25" customHeight="1" thickBot="1" x14ac:dyDescent="0.3">
      <c r="A270" s="1052" t="s">
        <v>825</v>
      </c>
      <c r="B270" s="1053"/>
      <c r="C270" s="108">
        <f>AVERAGE(C258:C269)</f>
        <v>47218.75</v>
      </c>
      <c r="D270" s="108">
        <f>AVERAGE(D258:D269)</f>
        <v>69724.583333333328</v>
      </c>
      <c r="E270" s="108">
        <f>AVERAGE(E258:E269)</f>
        <v>63910.333333333336</v>
      </c>
      <c r="F270" s="807"/>
      <c r="G270" s="808"/>
      <c r="H270" s="1051"/>
      <c r="I270" s="809">
        <v>3.1E-2</v>
      </c>
      <c r="J270" s="809">
        <v>2.7E-2</v>
      </c>
      <c r="K270" s="810">
        <v>2.4E-2</v>
      </c>
      <c r="L270" s="811"/>
      <c r="M270" s="810">
        <v>2.7E-2</v>
      </c>
      <c r="N270" s="904">
        <f>Q313</f>
        <v>6.9285168195718115E-3</v>
      </c>
      <c r="O270" s="887">
        <f>S313</f>
        <v>-2.2675112457541616E-2</v>
      </c>
      <c r="P270" s="887"/>
      <c r="Q270" s="887">
        <f>(M270*6+N270+O270)/8</f>
        <v>1.8281675545253777E-2</v>
      </c>
      <c r="S270" s="193">
        <v>2024</v>
      </c>
      <c r="T270" s="193">
        <f t="shared" si="402"/>
        <v>2013</v>
      </c>
    </row>
    <row r="271" spans="1:20" ht="13.8" x14ac:dyDescent="0.25">
      <c r="A271" s="1047">
        <v>2025</v>
      </c>
      <c r="B271" s="595" t="s">
        <v>710</v>
      </c>
      <c r="C271" s="120">
        <v>44875</v>
      </c>
      <c r="D271" s="121">
        <v>64628</v>
      </c>
      <c r="E271" s="122">
        <v>57083</v>
      </c>
      <c r="F271" s="123">
        <f>SUM(C271:E271)</f>
        <v>166586</v>
      </c>
      <c r="G271" s="125">
        <f>SUM($F$271:F271)</f>
        <v>166586</v>
      </c>
      <c r="H271" s="1049" t="s">
        <v>833</v>
      </c>
      <c r="I271" s="785">
        <f>(C271-C258)/C258</f>
        <v>1.7850662311740158E-2</v>
      </c>
      <c r="J271" s="786">
        <f t="shared" ref="J271:J281" si="404">(D271-D258)/D258</f>
        <v>3.165456141751137E-2</v>
      </c>
      <c r="K271" s="787">
        <f t="shared" ref="K271:K281" si="405">(E271-E258)/E258</f>
        <v>1.741346736534417E-2</v>
      </c>
      <c r="L271" s="787">
        <f>(F271-F258)/F258</f>
        <v>2.3010458182622099E-2</v>
      </c>
      <c r="M271" s="787">
        <f t="shared" ref="M271" si="406">(G271-G258)/G258</f>
        <v>2.3010458182622099E-2</v>
      </c>
      <c r="N271" s="903"/>
      <c r="O271" s="886"/>
      <c r="P271" s="886"/>
      <c r="Q271" s="886"/>
      <c r="T271" s="193">
        <f>T270+$T$98</f>
        <v>2013</v>
      </c>
    </row>
    <row r="272" spans="1:20" ht="13.8" x14ac:dyDescent="0.25">
      <c r="A272" s="1047"/>
      <c r="B272" s="596" t="s">
        <v>715</v>
      </c>
      <c r="C272" s="120">
        <v>47019</v>
      </c>
      <c r="D272" s="121">
        <v>68235</v>
      </c>
      <c r="E272" s="122">
        <v>61116</v>
      </c>
      <c r="F272" s="124">
        <f t="shared" ref="F272:F282" si="407">SUM(C272:E272)</f>
        <v>176370</v>
      </c>
      <c r="G272" s="125">
        <f>SUM($F$271:F272)</f>
        <v>342956</v>
      </c>
      <c r="H272" s="1050"/>
      <c r="I272" s="790">
        <f t="shared" ref="I272:I281" si="408">(C272-C259)/C259</f>
        <v>6.380806533945891E-5</v>
      </c>
      <c r="J272" s="791">
        <f t="shared" si="404"/>
        <v>9.2441946457624616E-3</v>
      </c>
      <c r="K272" s="792">
        <f t="shared" si="405"/>
        <v>-8.324003310129972E-3</v>
      </c>
      <c r="L272" s="793">
        <f t="shared" ref="L272:L282" si="409">(F272-F259)/F259</f>
        <v>6.5246375989333634E-4</v>
      </c>
      <c r="M272" s="794">
        <f t="shared" ref="M272:M282" si="410">(G272-G259)/G259</f>
        <v>1.1389172323898389E-2</v>
      </c>
      <c r="N272" s="903"/>
      <c r="O272" s="886"/>
      <c r="P272" s="886"/>
      <c r="Q272" s="886"/>
      <c r="S272" s="193">
        <v>2025</v>
      </c>
      <c r="T272" s="193">
        <f t="shared" si="402"/>
        <v>2013</v>
      </c>
    </row>
    <row r="273" spans="1:20" ht="13.8" x14ac:dyDescent="0.25">
      <c r="A273" s="1047"/>
      <c r="B273" s="595" t="s">
        <v>718</v>
      </c>
      <c r="C273" s="120">
        <v>49077</v>
      </c>
      <c r="D273" s="121">
        <v>70984</v>
      </c>
      <c r="E273" s="122">
        <v>64188</v>
      </c>
      <c r="F273" s="124">
        <f t="shared" si="407"/>
        <v>184249</v>
      </c>
      <c r="G273" s="125">
        <f>SUM($F$271:F273)</f>
        <v>527205</v>
      </c>
      <c r="H273" s="1050"/>
      <c r="I273" s="795">
        <f t="shared" si="408"/>
        <v>5.4127198917456022E-2</v>
      </c>
      <c r="J273" s="796">
        <f t="shared" si="404"/>
        <v>4.8121077888519749E-2</v>
      </c>
      <c r="K273" s="797">
        <f t="shared" si="405"/>
        <v>2.5613166094112006E-2</v>
      </c>
      <c r="L273" s="798">
        <f t="shared" si="409"/>
        <v>4.1737576823262679E-2</v>
      </c>
      <c r="M273" s="794">
        <f t="shared" si="410"/>
        <v>2.1792344770244262E-2</v>
      </c>
      <c r="N273" s="903"/>
      <c r="O273" s="886"/>
      <c r="P273" s="886"/>
      <c r="Q273" s="886"/>
      <c r="S273" s="193">
        <v>2025</v>
      </c>
      <c r="T273" s="193">
        <f t="shared" si="402"/>
        <v>2013</v>
      </c>
    </row>
    <row r="274" spans="1:20" ht="13.8" x14ac:dyDescent="0.25">
      <c r="A274" s="1047"/>
      <c r="B274" s="596" t="s">
        <v>725</v>
      </c>
      <c r="C274" s="120">
        <v>46573</v>
      </c>
      <c r="D274" s="121">
        <v>69017</v>
      </c>
      <c r="E274" s="122">
        <v>64370</v>
      </c>
      <c r="F274" s="124">
        <f t="shared" si="407"/>
        <v>179960</v>
      </c>
      <c r="G274" s="125">
        <f>SUM($F$271:F274)</f>
        <v>707165</v>
      </c>
      <c r="H274" s="1050"/>
      <c r="I274" s="790">
        <f t="shared" si="408"/>
        <v>-3.8383713247439707E-2</v>
      </c>
      <c r="J274" s="791">
        <f t="shared" si="404"/>
        <v>-3.2087511394712852E-2</v>
      </c>
      <c r="K274" s="792">
        <f t="shared" si="405"/>
        <v>-1.2972276741903828E-2</v>
      </c>
      <c r="L274" s="793">
        <f t="shared" si="409"/>
        <v>-2.6996047644536721E-2</v>
      </c>
      <c r="M274" s="794">
        <f t="shared" si="410"/>
        <v>8.9183551762413073E-3</v>
      </c>
      <c r="N274" s="903"/>
      <c r="O274" s="886"/>
      <c r="P274" s="886"/>
      <c r="Q274" s="886"/>
      <c r="S274" s="193">
        <v>2025</v>
      </c>
      <c r="T274" s="193">
        <f t="shared" si="402"/>
        <v>2013</v>
      </c>
    </row>
    <row r="275" spans="1:20" ht="13.8" x14ac:dyDescent="0.25">
      <c r="A275" s="1047"/>
      <c r="B275" s="595" t="s">
        <v>730</v>
      </c>
      <c r="C275" s="120">
        <v>49376</v>
      </c>
      <c r="D275" s="121">
        <v>73921</v>
      </c>
      <c r="E275" s="122">
        <v>69312</v>
      </c>
      <c r="F275" s="124">
        <f t="shared" si="407"/>
        <v>192609</v>
      </c>
      <c r="G275" s="125">
        <f>SUM($F$271:F275)</f>
        <v>899774</v>
      </c>
      <c r="H275" s="1050"/>
      <c r="I275" s="790">
        <f t="shared" si="408"/>
        <v>2.1790865633342302E-2</v>
      </c>
      <c r="J275" s="791">
        <f t="shared" si="404"/>
        <v>1.4938283470404899E-2</v>
      </c>
      <c r="K275" s="792">
        <f t="shared" si="405"/>
        <v>3.497088248469464E-2</v>
      </c>
      <c r="L275" s="793">
        <f t="shared" si="409"/>
        <v>2.3829773662332691E-2</v>
      </c>
      <c r="M275" s="794">
        <f t="shared" si="410"/>
        <v>1.2073697471429857E-2</v>
      </c>
      <c r="N275" s="903"/>
      <c r="O275" s="886"/>
      <c r="P275" s="886"/>
      <c r="Q275" s="886"/>
      <c r="S275" s="193">
        <v>2025</v>
      </c>
      <c r="T275" s="193">
        <f t="shared" si="402"/>
        <v>2013</v>
      </c>
    </row>
    <row r="276" spans="1:20" ht="13.8" x14ac:dyDescent="0.25">
      <c r="A276" s="1047"/>
      <c r="B276" s="596" t="s">
        <v>735</v>
      </c>
      <c r="C276" s="120">
        <v>46965</v>
      </c>
      <c r="D276" s="121">
        <v>72692</v>
      </c>
      <c r="E276" s="122">
        <v>68068</v>
      </c>
      <c r="F276" s="124">
        <f t="shared" si="407"/>
        <v>187725</v>
      </c>
      <c r="G276" s="125">
        <f>SUM($F$271:F276)</f>
        <v>1087499</v>
      </c>
      <c r="H276" s="1050"/>
      <c r="I276" s="795">
        <f t="shared" si="408"/>
        <v>2.1266879770369888E-2</v>
      </c>
      <c r="J276" s="799">
        <f t="shared" si="404"/>
        <v>1.4939543715618106E-2</v>
      </c>
      <c r="K276" s="800">
        <f t="shared" si="405"/>
        <v>1.6835721008051866E-2</v>
      </c>
      <c r="L276" s="801">
        <f t="shared" si="409"/>
        <v>1.7204009753454347E-2</v>
      </c>
      <c r="M276" s="794">
        <f t="shared" si="410"/>
        <v>1.2955597574493057E-2</v>
      </c>
      <c r="N276" s="903"/>
      <c r="O276" s="886"/>
      <c r="P276" s="886"/>
      <c r="Q276" s="886"/>
      <c r="S276" s="193">
        <v>2025</v>
      </c>
      <c r="T276" s="193">
        <f t="shared" si="402"/>
        <v>2013</v>
      </c>
    </row>
    <row r="277" spans="1:20" ht="13.8" x14ac:dyDescent="0.25">
      <c r="A277" s="1047"/>
      <c r="B277" s="595" t="s">
        <v>740</v>
      </c>
      <c r="C277" s="120">
        <v>44561</v>
      </c>
      <c r="D277" s="121">
        <v>69785</v>
      </c>
      <c r="E277" s="122">
        <v>67173</v>
      </c>
      <c r="F277" s="124">
        <f t="shared" si="407"/>
        <v>181519</v>
      </c>
      <c r="G277" s="125">
        <f>SUM($F$271:F277)</f>
        <v>1269018</v>
      </c>
      <c r="H277" s="1050"/>
      <c r="I277" s="790">
        <f t="shared" si="408"/>
        <v>3.0812648916236786E-2</v>
      </c>
      <c r="J277" s="791">
        <f t="shared" si="404"/>
        <v>9.0370156159629844E-3</v>
      </c>
      <c r="K277" s="792">
        <f t="shared" si="405"/>
        <v>2.8289322617680825E-2</v>
      </c>
      <c r="L277" s="793">
        <f t="shared" si="409"/>
        <v>2.1410806126697952E-2</v>
      </c>
      <c r="M277" s="794">
        <f t="shared" si="410"/>
        <v>1.4156432010127035E-2</v>
      </c>
      <c r="N277" s="903"/>
      <c r="O277" s="886"/>
      <c r="P277" s="886"/>
      <c r="Q277" s="886"/>
      <c r="S277" s="193">
        <v>2025</v>
      </c>
      <c r="T277" s="193">
        <f t="shared" si="402"/>
        <v>2013</v>
      </c>
    </row>
    <row r="278" spans="1:20" ht="13.8" x14ac:dyDescent="0.25">
      <c r="A278" s="1047"/>
      <c r="B278" s="596" t="s">
        <v>752</v>
      </c>
      <c r="C278" s="120">
        <v>47502</v>
      </c>
      <c r="D278" s="121">
        <v>70359</v>
      </c>
      <c r="E278" s="122">
        <v>68569</v>
      </c>
      <c r="F278" s="124">
        <f t="shared" si="407"/>
        <v>186430</v>
      </c>
      <c r="G278" s="125">
        <f>SUM($F$271:F278)</f>
        <v>1455448</v>
      </c>
      <c r="H278" s="1050"/>
      <c r="I278" s="790">
        <f t="shared" si="408"/>
        <v>1.4969113027344986E-3</v>
      </c>
      <c r="J278" s="791">
        <f t="shared" si="404"/>
        <v>-5.3859202714164551E-3</v>
      </c>
      <c r="K278" s="792">
        <f t="shared" si="405"/>
        <v>1.7948337292161519E-2</v>
      </c>
      <c r="L278" s="793">
        <f t="shared" si="409"/>
        <v>4.845551417283365E-3</v>
      </c>
      <c r="M278" s="794">
        <f t="shared" si="410"/>
        <v>1.2954166623168284E-2</v>
      </c>
      <c r="N278" s="903"/>
      <c r="O278" s="886"/>
      <c r="P278" s="886"/>
      <c r="Q278" s="886"/>
      <c r="S278" s="193">
        <v>2025</v>
      </c>
      <c r="T278" s="193">
        <f t="shared" si="402"/>
        <v>2013</v>
      </c>
    </row>
    <row r="279" spans="1:20" ht="13.8" x14ac:dyDescent="0.25">
      <c r="A279" s="1047"/>
      <c r="B279" s="595" t="s">
        <v>754</v>
      </c>
      <c r="C279" s="120">
        <v>49793</v>
      </c>
      <c r="D279" s="121">
        <v>73239</v>
      </c>
      <c r="E279" s="122">
        <v>68002</v>
      </c>
      <c r="F279" s="124">
        <f t="shared" si="407"/>
        <v>191034</v>
      </c>
      <c r="G279" s="125">
        <f>SUM($F$271:F279)</f>
        <v>1646482</v>
      </c>
      <c r="H279" s="1050"/>
      <c r="I279" s="790">
        <f t="shared" si="408"/>
        <v>-6.9800370939114131E-3</v>
      </c>
      <c r="J279" s="791">
        <f t="shared" si="404"/>
        <v>6.5002885963224583E-3</v>
      </c>
      <c r="K279" s="792">
        <f t="shared" si="405"/>
        <v>6.9149329977048939E-3</v>
      </c>
      <c r="L279" s="793">
        <f t="shared" si="409"/>
        <v>3.098023565982651E-3</v>
      </c>
      <c r="M279" s="794">
        <f t="shared" si="410"/>
        <v>1.1800680768325529E-2</v>
      </c>
      <c r="N279" s="903"/>
      <c r="O279" s="886"/>
      <c r="P279" s="886"/>
      <c r="Q279" s="886"/>
      <c r="S279" s="193">
        <v>2025</v>
      </c>
      <c r="T279" s="193">
        <f t="shared" si="402"/>
        <v>2013</v>
      </c>
    </row>
    <row r="280" spans="1:20" ht="13.8" x14ac:dyDescent="0.25">
      <c r="A280" s="1047"/>
      <c r="B280" s="596" t="s">
        <v>755</v>
      </c>
      <c r="C280" s="120">
        <v>46675</v>
      </c>
      <c r="D280" s="121">
        <v>70699</v>
      </c>
      <c r="E280" s="122">
        <v>64248</v>
      </c>
      <c r="F280" s="124">
        <f t="shared" si="407"/>
        <v>181622</v>
      </c>
      <c r="G280" s="125">
        <f>SUM($F$271:F280)</f>
        <v>1828104</v>
      </c>
      <c r="H280" s="1050"/>
      <c r="I280" s="790">
        <f t="shared" si="408"/>
        <v>-7.1993796723397493E-2</v>
      </c>
      <c r="J280" s="791">
        <f t="shared" si="404"/>
        <v>-2.9579707359925329E-2</v>
      </c>
      <c r="K280" s="792">
        <f t="shared" si="405"/>
        <v>-2.5763112802705202E-2</v>
      </c>
      <c r="L280" s="793">
        <f t="shared" si="409"/>
        <v>-3.9529976678635829E-2</v>
      </c>
      <c r="M280" s="794">
        <f t="shared" si="410"/>
        <v>6.4568129065788139E-3</v>
      </c>
      <c r="N280" s="903"/>
      <c r="O280" s="886"/>
      <c r="P280" s="886"/>
      <c r="Q280" s="886"/>
      <c r="S280" s="193">
        <v>2025</v>
      </c>
      <c r="T280" s="193">
        <f t="shared" si="402"/>
        <v>2013</v>
      </c>
    </row>
    <row r="281" spans="1:20" ht="13.8" x14ac:dyDescent="0.25">
      <c r="A281" s="1047"/>
      <c r="B281" s="595" t="s">
        <v>756</v>
      </c>
      <c r="C281" s="120">
        <v>47903</v>
      </c>
      <c r="D281" s="121">
        <v>70936</v>
      </c>
      <c r="E281" s="122">
        <v>63542</v>
      </c>
      <c r="F281" s="124">
        <f t="shared" si="407"/>
        <v>182381</v>
      </c>
      <c r="G281" s="125">
        <f>SUM($F$271:F281)</f>
        <v>2010485</v>
      </c>
      <c r="H281" s="1050"/>
      <c r="I281" s="795">
        <f t="shared" si="408"/>
        <v>-2.9458840691289991E-2</v>
      </c>
      <c r="J281" s="791">
        <f t="shared" si="404"/>
        <v>-1.1193353684885488E-2</v>
      </c>
      <c r="K281" s="797">
        <f t="shared" si="405"/>
        <v>-1.3516062111020306E-3</v>
      </c>
      <c r="L281" s="798">
        <f t="shared" si="409"/>
        <v>-1.2683787704900284E-2</v>
      </c>
      <c r="M281" s="794">
        <f t="shared" si="410"/>
        <v>4.6899205437009647E-3</v>
      </c>
      <c r="N281" s="903"/>
      <c r="O281" s="886"/>
      <c r="P281" s="886"/>
      <c r="Q281" s="886"/>
      <c r="S281" s="193">
        <v>2025</v>
      </c>
      <c r="T281" s="193">
        <f t="shared" si="402"/>
        <v>2013</v>
      </c>
    </row>
    <row r="282" spans="1:20" ht="14.4" thickBot="1" x14ac:dyDescent="0.3">
      <c r="A282" s="1048"/>
      <c r="B282" s="596" t="s">
        <v>758</v>
      </c>
      <c r="C282" s="120">
        <v>46879</v>
      </c>
      <c r="D282" s="121">
        <v>68744</v>
      </c>
      <c r="E282" s="122">
        <v>60742</v>
      </c>
      <c r="F282" s="784">
        <f t="shared" si="407"/>
        <v>176365</v>
      </c>
      <c r="G282" s="125">
        <f>SUM($F$271:F282)</f>
        <v>2186850</v>
      </c>
      <c r="H282" s="1050"/>
      <c r="I282" s="802">
        <f t="shared" ref="I282:K283" si="411">(C282-C269)/C269</f>
        <v>2.4319363719791987E-2</v>
      </c>
      <c r="J282" s="802">
        <f t="shared" si="411"/>
        <v>4.6395518753044325E-2</v>
      </c>
      <c r="K282" s="804">
        <f t="shared" si="411"/>
        <v>5.3049478173433653E-2</v>
      </c>
      <c r="L282" s="805">
        <f t="shared" si="409"/>
        <v>4.2691434517334342E-2</v>
      </c>
      <c r="M282" s="806">
        <f t="shared" si="410"/>
        <v>7.6516741896302904E-3</v>
      </c>
      <c r="N282" s="903"/>
      <c r="O282" s="886"/>
      <c r="P282" s="886"/>
      <c r="Q282" s="886"/>
      <c r="S282" s="193">
        <v>2025</v>
      </c>
      <c r="T282" s="193">
        <f t="shared" si="402"/>
        <v>2013</v>
      </c>
    </row>
    <row r="283" spans="1:20" ht="16.2" thickBot="1" x14ac:dyDescent="0.3">
      <c r="A283" s="1052" t="s">
        <v>825</v>
      </c>
      <c r="B283" s="1053"/>
      <c r="C283" s="108">
        <f>AVERAGE(C271:C282)</f>
        <v>47266.5</v>
      </c>
      <c r="D283" s="108">
        <f>AVERAGE(D271:D282)</f>
        <v>70269.916666666672</v>
      </c>
      <c r="E283" s="108">
        <f>AVERAGE(E271:E282)</f>
        <v>64701.083333333336</v>
      </c>
      <c r="F283" s="807"/>
      <c r="G283" s="808"/>
      <c r="H283" s="1051"/>
      <c r="I283" s="809">
        <f t="shared" si="411"/>
        <v>1.0112508272667109E-3</v>
      </c>
      <c r="J283" s="809">
        <f t="shared" si="411"/>
        <v>7.8212490812065525E-3</v>
      </c>
      <c r="K283" s="810">
        <f t="shared" si="411"/>
        <v>1.23728035633257E-2</v>
      </c>
      <c r="L283" s="811"/>
      <c r="M283" s="810">
        <f>M282</f>
        <v>7.6516741896302904E-3</v>
      </c>
      <c r="N283" s="887">
        <f>Q314</f>
        <v>-2.0950979926920667E-2</v>
      </c>
      <c r="O283" s="887">
        <f>S314</f>
        <v>-4.9940509737616601E-2</v>
      </c>
      <c r="P283" s="887"/>
      <c r="Q283" s="887">
        <f>(M283*6+N283+O283)/8</f>
        <v>-3.1226805658444408E-3</v>
      </c>
      <c r="S283" s="193">
        <v>2025</v>
      </c>
      <c r="T283" s="193">
        <f t="shared" si="402"/>
        <v>2013</v>
      </c>
    </row>
    <row r="284" spans="1:20" ht="13.8" x14ac:dyDescent="0.25">
      <c r="T284" s="193">
        <f t="shared" si="402"/>
        <v>2013</v>
      </c>
    </row>
    <row r="285" spans="1:20" ht="13.8" x14ac:dyDescent="0.25">
      <c r="L285">
        <f>SUM(I283:K283)/3</f>
        <v>7.068434490599654E-3</v>
      </c>
      <c r="M285">
        <f>M283*3</f>
        <v>2.295502256889087E-2</v>
      </c>
      <c r="T285" s="193">
        <f t="shared" si="402"/>
        <v>2013</v>
      </c>
    </row>
    <row r="286" spans="1:20" ht="13.8" x14ac:dyDescent="0.25">
      <c r="T286" s="193">
        <f t="shared" si="402"/>
        <v>2013</v>
      </c>
    </row>
    <row r="287" spans="1:20" ht="13.8" x14ac:dyDescent="0.25">
      <c r="T287" s="193">
        <f t="shared" si="402"/>
        <v>2013</v>
      </c>
    </row>
    <row r="288" spans="1:20" ht="13.8" x14ac:dyDescent="0.25">
      <c r="T288" s="193">
        <f t="shared" si="402"/>
        <v>2013</v>
      </c>
    </row>
    <row r="289" spans="13:20" ht="13.8" x14ac:dyDescent="0.25">
      <c r="T289" s="193">
        <f t="shared" si="402"/>
        <v>2013</v>
      </c>
    </row>
    <row r="290" spans="13:20" ht="13.8" x14ac:dyDescent="0.25">
      <c r="T290" s="193">
        <f t="shared" si="402"/>
        <v>2013</v>
      </c>
    </row>
    <row r="291" spans="13:20" ht="13.8" x14ac:dyDescent="0.25">
      <c r="T291" s="193">
        <f t="shared" si="402"/>
        <v>2013</v>
      </c>
    </row>
    <row r="292" spans="13:20" ht="13.8" x14ac:dyDescent="0.25">
      <c r="T292" s="193">
        <f t="shared" si="402"/>
        <v>2013</v>
      </c>
    </row>
    <row r="294" spans="13:20" x14ac:dyDescent="0.25">
      <c r="N294" t="s">
        <v>660</v>
      </c>
      <c r="P294" t="s">
        <v>834</v>
      </c>
      <c r="R294" t="s">
        <v>835</v>
      </c>
    </row>
    <row r="295" spans="13:20" x14ac:dyDescent="0.25">
      <c r="M295">
        <v>2006</v>
      </c>
      <c r="N295">
        <v>27180</v>
      </c>
    </row>
    <row r="296" spans="13:20" x14ac:dyDescent="0.25">
      <c r="M296">
        <v>2007</v>
      </c>
      <c r="N296">
        <v>26061</v>
      </c>
      <c r="O296">
        <f t="shared" ref="O296:S313" si="412">(N296-N295)/N295</f>
        <v>-4.1169977924944812E-2</v>
      </c>
    </row>
    <row r="297" spans="13:20" x14ac:dyDescent="0.25">
      <c r="M297">
        <v>2008</v>
      </c>
      <c r="N297">
        <v>23413</v>
      </c>
      <c r="O297">
        <f t="shared" si="412"/>
        <v>-0.10160776639422893</v>
      </c>
    </row>
    <row r="298" spans="13:20" x14ac:dyDescent="0.25">
      <c r="M298">
        <v>2009</v>
      </c>
      <c r="N298">
        <v>23245</v>
      </c>
      <c r="O298">
        <f t="shared" si="412"/>
        <v>-7.1755007901593134E-3</v>
      </c>
    </row>
    <row r="299" spans="13:20" x14ac:dyDescent="0.25">
      <c r="M299">
        <v>2010</v>
      </c>
      <c r="N299">
        <v>24897</v>
      </c>
      <c r="O299">
        <f t="shared" si="412"/>
        <v>7.1069047106904717E-2</v>
      </c>
    </row>
    <row r="300" spans="13:20" x14ac:dyDescent="0.25">
      <c r="M300">
        <v>2011</v>
      </c>
      <c r="N300">
        <v>24509</v>
      </c>
      <c r="O300">
        <f t="shared" si="412"/>
        <v>-1.5584206932562156E-2</v>
      </c>
    </row>
    <row r="301" spans="13:20" x14ac:dyDescent="0.25">
      <c r="M301">
        <v>2012</v>
      </c>
      <c r="N301">
        <v>24916</v>
      </c>
      <c r="O301">
        <f t="shared" si="412"/>
        <v>1.6606144681545556E-2</v>
      </c>
    </row>
    <row r="302" spans="13:20" x14ac:dyDescent="0.25">
      <c r="M302">
        <v>2013</v>
      </c>
      <c r="N302">
        <v>26006</v>
      </c>
      <c r="O302">
        <f t="shared" si="412"/>
        <v>4.3746989886017017E-2</v>
      </c>
    </row>
    <row r="303" spans="13:20" x14ac:dyDescent="0.25">
      <c r="M303">
        <v>2014</v>
      </c>
      <c r="N303">
        <v>26221</v>
      </c>
      <c r="O303">
        <f t="shared" si="412"/>
        <v>8.2673229254787359E-3</v>
      </c>
    </row>
    <row r="304" spans="13:20" x14ac:dyDescent="0.25">
      <c r="M304">
        <v>2015</v>
      </c>
      <c r="N304">
        <v>26895</v>
      </c>
      <c r="O304">
        <f t="shared" si="412"/>
        <v>2.5704587925708403E-2</v>
      </c>
    </row>
    <row r="305" spans="13:19" x14ac:dyDescent="0.25">
      <c r="M305">
        <v>2016</v>
      </c>
      <c r="N305">
        <v>27358</v>
      </c>
      <c r="O305">
        <f t="shared" si="412"/>
        <v>1.7215095742703104E-2</v>
      </c>
    </row>
    <row r="306" spans="13:19" x14ac:dyDescent="0.25">
      <c r="M306">
        <v>2017</v>
      </c>
      <c r="N306">
        <v>25390</v>
      </c>
      <c r="O306">
        <f t="shared" si="412"/>
        <v>-7.1935082973901596E-2</v>
      </c>
    </row>
    <row r="307" spans="13:19" x14ac:dyDescent="0.25">
      <c r="M307">
        <v>2018</v>
      </c>
      <c r="N307">
        <v>26582</v>
      </c>
      <c r="O307">
        <f t="shared" si="412"/>
        <v>4.6947617172115007E-2</v>
      </c>
    </row>
    <row r="308" spans="13:19" x14ac:dyDescent="0.25">
      <c r="M308">
        <v>2019</v>
      </c>
      <c r="N308">
        <v>25234</v>
      </c>
      <c r="O308">
        <f t="shared" si="412"/>
        <v>-5.071100744864946E-2</v>
      </c>
      <c r="P308">
        <v>435.06</v>
      </c>
      <c r="R308">
        <v>337.79</v>
      </c>
    </row>
    <row r="309" spans="13:19" x14ac:dyDescent="0.25">
      <c r="M309">
        <v>2020</v>
      </c>
      <c r="N309">
        <v>16684</v>
      </c>
      <c r="O309">
        <f t="shared" si="412"/>
        <v>-0.33882856463501626</v>
      </c>
      <c r="P309">
        <v>365.99</v>
      </c>
      <c r="Q309" s="96">
        <f t="shared" si="412"/>
        <v>-0.15875971130418792</v>
      </c>
      <c r="R309">
        <v>297.57</v>
      </c>
      <c r="S309" s="96">
        <f t="shared" si="412"/>
        <v>-0.11906806003730136</v>
      </c>
    </row>
    <row r="310" spans="13:19" x14ac:dyDescent="0.25">
      <c r="M310">
        <v>2021</v>
      </c>
      <c r="N310">
        <v>25051</v>
      </c>
      <c r="O310">
        <f t="shared" si="412"/>
        <v>0.50149844162071444</v>
      </c>
      <c r="P310">
        <v>390.16</v>
      </c>
      <c r="Q310" s="96">
        <f t="shared" si="412"/>
        <v>6.6040055739227888E-2</v>
      </c>
      <c r="R310">
        <v>323.63</v>
      </c>
      <c r="S310" s="96">
        <f t="shared" si="412"/>
        <v>8.7576032530160983E-2</v>
      </c>
    </row>
    <row r="311" spans="13:19" x14ac:dyDescent="0.25">
      <c r="M311">
        <v>2022</v>
      </c>
      <c r="N311">
        <v>25873</v>
      </c>
      <c r="O311">
        <f t="shared" si="412"/>
        <v>3.2813061354836137E-2</v>
      </c>
      <c r="P311">
        <v>412.93</v>
      </c>
      <c r="Q311" s="96">
        <f t="shared" si="412"/>
        <v>5.8360672544597036E-2</v>
      </c>
      <c r="R311">
        <v>294.51</v>
      </c>
      <c r="S311" s="96">
        <f t="shared" si="412"/>
        <v>-8.9979297345734344E-2</v>
      </c>
    </row>
    <row r="312" spans="13:19" x14ac:dyDescent="0.25">
      <c r="M312">
        <v>2023</v>
      </c>
      <c r="N312">
        <v>30618</v>
      </c>
      <c r="O312">
        <f t="shared" si="412"/>
        <v>0.18339581803424418</v>
      </c>
      <c r="P312">
        <v>418.56</v>
      </c>
      <c r="Q312" s="96">
        <f t="shared" si="412"/>
        <v>1.363427215266509E-2</v>
      </c>
      <c r="R312">
        <v>326.79000000000002</v>
      </c>
      <c r="S312" s="96">
        <f t="shared" si="412"/>
        <v>0.109605785881634</v>
      </c>
    </row>
    <row r="313" spans="13:19" x14ac:dyDescent="0.25">
      <c r="M313">
        <v>2024</v>
      </c>
      <c r="N313">
        <v>26202</v>
      </c>
      <c r="O313">
        <f t="shared" si="412"/>
        <v>-0.14422888496962571</v>
      </c>
      <c r="P313">
        <v>421.46</v>
      </c>
      <c r="Q313" s="96">
        <f t="shared" si="412"/>
        <v>6.9285168195718115E-3</v>
      </c>
      <c r="R313">
        <v>319.38</v>
      </c>
      <c r="S313" s="96">
        <f t="shared" si="412"/>
        <v>-2.2675112457541616E-2</v>
      </c>
    </row>
    <row r="314" spans="13:19" x14ac:dyDescent="0.25">
      <c r="M314">
        <v>2025</v>
      </c>
      <c r="N314">
        <v>24516</v>
      </c>
      <c r="O314">
        <f>(N314-N313)/N313</f>
        <v>-6.4346233111976181E-2</v>
      </c>
      <c r="P314">
        <v>412.63</v>
      </c>
      <c r="Q314" s="96">
        <f t="shared" ref="Q314:S314" si="413">(P314-P313)/P313</f>
        <v>-2.0950979926920667E-2</v>
      </c>
      <c r="R314">
        <v>303.43</v>
      </c>
      <c r="S314" s="96">
        <f t="shared" si="413"/>
        <v>-4.9940509737616601E-2</v>
      </c>
    </row>
    <row r="315" spans="13:19" x14ac:dyDescent="0.25">
      <c r="M315">
        <v>2026</v>
      </c>
      <c r="R315">
        <v>288.05</v>
      </c>
    </row>
  </sheetData>
  <mergeCells count="109">
    <mergeCell ref="A271:A282"/>
    <mergeCell ref="H271:H283"/>
    <mergeCell ref="A283:B283"/>
    <mergeCell ref="AP50:AU50"/>
    <mergeCell ref="AP57:AU57"/>
    <mergeCell ref="AP64:AU64"/>
    <mergeCell ref="AP67:AU67"/>
    <mergeCell ref="AP71:AU71"/>
    <mergeCell ref="A219:A230"/>
    <mergeCell ref="H219:H231"/>
    <mergeCell ref="A231:B231"/>
    <mergeCell ref="A206:A217"/>
    <mergeCell ref="H206:H218"/>
    <mergeCell ref="A218:B218"/>
    <mergeCell ref="A193:A204"/>
    <mergeCell ref="H193:H205"/>
    <mergeCell ref="A205:B205"/>
    <mergeCell ref="A154:A165"/>
    <mergeCell ref="H154:H166"/>
    <mergeCell ref="A166:B166"/>
    <mergeCell ref="A167:A178"/>
    <mergeCell ref="H167:H179"/>
    <mergeCell ref="H180:H192"/>
    <mergeCell ref="A192:B192"/>
    <mergeCell ref="AP43:AU43"/>
    <mergeCell ref="A258:A269"/>
    <mergeCell ref="H258:H270"/>
    <mergeCell ref="A270:B270"/>
    <mergeCell ref="GH64:GM64"/>
    <mergeCell ref="GH71:GM71"/>
    <mergeCell ref="GH78:GM78"/>
    <mergeCell ref="A245:A256"/>
    <mergeCell ref="H245:H257"/>
    <mergeCell ref="A257:B257"/>
    <mergeCell ref="A232:A243"/>
    <mergeCell ref="H232:H244"/>
    <mergeCell ref="A244:B244"/>
    <mergeCell ref="H76:H88"/>
    <mergeCell ref="A89:A100"/>
    <mergeCell ref="H89:H101"/>
    <mergeCell ref="H102:H114"/>
    <mergeCell ref="A141:A152"/>
    <mergeCell ref="H141:H153"/>
    <mergeCell ref="A153:B153"/>
    <mergeCell ref="AP78:AU78"/>
    <mergeCell ref="AP85:AU85"/>
    <mergeCell ref="A179:B179"/>
    <mergeCell ref="A180:A191"/>
    <mergeCell ref="HX29:IC29"/>
    <mergeCell ref="A24:A35"/>
    <mergeCell ref="H24:H36"/>
    <mergeCell ref="A9:B9"/>
    <mergeCell ref="I9:K9"/>
    <mergeCell ref="L9:M9"/>
    <mergeCell ref="C10:E10"/>
    <mergeCell ref="GF8:GK8"/>
    <mergeCell ref="GF15:GK15"/>
    <mergeCell ref="GF22:GK22"/>
    <mergeCell ref="AP8:AU8"/>
    <mergeCell ref="AP15:AU15"/>
    <mergeCell ref="AP22:AU22"/>
    <mergeCell ref="AP30:AU30"/>
    <mergeCell ref="GF29:GK29"/>
    <mergeCell ref="MV8:NA8"/>
    <mergeCell ref="MV15:NA15"/>
    <mergeCell ref="MV22:NA22"/>
    <mergeCell ref="LF8:LK8"/>
    <mergeCell ref="LF15:LK15"/>
    <mergeCell ref="LF22:LK22"/>
    <mergeCell ref="A4:M4"/>
    <mergeCell ref="A5:B7"/>
    <mergeCell ref="C5:M5"/>
    <mergeCell ref="G6:G8"/>
    <mergeCell ref="H6:M6"/>
    <mergeCell ref="I8:K8"/>
    <mergeCell ref="L8:M8"/>
    <mergeCell ref="EJ8:EO8"/>
    <mergeCell ref="HX8:IC8"/>
    <mergeCell ref="HX15:IC15"/>
    <mergeCell ref="HX22:IC22"/>
    <mergeCell ref="N5:Q5"/>
    <mergeCell ref="A128:A139"/>
    <mergeCell ref="H128:H140"/>
    <mergeCell ref="A11:A22"/>
    <mergeCell ref="A37:A48"/>
    <mergeCell ref="H37:H49"/>
    <mergeCell ref="A115:A126"/>
    <mergeCell ref="H115:H127"/>
    <mergeCell ref="A50:A61"/>
    <mergeCell ref="H50:H62"/>
    <mergeCell ref="A63:A74"/>
    <mergeCell ref="H63:H75"/>
    <mergeCell ref="A76:A87"/>
    <mergeCell ref="A102:A113"/>
    <mergeCell ref="CN71:CS71"/>
    <mergeCell ref="CN81:CS81"/>
    <mergeCell ref="EJ15:EO15"/>
    <mergeCell ref="EJ22:EO22"/>
    <mergeCell ref="EJ30:EO30"/>
    <mergeCell ref="CN67:CS67"/>
    <mergeCell ref="EL66:EM66"/>
    <mergeCell ref="CN8:CS8"/>
    <mergeCell ref="CN15:CS15"/>
    <mergeCell ref="CN22:CS22"/>
    <mergeCell ref="CN30:CS30"/>
    <mergeCell ref="CN43:CS43"/>
    <mergeCell ref="CN50:CS50"/>
    <mergeCell ref="CN57:CS57"/>
    <mergeCell ref="CN64:CS64"/>
  </mergeCells>
  <dataValidations disablePrompts="1" count="1">
    <dataValidation type="list" allowBlank="1" showInputMessage="1" showErrorMessage="1" sqref="S15 S40" xr:uid="{3C840561-915A-47E1-95BE-FA586403B6E8}">
      <formula1>$S$18:$S$25</formula1>
    </dataValidation>
  </dataValidations>
  <hyperlinks>
    <hyperlink ref="LF37" r:id="rId1" xr:uid="{53D515FD-128B-418F-B4E0-B6F2E4970C9D}"/>
    <hyperlink ref="MV37" r:id="rId2" xr:uid="{EE58C559-43BA-43DA-A82F-5C0800BAABC0}"/>
    <hyperlink ref="FV64" r:id="rId3" xr:uid="{84669631-F8B3-4CA2-BB11-E80317B4954A}"/>
  </hyperlinks>
  <pageMargins left="0.7" right="0.7" top="0.75" bottom="0.75" header="0.3" footer="0.3"/>
  <pageSetup paperSize="9" orientation="portrait" r:id="rId4"/>
  <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CE2D0-B48E-493A-807C-E72231196F4A}">
  <sheetPr>
    <tabColor theme="4" tint="0.79998168889431442"/>
  </sheetPr>
  <dimension ref="A1"/>
  <sheetViews>
    <sheetView showGridLines="0" workbookViewId="0"/>
  </sheetViews>
  <sheetFormatPr defaultRowHeight="13.2"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6DAAD-4314-4ECC-B9AA-9B38705BDA12}">
  <sheetPr>
    <tabColor theme="4" tint="0.79998168889431442"/>
  </sheetPr>
  <dimension ref="A2:BS140"/>
  <sheetViews>
    <sheetView showGridLines="0" workbookViewId="0"/>
  </sheetViews>
  <sheetFormatPr defaultColWidth="9.109375" defaultRowHeight="13.2" x14ac:dyDescent="0.25"/>
  <cols>
    <col min="2" max="2" width="16.6640625" customWidth="1"/>
    <col min="3" max="3" width="13" customWidth="1"/>
    <col min="4" max="4" width="13.5546875" customWidth="1"/>
    <col min="6" max="6" width="10.109375" bestFit="1" customWidth="1"/>
    <col min="7" max="7" width="10.109375" customWidth="1"/>
    <col min="8" max="9" width="10.5546875" customWidth="1"/>
    <col min="10" max="10" width="10.44140625" customWidth="1"/>
    <col min="47" max="47" width="10.33203125" customWidth="1"/>
    <col min="50" max="50" width="19.44140625" customWidth="1"/>
    <col min="52" max="52" width="11.88671875" customWidth="1"/>
    <col min="53" max="53" width="10.5546875" customWidth="1"/>
    <col min="54" max="54" width="11.44140625" customWidth="1"/>
    <col min="57" max="57" width="11" customWidth="1"/>
    <col min="58" max="58" width="7.88671875" customWidth="1"/>
    <col min="59" max="60" width="10.5546875" customWidth="1"/>
  </cols>
  <sheetData>
    <row r="2" spans="1:71" x14ac:dyDescent="0.25">
      <c r="AL2">
        <f>1/13</f>
        <v>7.6923076923076927E-2</v>
      </c>
      <c r="AO2">
        <f>1/12</f>
        <v>8.3333333333333329E-2</v>
      </c>
    </row>
    <row r="4" spans="1:71" ht="17.399999999999999" thickBot="1" x14ac:dyDescent="0.35">
      <c r="A4" s="1009" t="s">
        <v>836</v>
      </c>
      <c r="B4" s="1009"/>
      <c r="C4" s="1009"/>
      <c r="D4" s="1009"/>
      <c r="E4" s="1009"/>
      <c r="F4" s="1009"/>
      <c r="G4" s="1009"/>
      <c r="H4" s="1009"/>
      <c r="I4" s="1009"/>
      <c r="J4" s="1009"/>
      <c r="K4" s="1009"/>
      <c r="L4" s="1009"/>
      <c r="M4" s="1009"/>
      <c r="N4" s="1009"/>
      <c r="O4" s="1009"/>
      <c r="P4" s="126"/>
      <c r="Q4" s="126"/>
      <c r="V4" s="116" t="str">
        <f>G9</f>
        <v>Farþegar</v>
      </c>
      <c r="W4" s="116" t="str">
        <f>H9</f>
        <v>Hreyfingar</v>
      </c>
      <c r="X4" s="116" t="str">
        <f>I9</f>
        <v>Cargo</v>
      </c>
      <c r="Y4" s="116" t="str">
        <f>J9</f>
        <v>Yfirflug</v>
      </c>
      <c r="AB4" s="116" t="str">
        <f>M9</f>
        <v>Hreyfingar</v>
      </c>
      <c r="AC4" s="116" t="str">
        <f>N9</f>
        <v>Cargo</v>
      </c>
      <c r="AD4" s="116" t="str">
        <f>O9</f>
        <v>Yfirflug</v>
      </c>
      <c r="AE4" s="116" t="str">
        <f>P9</f>
        <v>Farþegar</v>
      </c>
    </row>
    <row r="5" spans="1:71" ht="24.6" x14ac:dyDescent="0.4">
      <c r="A5" s="1010"/>
      <c r="B5" s="1011"/>
      <c r="C5" s="1016" t="s">
        <v>837</v>
      </c>
      <c r="D5" s="1017"/>
      <c r="E5" s="1017"/>
      <c r="F5" s="1017"/>
      <c r="G5" s="1017"/>
      <c r="H5" s="1017"/>
      <c r="I5" s="1017"/>
      <c r="J5" s="1017"/>
      <c r="K5" s="1017"/>
      <c r="L5" s="1017"/>
      <c r="M5" s="1017"/>
      <c r="N5" s="1017"/>
      <c r="O5" s="1017"/>
      <c r="P5" s="127"/>
      <c r="Q5" s="127"/>
      <c r="R5" s="127"/>
      <c r="S5" s="127"/>
      <c r="U5">
        <v>2016</v>
      </c>
      <c r="V5" s="23">
        <f t="shared" ref="V5:Y11" si="0">INDEX($C$9:$F$101,MATCH($U5,$B$9:$B$101,0),MATCH(V$4,$C$9:$F$9,0))</f>
        <v>417309</v>
      </c>
      <c r="W5" s="23">
        <f t="shared" si="0"/>
        <v>63732</v>
      </c>
      <c r="X5" s="23">
        <f t="shared" si="0"/>
        <v>1061</v>
      </c>
      <c r="Y5" s="23">
        <f t="shared" si="0"/>
        <v>111733</v>
      </c>
      <c r="AA5">
        <v>2016</v>
      </c>
      <c r="AB5" s="23">
        <f t="shared" ref="AB5:AE11" si="1">INDEX($G$9:$J$101,MATCH($U5,$B$9:$B$101,0),MATCH(AB$4,$G$9:$J$9,0))</f>
        <v>28087</v>
      </c>
      <c r="AC5" s="23">
        <f t="shared" si="1"/>
        <v>432</v>
      </c>
      <c r="AD5" s="23">
        <f t="shared" si="1"/>
        <v>41565</v>
      </c>
      <c r="AE5" s="23">
        <f t="shared" si="1"/>
        <v>154074</v>
      </c>
      <c r="AW5" s="1010"/>
      <c r="AX5" s="1011"/>
      <c r="AY5" s="1016" t="s">
        <v>838</v>
      </c>
      <c r="AZ5" s="1017"/>
      <c r="BA5" s="1017"/>
      <c r="BB5" s="1017"/>
      <c r="BC5" s="1017"/>
      <c r="BD5" s="1017"/>
      <c r="BE5" s="1017"/>
      <c r="BF5" s="1017"/>
      <c r="BG5" s="1017"/>
      <c r="BH5" s="127"/>
      <c r="BI5" s="127"/>
    </row>
    <row r="6" spans="1:71" ht="24.6" x14ac:dyDescent="0.4">
      <c r="A6" s="1012"/>
      <c r="B6" s="1013"/>
      <c r="C6" s="925"/>
      <c r="D6" s="926"/>
      <c r="E6" s="927"/>
      <c r="F6" s="928"/>
      <c r="G6" s="128"/>
      <c r="H6" s="1087"/>
      <c r="I6" s="929"/>
      <c r="J6" s="929"/>
      <c r="K6" s="1080" t="s">
        <v>659</v>
      </c>
      <c r="L6" s="1081"/>
      <c r="M6" s="1081"/>
      <c r="N6" s="1081"/>
      <c r="O6" s="1081"/>
      <c r="P6" s="1081"/>
      <c r="Q6" s="1081"/>
      <c r="R6" s="1081"/>
      <c r="S6" s="1081"/>
      <c r="U6">
        <v>2017</v>
      </c>
      <c r="V6" s="23">
        <f t="shared" si="0"/>
        <v>425515</v>
      </c>
      <c r="W6" s="23">
        <f t="shared" si="0"/>
        <v>64656</v>
      </c>
      <c r="X6" s="23">
        <f t="shared" si="0"/>
        <v>781</v>
      </c>
      <c r="Y6" s="23">
        <f t="shared" si="0"/>
        <v>120005</v>
      </c>
      <c r="AA6">
        <v>2017</v>
      </c>
      <c r="AB6" s="23">
        <f t="shared" si="1"/>
        <v>24184</v>
      </c>
      <c r="AC6" s="23">
        <f t="shared" si="1"/>
        <v>309</v>
      </c>
      <c r="AD6" s="23">
        <f t="shared" si="1"/>
        <v>43136</v>
      </c>
      <c r="AE6" s="23">
        <f t="shared" si="1"/>
        <v>156017</v>
      </c>
      <c r="AW6" s="1012"/>
      <c r="AX6" s="1013"/>
      <c r="AY6" s="925"/>
      <c r="AZ6" s="926"/>
      <c r="BA6" s="927"/>
      <c r="BB6" s="128"/>
      <c r="BC6" s="929"/>
      <c r="BD6" s="1080" t="s">
        <v>659</v>
      </c>
      <c r="BE6" s="1081"/>
      <c r="BF6" s="1081"/>
      <c r="BG6" s="1081"/>
      <c r="BH6" s="1081"/>
      <c r="BI6" s="1081"/>
    </row>
    <row r="7" spans="1:71" ht="24.6" x14ac:dyDescent="0.4">
      <c r="A7" s="1014"/>
      <c r="B7" s="1015"/>
      <c r="C7" s="129"/>
      <c r="D7" s="130"/>
      <c r="E7" s="131"/>
      <c r="F7" s="132"/>
      <c r="G7" s="133"/>
      <c r="H7" s="1020"/>
      <c r="I7" s="134"/>
      <c r="J7" s="134"/>
      <c r="K7" s="135"/>
      <c r="L7" s="136"/>
      <c r="M7" s="136"/>
      <c r="N7" s="136"/>
      <c r="O7" s="136"/>
      <c r="P7" s="137"/>
      <c r="Q7" s="137"/>
      <c r="R7" s="137"/>
      <c r="S7" s="137"/>
      <c r="U7">
        <v>2018</v>
      </c>
      <c r="V7" s="23">
        <f t="shared" si="0"/>
        <v>394445</v>
      </c>
      <c r="W7" s="23">
        <f t="shared" si="0"/>
        <v>61220</v>
      </c>
      <c r="X7" s="23">
        <f t="shared" si="0"/>
        <v>753.5</v>
      </c>
      <c r="Y7" s="23">
        <f t="shared" si="0"/>
        <v>125073</v>
      </c>
      <c r="AA7">
        <v>2018</v>
      </c>
      <c r="AB7" s="23">
        <f t="shared" si="1"/>
        <v>21830</v>
      </c>
      <c r="AC7" s="23">
        <f t="shared" si="1"/>
        <v>305.39999999999998</v>
      </c>
      <c r="AD7" s="23">
        <f t="shared" si="1"/>
        <v>48584</v>
      </c>
      <c r="AE7" s="23">
        <f t="shared" si="1"/>
        <v>144444</v>
      </c>
      <c r="AW7" s="1014"/>
      <c r="AX7" s="1015"/>
      <c r="AY7" s="129"/>
      <c r="AZ7" s="130"/>
      <c r="BA7" s="131"/>
      <c r="BB7" s="133"/>
      <c r="BC7" s="134"/>
      <c r="BD7" s="135"/>
      <c r="BE7" s="136"/>
      <c r="BF7" s="136"/>
      <c r="BG7" s="136"/>
      <c r="BH7" s="137"/>
      <c r="BI7" s="137"/>
      <c r="BN7" s="1076" t="s">
        <v>839</v>
      </c>
      <c r="BO7" s="1077"/>
      <c r="BP7" s="1077"/>
      <c r="BQ7" s="1077"/>
    </row>
    <row r="8" spans="1:71" ht="14.25" customHeight="1" x14ac:dyDescent="0.25">
      <c r="A8" s="1082" t="s">
        <v>840</v>
      </c>
      <c r="B8" s="1083"/>
      <c r="C8" s="138"/>
      <c r="D8" s="139"/>
      <c r="E8" s="140"/>
      <c r="F8" s="139"/>
      <c r="G8" s="141"/>
      <c r="H8" s="1021"/>
      <c r="I8" s="134"/>
      <c r="J8" s="134"/>
      <c r="K8" s="142"/>
      <c r="L8" s="1084"/>
      <c r="M8" s="1085"/>
      <c r="N8" s="1085"/>
      <c r="O8" s="931"/>
      <c r="P8" s="143"/>
      <c r="Q8" s="143"/>
      <c r="R8" s="143"/>
      <c r="S8" s="143"/>
      <c r="U8">
        <v>2019</v>
      </c>
      <c r="V8" s="23">
        <f t="shared" si="0"/>
        <v>356428</v>
      </c>
      <c r="W8" s="23">
        <f t="shared" si="0"/>
        <v>62658</v>
      </c>
      <c r="X8" s="23">
        <f t="shared" si="0"/>
        <v>653.59999999999991</v>
      </c>
      <c r="Y8" s="23">
        <f t="shared" si="0"/>
        <v>124154</v>
      </c>
      <c r="AA8">
        <v>2019</v>
      </c>
      <c r="AB8" s="23">
        <f t="shared" si="1"/>
        <v>26979</v>
      </c>
      <c r="AC8" s="23">
        <f t="shared" si="1"/>
        <v>268</v>
      </c>
      <c r="AD8" s="23">
        <f t="shared" si="1"/>
        <v>44749</v>
      </c>
      <c r="AE8" s="23">
        <f t="shared" si="1"/>
        <v>138592</v>
      </c>
      <c r="AW8" s="1082" t="s">
        <v>840</v>
      </c>
      <c r="AX8" s="1083"/>
      <c r="AY8" s="138"/>
      <c r="AZ8" s="139"/>
      <c r="BA8" s="140"/>
      <c r="BB8" s="141"/>
      <c r="BC8" s="134"/>
      <c r="BD8" s="142"/>
      <c r="BE8" s="1084"/>
      <c r="BF8" s="1085"/>
      <c r="BG8" s="1085"/>
      <c r="BH8" s="143"/>
      <c r="BI8" s="143"/>
      <c r="BN8" s="932"/>
      <c r="BO8" s="933">
        <v>28</v>
      </c>
      <c r="BP8" s="934">
        <v>265</v>
      </c>
      <c r="BQ8" s="1078" t="s">
        <v>207</v>
      </c>
      <c r="BR8" s="1078" t="s">
        <v>841</v>
      </c>
      <c r="BS8" s="1078" t="s">
        <v>842</v>
      </c>
    </row>
    <row r="9" spans="1:71" ht="16.5" customHeight="1" x14ac:dyDescent="0.25">
      <c r="C9" s="935" t="s">
        <v>843</v>
      </c>
      <c r="D9" s="936" t="s">
        <v>844</v>
      </c>
      <c r="E9" s="937" t="s">
        <v>845</v>
      </c>
      <c r="F9" s="936" t="s">
        <v>846</v>
      </c>
      <c r="G9" s="144" t="s">
        <v>843</v>
      </c>
      <c r="H9" s="144" t="s">
        <v>844</v>
      </c>
      <c r="I9" s="144" t="s">
        <v>845</v>
      </c>
      <c r="J9" s="144" t="s">
        <v>846</v>
      </c>
      <c r="K9" s="145"/>
      <c r="L9" s="935" t="s">
        <v>843</v>
      </c>
      <c r="M9" s="936" t="s">
        <v>844</v>
      </c>
      <c r="N9" s="937" t="s">
        <v>845</v>
      </c>
      <c r="O9" s="936" t="s">
        <v>846</v>
      </c>
      <c r="P9" s="144" t="s">
        <v>843</v>
      </c>
      <c r="Q9" s="144" t="s">
        <v>844</v>
      </c>
      <c r="R9" s="144" t="s">
        <v>845</v>
      </c>
      <c r="S9" s="144" t="s">
        <v>846</v>
      </c>
      <c r="U9">
        <v>2020</v>
      </c>
      <c r="V9" s="23">
        <f t="shared" si="0"/>
        <v>164214</v>
      </c>
      <c r="W9" s="23">
        <f t="shared" si="0"/>
        <v>40561</v>
      </c>
      <c r="X9" s="23">
        <f t="shared" si="0"/>
        <v>480.5</v>
      </c>
      <c r="Y9" s="23">
        <f t="shared" si="0"/>
        <v>55916</v>
      </c>
      <c r="AA9">
        <v>2020</v>
      </c>
      <c r="AB9" s="23">
        <f t="shared" si="1"/>
        <v>15275</v>
      </c>
      <c r="AC9" s="23">
        <f t="shared" si="1"/>
        <v>197</v>
      </c>
      <c r="AD9" s="23">
        <f t="shared" si="1"/>
        <v>28929</v>
      </c>
      <c r="AE9" s="23">
        <f t="shared" si="1"/>
        <v>66619</v>
      </c>
      <c r="AP9" s="116" t="str">
        <f>G9</f>
        <v>Farþegar</v>
      </c>
      <c r="AQ9" s="116" t="str">
        <f>H9</f>
        <v>Hreyfingar</v>
      </c>
      <c r="AY9" s="935" t="s">
        <v>844</v>
      </c>
      <c r="AZ9" s="936" t="s">
        <v>251</v>
      </c>
      <c r="BA9" s="937" t="s">
        <v>847</v>
      </c>
      <c r="BB9" s="144" t="s">
        <v>844</v>
      </c>
      <c r="BC9" s="144" t="s">
        <v>847</v>
      </c>
      <c r="BD9" s="145"/>
      <c r="BE9" s="935" t="s">
        <v>844</v>
      </c>
      <c r="BF9" s="936" t="s">
        <v>6</v>
      </c>
      <c r="BG9" s="937" t="s">
        <v>847</v>
      </c>
      <c r="BH9" s="144" t="s">
        <v>844</v>
      </c>
      <c r="BI9" s="144" t="s">
        <v>847</v>
      </c>
      <c r="BN9" s="932" t="s">
        <v>848</v>
      </c>
      <c r="BO9" s="933" t="s">
        <v>849</v>
      </c>
      <c r="BP9" s="934" t="s">
        <v>850</v>
      </c>
      <c r="BQ9" s="1079"/>
      <c r="BR9" s="1079"/>
      <c r="BS9" s="1079"/>
    </row>
    <row r="10" spans="1:71" ht="14.4" thickBot="1" x14ac:dyDescent="0.3">
      <c r="A10" s="146"/>
      <c r="B10" s="147"/>
      <c r="C10" s="1045"/>
      <c r="D10" s="1046"/>
      <c r="E10" s="1046"/>
      <c r="F10" s="1086"/>
      <c r="G10" s="938" t="s">
        <v>851</v>
      </c>
      <c r="H10" s="148" t="s">
        <v>851</v>
      </c>
      <c r="I10" s="149"/>
      <c r="J10" s="149"/>
      <c r="K10" s="150"/>
      <c r="L10" s="1045"/>
      <c r="M10" s="1046"/>
      <c r="N10" s="1046"/>
      <c r="O10" s="1086"/>
      <c r="P10" s="938" t="s">
        <v>851</v>
      </c>
      <c r="Q10" s="148" t="s">
        <v>851</v>
      </c>
      <c r="R10" s="149"/>
      <c r="S10" s="149"/>
      <c r="U10">
        <v>2021</v>
      </c>
      <c r="V10" s="23">
        <f t="shared" si="0"/>
        <v>296812</v>
      </c>
      <c r="W10" s="23">
        <f t="shared" si="0"/>
        <v>50616</v>
      </c>
      <c r="X10" s="23">
        <f t="shared" si="0"/>
        <v>582.79999999999995</v>
      </c>
      <c r="Y10" s="23">
        <f t="shared" si="0"/>
        <v>69215</v>
      </c>
      <c r="AA10">
        <v>2021</v>
      </c>
      <c r="AB10" s="23">
        <f t="shared" si="1"/>
        <v>22090</v>
      </c>
      <c r="AC10" s="23">
        <f t="shared" si="1"/>
        <v>192.7</v>
      </c>
      <c r="AD10" s="23">
        <f t="shared" si="1"/>
        <v>21016</v>
      </c>
      <c r="AE10" s="23">
        <f t="shared" si="1"/>
        <v>92358</v>
      </c>
      <c r="AL10">
        <v>2016</v>
      </c>
      <c r="AO10">
        <v>2016</v>
      </c>
      <c r="AW10" s="146"/>
      <c r="AX10" s="147"/>
      <c r="AY10" s="234"/>
      <c r="AZ10" s="242" t="s">
        <v>852</v>
      </c>
      <c r="BA10" s="223" t="s">
        <v>853</v>
      </c>
      <c r="BB10" s="938" t="s">
        <v>851</v>
      </c>
      <c r="BC10" s="235" t="s">
        <v>853</v>
      </c>
      <c r="BD10" s="150"/>
      <c r="BE10" s="1045"/>
      <c r="BF10" s="1046"/>
      <c r="BG10" s="1046"/>
      <c r="BH10" s="938" t="s">
        <v>851</v>
      </c>
      <c r="BI10" s="149"/>
      <c r="BN10" s="240" t="s">
        <v>793</v>
      </c>
      <c r="BO10" s="241" t="s">
        <v>854</v>
      </c>
      <c r="BP10" s="241" t="s">
        <v>854</v>
      </c>
      <c r="BQ10" s="241" t="s">
        <v>854</v>
      </c>
      <c r="BR10" s="241" t="s">
        <v>855</v>
      </c>
      <c r="BS10" s="241" t="s">
        <v>856</v>
      </c>
    </row>
    <row r="11" spans="1:71" ht="14.25" customHeight="1" x14ac:dyDescent="0.25">
      <c r="A11" s="986">
        <v>2016</v>
      </c>
      <c r="B11" s="151" t="s">
        <v>710</v>
      </c>
      <c r="C11" s="152">
        <v>26732</v>
      </c>
      <c r="D11" s="153">
        <v>5361</v>
      </c>
      <c r="E11" s="154">
        <v>63</v>
      </c>
      <c r="F11" s="153">
        <v>8113</v>
      </c>
      <c r="G11" s="155">
        <f>C11</f>
        <v>26732</v>
      </c>
      <c r="H11" s="155">
        <f>D11</f>
        <v>5361</v>
      </c>
      <c r="I11" s="155">
        <f>E11</f>
        <v>63</v>
      </c>
      <c r="J11" s="155">
        <f>F11</f>
        <v>8113</v>
      </c>
      <c r="K11" s="156"/>
      <c r="L11" s="157"/>
      <c r="M11" s="157"/>
      <c r="N11" s="157"/>
      <c r="O11" s="158"/>
      <c r="P11" s="158"/>
      <c r="Q11" s="158"/>
      <c r="R11" s="158"/>
      <c r="S11" s="158"/>
      <c r="U11">
        <v>2022</v>
      </c>
      <c r="V11" s="23">
        <f t="shared" si="0"/>
        <v>348813</v>
      </c>
      <c r="W11" s="23">
        <f t="shared" si="0"/>
        <v>42731</v>
      </c>
      <c r="X11" s="23">
        <f t="shared" si="0"/>
        <v>709.99999999999989</v>
      </c>
      <c r="Y11" s="23">
        <f t="shared" si="0"/>
        <v>108781</v>
      </c>
      <c r="AA11">
        <v>2022</v>
      </c>
      <c r="AB11" s="23">
        <f t="shared" si="1"/>
        <v>13873</v>
      </c>
      <c r="AC11" s="23">
        <f t="shared" si="1"/>
        <v>248.2</v>
      </c>
      <c r="AD11" s="23">
        <f t="shared" si="1"/>
        <v>37896</v>
      </c>
      <c r="AE11" s="23">
        <f t="shared" si="1"/>
        <v>121660</v>
      </c>
      <c r="AL11">
        <f t="shared" ref="AL11:AL42" si="2">AL10+$AL$2</f>
        <v>2016.0769230769231</v>
      </c>
      <c r="AO11">
        <f>AO10+$AO$2</f>
        <v>2016.0833333333333</v>
      </c>
      <c r="AW11" s="986">
        <v>2016</v>
      </c>
      <c r="AX11" s="939" t="s">
        <v>857</v>
      </c>
      <c r="AY11" s="152">
        <v>18041</v>
      </c>
      <c r="AZ11" s="153">
        <f>INDEX($BK$16:$BL$19,MATCH($AX11,$BK$16:$BK$19,0),2)</f>
        <v>130</v>
      </c>
      <c r="BA11" s="154">
        <f>AY11/2*AZ11*$BS$13/10^3</f>
        <v>3670.8071048985767</v>
      </c>
      <c r="BB11" s="155">
        <f>AY11</f>
        <v>18041</v>
      </c>
      <c r="BC11" s="155">
        <f>BA11</f>
        <v>3670.8071048985767</v>
      </c>
      <c r="BD11" s="156"/>
      <c r="BE11" s="157"/>
      <c r="BF11" s="157"/>
      <c r="BG11" s="157"/>
      <c r="BH11" s="158"/>
      <c r="BI11" s="158"/>
      <c r="BK11" s="940" t="s">
        <v>858</v>
      </c>
      <c r="BL11" s="941"/>
      <c r="BM11" s="941"/>
      <c r="BN11" s="942" t="s">
        <v>859</v>
      </c>
      <c r="BO11" s="942" t="s">
        <v>859</v>
      </c>
      <c r="BP11" s="942" t="s">
        <v>859</v>
      </c>
      <c r="BQ11" s="942" t="s">
        <v>859</v>
      </c>
      <c r="BR11" s="942" t="s">
        <v>859</v>
      </c>
      <c r="BS11" s="942" t="s">
        <v>859</v>
      </c>
    </row>
    <row r="12" spans="1:71" ht="13.8" x14ac:dyDescent="0.25">
      <c r="A12" s="981"/>
      <c r="B12" s="159" t="s">
        <v>715</v>
      </c>
      <c r="C12" s="160">
        <v>29502</v>
      </c>
      <c r="D12" s="161">
        <v>6654</v>
      </c>
      <c r="E12" s="162">
        <v>86</v>
      </c>
      <c r="F12" s="161">
        <v>7876</v>
      </c>
      <c r="G12" s="163">
        <f>SUM(C11:C12)</f>
        <v>56234</v>
      </c>
      <c r="H12" s="163">
        <f>SUM(D11:D12)</f>
        <v>12015</v>
      </c>
      <c r="I12" s="163">
        <f>SUM(E11:E12)</f>
        <v>149</v>
      </c>
      <c r="J12" s="163">
        <f>SUM(F11:F12)</f>
        <v>15989</v>
      </c>
      <c r="K12" s="156"/>
      <c r="L12" s="157"/>
      <c r="M12" s="157"/>
      <c r="N12" s="157"/>
      <c r="O12" s="164"/>
      <c r="P12" s="164"/>
      <c r="Q12" s="164"/>
      <c r="R12" s="164"/>
      <c r="S12" s="164"/>
      <c r="U12">
        <v>2023</v>
      </c>
      <c r="V12" s="23">
        <f>INDEX($C$9:$F$127,MATCH($U12,$B$9:$B$127,0),MATCH(V$4,$C$9:$F$9,0))</f>
        <v>354606</v>
      </c>
      <c r="W12" s="23">
        <f>INDEX($C$9:$F$127,MATCH($U12,$B$9:$B$127,0),MATCH(W$4,$C$9:$F$9,0))</f>
        <v>44569</v>
      </c>
      <c r="X12" s="23">
        <f>INDEX($C$9:$F$127,MATCH($U12,$B$9:$B$127,0),MATCH(X$4,$C$9:$F$9,0))</f>
        <v>655.80000000000007</v>
      </c>
      <c r="Y12" s="23">
        <f>INDEX($C$9:$F$127,MATCH($U12,$B$9:$B$127,0),MATCH(Y$4,$C$9:$F$9,0))</f>
        <v>128533</v>
      </c>
      <c r="AA12">
        <v>2023</v>
      </c>
      <c r="AB12" s="23">
        <f>INDEX($G$9:$J$127,MATCH($U12,$B$9:$B$127,0),MATCH(AB$4,$G$9:$J$9,0))</f>
        <v>14595</v>
      </c>
      <c r="AC12" s="23">
        <f t="shared" ref="AC12:AE13" si="3">INDEX($G$9:$J$127,MATCH($U12,$B$9:$B$127,0),MATCH(AC$4,$G$9:$J$9,0))</f>
        <v>260</v>
      </c>
      <c r="AD12" s="23">
        <f t="shared" si="3"/>
        <v>47740</v>
      </c>
      <c r="AE12" s="23">
        <f t="shared" si="3"/>
        <v>127741</v>
      </c>
      <c r="AL12">
        <f t="shared" si="2"/>
        <v>2016.1538461538462</v>
      </c>
      <c r="AO12">
        <f t="shared" ref="AO12:AO75" si="4">AO11+$AO$2</f>
        <v>2016.1666666666665</v>
      </c>
      <c r="AW12" s="981"/>
      <c r="AX12" s="943" t="s">
        <v>860</v>
      </c>
      <c r="AY12" s="160">
        <v>5617</v>
      </c>
      <c r="AZ12" s="161">
        <f>INDEX($BK$16:$BL$19,MATCH($AX12,$BK$16:$BK$19,0),2)</f>
        <v>110</v>
      </c>
      <c r="BA12" s="162">
        <f>AY12/2*AZ12*$BS$13/10^3</f>
        <v>967.06288066228785</v>
      </c>
      <c r="BB12" s="163">
        <f>SUM(AY11:AY12)</f>
        <v>23658</v>
      </c>
      <c r="BC12" s="163">
        <f>SUM(BA11:BA12)</f>
        <v>4637.8699855608647</v>
      </c>
      <c r="BD12" s="156"/>
      <c r="BE12" s="157"/>
      <c r="BF12" s="157"/>
      <c r="BG12" s="157"/>
      <c r="BH12" s="164"/>
      <c r="BI12" s="164"/>
      <c r="BK12" s="944" t="s">
        <v>861</v>
      </c>
      <c r="BL12" s="945">
        <v>3.13</v>
      </c>
      <c r="BM12" s="941"/>
      <c r="BN12" s="941">
        <v>70.03197445184658</v>
      </c>
      <c r="BO12" s="941">
        <v>0.49996766056529002</v>
      </c>
      <c r="BP12" s="941">
        <v>1.9999353211305899</v>
      </c>
      <c r="BQ12" s="941">
        <f>BN12*1000+BO12*$BO$8+BP12*$BP$8</f>
        <v>70575.956406442012</v>
      </c>
      <c r="BR12" s="941">
        <v>44.36</v>
      </c>
      <c r="BS12" s="946">
        <f>BQ12*BR12*10^-6</f>
        <v>3.1307494261897677</v>
      </c>
    </row>
    <row r="13" spans="1:71" ht="13.8" x14ac:dyDescent="0.25">
      <c r="A13" s="981"/>
      <c r="B13" s="159" t="s">
        <v>718</v>
      </c>
      <c r="C13" s="160">
        <v>32035</v>
      </c>
      <c r="D13" s="161">
        <v>4058</v>
      </c>
      <c r="E13" s="162">
        <v>98</v>
      </c>
      <c r="F13" s="161">
        <v>8085</v>
      </c>
      <c r="G13" s="163">
        <f>SUM(C11:C13)</f>
        <v>88269</v>
      </c>
      <c r="H13" s="163">
        <f>SUM(D11:D13)</f>
        <v>16073</v>
      </c>
      <c r="I13" s="163">
        <f>SUM(E11:E13)</f>
        <v>247</v>
      </c>
      <c r="J13" s="163">
        <f>SUM(F11:F13)</f>
        <v>24074</v>
      </c>
      <c r="K13" s="165"/>
      <c r="L13" s="157"/>
      <c r="M13" s="157"/>
      <c r="N13" s="157"/>
      <c r="O13" s="157"/>
      <c r="P13" s="157"/>
      <c r="Q13" s="157"/>
      <c r="R13" s="157"/>
      <c r="S13" s="157"/>
      <c r="U13">
        <v>2024</v>
      </c>
      <c r="V13" s="23">
        <f t="shared" ref="V13:Y13" si="5">INDEX($C$9:$F$127,MATCH($U13,$B$9:$B$127,0),MATCH(V$4,$C$9:$F$9,0))</f>
        <v>353060</v>
      </c>
      <c r="W13" s="23">
        <f t="shared" si="5"/>
        <v>41534</v>
      </c>
      <c r="X13" s="23">
        <f t="shared" si="5"/>
        <v>592.20000000000005</v>
      </c>
      <c r="Y13" s="23">
        <f t="shared" si="5"/>
        <v>130810</v>
      </c>
      <c r="AA13">
        <v>2024</v>
      </c>
      <c r="AB13" s="23">
        <f>INDEX($G$9:$J$127,MATCH($U13,$B$9:$B$127,0),MATCH(AB$4,$G$9:$J$9,0))</f>
        <v>16147</v>
      </c>
      <c r="AC13" s="23">
        <f t="shared" si="3"/>
        <v>222.3</v>
      </c>
      <c r="AD13" s="23">
        <f t="shared" si="3"/>
        <v>46594</v>
      </c>
      <c r="AE13" s="23">
        <f t="shared" si="3"/>
        <v>138661</v>
      </c>
      <c r="AL13">
        <f t="shared" si="2"/>
        <v>2016.2307692307693</v>
      </c>
      <c r="AO13">
        <f t="shared" si="4"/>
        <v>2016.2499999999998</v>
      </c>
      <c r="AW13" s="981"/>
      <c r="AX13" s="943" t="s">
        <v>862</v>
      </c>
      <c r="AY13" s="160">
        <v>37038</v>
      </c>
      <c r="AZ13" s="217">
        <f>INDEX($BK$16:$BL$19,MATCH($AX13,$BK$16:$BK$19,0),2)</f>
        <v>3.5</v>
      </c>
      <c r="BA13" s="162">
        <f>AY13/2*AZ13*$BS$13/10^3</f>
        <v>202.89585577693424</v>
      </c>
      <c r="BB13" s="163">
        <f>SUM(AY11:AY13)</f>
        <v>60696</v>
      </c>
      <c r="BC13" s="163">
        <f>SUM(BA11:BA13)</f>
        <v>4840.7658413377994</v>
      </c>
      <c r="BD13" s="165"/>
      <c r="BE13" s="157"/>
      <c r="BF13" s="157"/>
      <c r="BG13" s="157"/>
      <c r="BH13" s="157"/>
      <c r="BI13" s="157"/>
      <c r="BK13" s="947" t="s">
        <v>863</v>
      </c>
      <c r="BL13" s="945"/>
      <c r="BM13" s="941"/>
      <c r="BN13" s="941">
        <v>71.5</v>
      </c>
      <c r="BO13" s="941">
        <v>0.50000106487426998</v>
      </c>
      <c r="BP13" s="941">
        <v>2.0000012169991699</v>
      </c>
      <c r="BQ13" s="941">
        <f>BN13*1000+BO13*$BO$8+BP13*$BP$8</f>
        <v>72044.000352321265</v>
      </c>
      <c r="BR13" s="941">
        <v>43.45</v>
      </c>
      <c r="BS13" s="946">
        <f>BQ13*BR13*10^-6</f>
        <v>3.1303118153083589</v>
      </c>
    </row>
    <row r="14" spans="1:71" ht="13.8" x14ac:dyDescent="0.25">
      <c r="A14" s="981"/>
      <c r="B14" s="159" t="s">
        <v>725</v>
      </c>
      <c r="C14" s="160">
        <v>32146</v>
      </c>
      <c r="D14" s="161">
        <v>6141</v>
      </c>
      <c r="E14" s="162">
        <v>92</v>
      </c>
      <c r="F14" s="161">
        <v>8273</v>
      </c>
      <c r="G14" s="163">
        <f>SUM(C11:C14)</f>
        <v>120415</v>
      </c>
      <c r="H14" s="163">
        <f>SUM(D11:D14)</f>
        <v>22214</v>
      </c>
      <c r="I14" s="163">
        <f>SUM(E11:E14)</f>
        <v>339</v>
      </c>
      <c r="J14" s="163">
        <f>SUM(F11:F14)</f>
        <v>32347</v>
      </c>
      <c r="K14" s="165"/>
      <c r="L14" s="157"/>
      <c r="M14" s="157"/>
      <c r="N14" s="157"/>
      <c r="O14" s="157"/>
      <c r="P14" s="157"/>
      <c r="Q14" s="157"/>
      <c r="R14" s="157"/>
      <c r="S14" s="157"/>
      <c r="U14">
        <v>2025</v>
      </c>
      <c r="V14" s="23">
        <f>INDEX($C$9:$F$140,MATCH($U14,$B$9:$B$140,0),MATCH(V$4,$C$9:$F$9,0))</f>
        <v>333628</v>
      </c>
      <c r="W14" s="23">
        <f>INDEX($C$9:$F$140,MATCH($U14,$B$9:$B$140,0),MATCH(W$4,$C$9:$F$9,0))</f>
        <v>36052</v>
      </c>
      <c r="X14" s="23">
        <f>INDEX($C$9:$F$140,MATCH($U14,$B$9:$B$140,0),MATCH(X$4,$C$9:$F$9,0))</f>
        <v>618.70000000000005</v>
      </c>
      <c r="Y14" s="23">
        <f>INDEX($C$9:$F$140,MATCH($U14,$B$9:$B$140,0),MATCH(Y$4,$C$9:$F$9,0))</f>
        <v>133672</v>
      </c>
      <c r="AA14">
        <v>2025</v>
      </c>
      <c r="AB14" s="23">
        <f>INDEX($G$9:$J$140,MATCH($U14,$B$9:$B$140,0),MATCH(AB$4,$G$9:$J$9,0))</f>
        <v>13449</v>
      </c>
      <c r="AC14" s="23">
        <f>INDEX($G$9:$J$140,MATCH($U14,$B$9:$B$140,0),MATCH(AC$4,$G$9:$J$9,0))</f>
        <v>244.60000000000002</v>
      </c>
      <c r="AD14" s="23">
        <f>INDEX($G$9:$J$140,MATCH($U14,$B$9:$B$140,0),MATCH(AD$4,$G$9:$J$9,0))</f>
        <v>49344</v>
      </c>
      <c r="AE14" s="23">
        <f>INDEX($G$9:$J$140,MATCH($U14,$B$9:$B$140,0),MATCH(AE$4,$G$9:$J$9,0))</f>
        <v>128237</v>
      </c>
      <c r="AL14">
        <f t="shared" si="2"/>
        <v>2016.3076923076924</v>
      </c>
      <c r="AO14">
        <f t="shared" si="4"/>
        <v>2016.333333333333</v>
      </c>
      <c r="AW14" s="981"/>
      <c r="AX14" s="943" t="s">
        <v>864</v>
      </c>
      <c r="AY14" s="160">
        <f>SUM(AY11:AY13)</f>
        <v>60696</v>
      </c>
      <c r="AZ14" s="161"/>
      <c r="BA14" s="162">
        <f>SUM(BA11:BA13)</f>
        <v>4840.7658413377994</v>
      </c>
      <c r="BB14" s="163">
        <f>SUM(AY11:AY13)</f>
        <v>60696</v>
      </c>
      <c r="BC14" s="163">
        <f>SUM(BA11:BA13)</f>
        <v>4840.7658413377994</v>
      </c>
      <c r="BD14" s="165"/>
      <c r="BE14" s="157"/>
      <c r="BF14" s="157"/>
      <c r="BG14" s="157"/>
      <c r="BH14" s="157"/>
      <c r="BI14" s="157"/>
      <c r="BK14" s="947" t="s">
        <v>865</v>
      </c>
      <c r="BL14" s="945"/>
      <c r="BM14" s="941" t="s">
        <v>859</v>
      </c>
      <c r="BN14" s="941" t="s">
        <v>866</v>
      </c>
      <c r="BO14" s="941" t="s">
        <v>866</v>
      </c>
      <c r="BP14" s="941" t="s">
        <v>866</v>
      </c>
      <c r="BQ14" s="941"/>
      <c r="BR14" s="941"/>
      <c r="BS14" s="941"/>
    </row>
    <row r="15" spans="1:71" ht="13.8" x14ac:dyDescent="0.25">
      <c r="A15" s="981"/>
      <c r="B15" s="159" t="s">
        <v>730</v>
      </c>
      <c r="C15" s="160">
        <v>33659</v>
      </c>
      <c r="D15" s="161">
        <v>5873</v>
      </c>
      <c r="E15" s="162">
        <v>93</v>
      </c>
      <c r="F15" s="161">
        <v>9218</v>
      </c>
      <c r="G15" s="163">
        <f>SUM(C11:C15)</f>
        <v>154074</v>
      </c>
      <c r="H15" s="163">
        <f>SUM(D11:D15)</f>
        <v>28087</v>
      </c>
      <c r="I15" s="163">
        <f>SUM(E11:E15)</f>
        <v>432</v>
      </c>
      <c r="J15" s="163">
        <f>SUM(F11:F15)</f>
        <v>41565</v>
      </c>
      <c r="K15" s="165"/>
      <c r="L15" s="157"/>
      <c r="M15" s="157"/>
      <c r="N15" s="157"/>
      <c r="O15" s="157"/>
      <c r="P15" s="157"/>
      <c r="Q15" s="157"/>
      <c r="R15" s="157"/>
      <c r="S15" s="157"/>
      <c r="V15" s="116" t="str">
        <f>G9</f>
        <v>Farþegar</v>
      </c>
      <c r="W15" s="116" t="str">
        <f>H9</f>
        <v>Hreyfingar</v>
      </c>
      <c r="X15" s="116" t="str">
        <f>I9</f>
        <v>Cargo</v>
      </c>
      <c r="Y15" s="116" t="str">
        <f>J9</f>
        <v>Yfirflug</v>
      </c>
      <c r="AB15" s="116" t="str">
        <f>M9</f>
        <v>Hreyfingar</v>
      </c>
      <c r="AC15" s="116" t="str">
        <f>N9</f>
        <v>Cargo</v>
      </c>
      <c r="AD15" s="116" t="str">
        <f>O9</f>
        <v>Yfirflug</v>
      </c>
      <c r="AE15" s="116" t="str">
        <f>P9</f>
        <v>Farþegar</v>
      </c>
      <c r="AL15">
        <f t="shared" si="2"/>
        <v>2016.3846153846155</v>
      </c>
      <c r="AO15">
        <f t="shared" si="4"/>
        <v>2016.4166666666663</v>
      </c>
      <c r="AW15" s="981"/>
      <c r="AX15" s="943" t="s">
        <v>857</v>
      </c>
      <c r="AY15" s="160">
        <v>1190</v>
      </c>
      <c r="AZ15" s="161">
        <f>INDEX($BK$16:$BL$19,MATCH($AX15,$BK$16:$BK$19,0),2)</f>
        <v>130</v>
      </c>
      <c r="BA15" s="162">
        <f>AY15/2*AZ15*$BS$13/10^3</f>
        <v>242.12961891410157</v>
      </c>
      <c r="BB15" s="163">
        <f>SUM(AY15)</f>
        <v>1190</v>
      </c>
      <c r="BC15" s="163">
        <f>SUM(BA15)</f>
        <v>242.12961891410157</v>
      </c>
      <c r="BD15" s="165"/>
      <c r="BE15" s="157"/>
      <c r="BF15" s="157"/>
      <c r="BG15" s="157"/>
      <c r="BH15" s="157"/>
      <c r="BI15" s="157"/>
    </row>
    <row r="16" spans="1:71" ht="13.8" x14ac:dyDescent="0.25">
      <c r="A16" s="981"/>
      <c r="B16" s="159" t="s">
        <v>735</v>
      </c>
      <c r="C16" s="160">
        <v>39204</v>
      </c>
      <c r="D16" s="161">
        <v>6108</v>
      </c>
      <c r="E16" s="162">
        <v>97</v>
      </c>
      <c r="F16" s="161">
        <v>9912</v>
      </c>
      <c r="G16" s="163">
        <f>SUM(C11:C16)</f>
        <v>193278</v>
      </c>
      <c r="H16" s="163">
        <f>SUM(D11:D16)</f>
        <v>34195</v>
      </c>
      <c r="I16" s="163">
        <f>SUM(E11:E16)</f>
        <v>529</v>
      </c>
      <c r="J16" s="163">
        <f>SUM(F11:F16)</f>
        <v>51477</v>
      </c>
      <c r="K16" s="165"/>
      <c r="L16" s="157"/>
      <c r="M16" s="157"/>
      <c r="N16" s="157"/>
      <c r="O16" s="157"/>
      <c r="P16" s="157"/>
      <c r="Q16" s="157"/>
      <c r="R16" s="157"/>
      <c r="S16" s="157"/>
      <c r="V16" s="23"/>
      <c r="W16" s="23"/>
      <c r="X16" s="23"/>
      <c r="Y16" s="23"/>
      <c r="AB16" s="23"/>
      <c r="AC16" s="23"/>
      <c r="AD16" s="23"/>
      <c r="AE16" s="23"/>
      <c r="AL16">
        <f t="shared" si="2"/>
        <v>2016.4615384615386</v>
      </c>
      <c r="AO16">
        <f t="shared" si="4"/>
        <v>2016.4999999999995</v>
      </c>
      <c r="AW16" s="981"/>
      <c r="AX16" s="943" t="s">
        <v>860</v>
      </c>
      <c r="AY16" s="160">
        <v>1846</v>
      </c>
      <c r="AZ16" s="161">
        <f>INDEX($BK$16:$BL$19,MATCH($AX16,$BK$16:$BK$19,0),2)</f>
        <v>110</v>
      </c>
      <c r="BA16" s="162">
        <f>AY16/2*AZ16*$BS$13/10^3</f>
        <v>317.82055860825767</v>
      </c>
      <c r="BB16" s="163">
        <f>SUM(AY15:AY16)</f>
        <v>3036</v>
      </c>
      <c r="BC16" s="163">
        <f>SUM(BA15:BA16)</f>
        <v>559.95017752235924</v>
      </c>
      <c r="BD16" s="165"/>
      <c r="BE16" s="157"/>
      <c r="BF16" s="157"/>
      <c r="BG16" s="157"/>
      <c r="BH16" s="157"/>
      <c r="BI16" s="157"/>
      <c r="BK16" s="947"/>
      <c r="BL16" s="947" t="s">
        <v>867</v>
      </c>
    </row>
    <row r="17" spans="1:64" ht="13.8" x14ac:dyDescent="0.25">
      <c r="A17" s="981"/>
      <c r="B17" s="159" t="s">
        <v>740</v>
      </c>
      <c r="C17" s="160">
        <v>47875</v>
      </c>
      <c r="D17" s="161">
        <v>6881</v>
      </c>
      <c r="E17" s="162">
        <v>94</v>
      </c>
      <c r="F17" s="161">
        <v>11589</v>
      </c>
      <c r="G17" s="163">
        <f>SUM(C11:C17)</f>
        <v>241153</v>
      </c>
      <c r="H17" s="163">
        <f>SUM(D11:D17)</f>
        <v>41076</v>
      </c>
      <c r="I17" s="163">
        <f>SUM(E11:E17)</f>
        <v>623</v>
      </c>
      <c r="J17" s="163">
        <f>SUM(F11:F17)</f>
        <v>63066</v>
      </c>
      <c r="K17" s="165"/>
      <c r="L17" s="157"/>
      <c r="M17" s="157"/>
      <c r="N17" s="157"/>
      <c r="O17" s="157"/>
      <c r="P17" s="157"/>
      <c r="Q17" s="157"/>
      <c r="R17" s="157"/>
      <c r="S17" s="157"/>
      <c r="U17">
        <v>2017</v>
      </c>
      <c r="V17" s="96">
        <f t="shared" ref="V17:Y21" si="6">INDEX($L$24:$O$101,MATCH($U17,$B$24:$B$101,0),MATCH(V$15,$L$9:$O$9,0))</f>
        <v>1.9664085845260946E-2</v>
      </c>
      <c r="W17" s="96">
        <f t="shared" si="6"/>
        <v>1.4498211259649783E-2</v>
      </c>
      <c r="X17" s="96">
        <f t="shared" si="6"/>
        <v>-0.26390197926484449</v>
      </c>
      <c r="Y17" s="96">
        <f t="shared" si="6"/>
        <v>7.4033633751890662E-2</v>
      </c>
      <c r="AA17">
        <v>2017</v>
      </c>
      <c r="AB17" s="96">
        <f t="shared" ref="AB17:AE21" si="7">INDEX($P$24:$S$101,MATCH($U17,$B$24:$B$101,0),MATCH(AB$15,$P$9:$S$9,0))</f>
        <v>-0.13896108519955852</v>
      </c>
      <c r="AC17" s="96">
        <f t="shared" si="7"/>
        <v>-0.28472222222222221</v>
      </c>
      <c r="AD17" s="96">
        <f t="shared" si="7"/>
        <v>3.7796222783591966E-2</v>
      </c>
      <c r="AE17" s="96">
        <f t="shared" si="7"/>
        <v>1.2610823370588159E-2</v>
      </c>
      <c r="AL17">
        <f t="shared" si="2"/>
        <v>2016.5384615384617</v>
      </c>
      <c r="AO17">
        <f t="shared" si="4"/>
        <v>2016.5833333333328</v>
      </c>
      <c r="AW17" s="981"/>
      <c r="AX17" s="943" t="s">
        <v>868</v>
      </c>
      <c r="AY17" s="160">
        <f>AY16+AY15</f>
        <v>3036</v>
      </c>
      <c r="AZ17" s="161"/>
      <c r="BA17" s="162">
        <f>SUM(BA15:BA16)</f>
        <v>559.95017752235924</v>
      </c>
      <c r="BB17" s="163">
        <f>SUM(AY17)</f>
        <v>3036</v>
      </c>
      <c r="BC17" s="163">
        <f>SUM(BA17)</f>
        <v>559.95017752235924</v>
      </c>
      <c r="BD17" s="165"/>
      <c r="BE17" s="157"/>
      <c r="BF17" s="157"/>
      <c r="BG17" s="157"/>
      <c r="BH17" s="157"/>
      <c r="BI17" s="157"/>
      <c r="BK17" s="947" t="s">
        <v>857</v>
      </c>
      <c r="BL17" s="947">
        <v>130</v>
      </c>
    </row>
    <row r="18" spans="1:64" ht="13.8" x14ac:dyDescent="0.25">
      <c r="A18" s="981"/>
      <c r="B18" s="159" t="s">
        <v>752</v>
      </c>
      <c r="C18" s="160">
        <v>46951</v>
      </c>
      <c r="D18" s="161">
        <v>7335</v>
      </c>
      <c r="E18" s="162">
        <v>112</v>
      </c>
      <c r="F18" s="161">
        <v>10982</v>
      </c>
      <c r="G18" s="163">
        <f>SUM(C11:C18)</f>
        <v>288104</v>
      </c>
      <c r="H18" s="163">
        <f>SUM(D11:D18)</f>
        <v>48411</v>
      </c>
      <c r="I18" s="163">
        <f>SUM(E11:E18)</f>
        <v>735</v>
      </c>
      <c r="J18" s="163">
        <f>SUM(F11:F18)</f>
        <v>74048</v>
      </c>
      <c r="K18" s="165"/>
      <c r="L18" s="157"/>
      <c r="M18" s="157"/>
      <c r="N18" s="157"/>
      <c r="O18" s="157"/>
      <c r="P18" s="157"/>
      <c r="Q18" s="157"/>
      <c r="R18" s="157"/>
      <c r="S18" s="157"/>
      <c r="U18">
        <v>2018</v>
      </c>
      <c r="V18" s="96">
        <f t="shared" si="6"/>
        <v>-7.3017402441747065E-2</v>
      </c>
      <c r="W18" s="96">
        <f t="shared" si="6"/>
        <v>-5.314278643900025E-2</v>
      </c>
      <c r="X18" s="96">
        <f t="shared" si="6"/>
        <v>-3.5211267605633804E-2</v>
      </c>
      <c r="Y18" s="96">
        <f t="shared" si="6"/>
        <v>4.2231573684429813E-2</v>
      </c>
      <c r="AA18">
        <v>2018</v>
      </c>
      <c r="AB18" s="96">
        <f t="shared" si="7"/>
        <v>-9.7337082368508104E-2</v>
      </c>
      <c r="AC18" s="96">
        <f t="shared" si="7"/>
        <v>-1.1650485436893277E-2</v>
      </c>
      <c r="AD18" s="96">
        <f t="shared" si="7"/>
        <v>0.12629821958456974</v>
      </c>
      <c r="AE18" s="96">
        <f t="shared" si="7"/>
        <v>-7.4177813956171443E-2</v>
      </c>
      <c r="AL18">
        <f t="shared" si="2"/>
        <v>2016.6153846153848</v>
      </c>
      <c r="AO18">
        <f t="shared" si="4"/>
        <v>2016.6666666666661</v>
      </c>
      <c r="AW18" s="981"/>
      <c r="AX18" s="948" t="s">
        <v>857</v>
      </c>
      <c r="AY18" s="239">
        <f>AY11+AY15</f>
        <v>19231</v>
      </c>
      <c r="AZ18" s="161">
        <f>INDEX($BK$16:$BL$19,MATCH($AX18,$BK$16:$BK$19,0),2)</f>
        <v>130</v>
      </c>
      <c r="BA18" s="162">
        <f>AY18/2*AZ18*$BS$13/10^3</f>
        <v>3912.9367238126783</v>
      </c>
      <c r="BB18" s="163">
        <f>SUM(AY18)</f>
        <v>19231</v>
      </c>
      <c r="BC18" s="163">
        <f>SUM(BA18)</f>
        <v>3912.9367238126783</v>
      </c>
      <c r="BD18" s="165"/>
      <c r="BE18" s="157"/>
      <c r="BF18" s="157"/>
      <c r="BG18" s="157"/>
      <c r="BH18" s="157"/>
      <c r="BI18" s="157"/>
      <c r="BK18" s="947" t="s">
        <v>860</v>
      </c>
      <c r="BL18" s="947">
        <v>110</v>
      </c>
    </row>
    <row r="19" spans="1:64" ht="16.5" customHeight="1" x14ac:dyDescent="0.25">
      <c r="A19" s="981"/>
      <c r="B19" s="159" t="s">
        <v>754</v>
      </c>
      <c r="C19" s="160">
        <v>41298</v>
      </c>
      <c r="D19" s="161">
        <v>5519</v>
      </c>
      <c r="E19" s="162">
        <v>86</v>
      </c>
      <c r="F19" s="161">
        <v>11002</v>
      </c>
      <c r="G19" s="163">
        <f>SUM(C11:C19)</f>
        <v>329402</v>
      </c>
      <c r="H19" s="163">
        <f>SUM(D11:D19)</f>
        <v>53930</v>
      </c>
      <c r="I19" s="163">
        <f>SUM(E11:E19)</f>
        <v>821</v>
      </c>
      <c r="J19" s="163">
        <f>SUM(F11:F19)</f>
        <v>85050</v>
      </c>
      <c r="K19" s="142"/>
      <c r="L19" s="166"/>
      <c r="M19" s="166"/>
      <c r="N19" s="166"/>
      <c r="O19" s="166"/>
      <c r="P19" s="166"/>
      <c r="Q19" s="166"/>
      <c r="R19" s="166"/>
      <c r="S19" s="166"/>
      <c r="U19">
        <v>2019</v>
      </c>
      <c r="V19" s="96">
        <f t="shared" si="6"/>
        <v>-9.638099101268871E-2</v>
      </c>
      <c r="W19" s="96">
        <f t="shared" si="6"/>
        <v>2.3489055864096699E-2</v>
      </c>
      <c r="X19" s="96">
        <f t="shared" si="6"/>
        <v>-0.13258128732581301</v>
      </c>
      <c r="Y19" s="96">
        <f t="shared" si="6"/>
        <v>-7.3477089379802192E-3</v>
      </c>
      <c r="AA19">
        <v>2019</v>
      </c>
      <c r="AB19" s="96">
        <f t="shared" si="7"/>
        <v>0.2358680714612918</v>
      </c>
      <c r="AC19" s="96">
        <f t="shared" si="7"/>
        <v>-0.12246234446627367</v>
      </c>
      <c r="AD19" s="96">
        <f t="shared" si="7"/>
        <v>-7.8935452000658657E-2</v>
      </c>
      <c r="AE19" s="96">
        <f t="shared" si="7"/>
        <v>-4.0513970812217887E-2</v>
      </c>
      <c r="AL19">
        <f t="shared" si="2"/>
        <v>2016.6923076923078</v>
      </c>
      <c r="AO19">
        <f t="shared" si="4"/>
        <v>2016.7499999999993</v>
      </c>
      <c r="AW19" s="981"/>
      <c r="AX19" s="948" t="s">
        <v>860</v>
      </c>
      <c r="AY19" s="239">
        <f>AY12+AY16</f>
        <v>7463</v>
      </c>
      <c r="AZ19" s="161">
        <f>INDEX($BK$16:$BL$19,MATCH($AX19,$BK$16:$BK$19,0),2)</f>
        <v>110</v>
      </c>
      <c r="BA19" s="162">
        <f>AY19/2*AZ19*$BS$13/10^3</f>
        <v>1284.8834392705455</v>
      </c>
      <c r="BB19" s="163">
        <f>SUM(AY18:AY19)</f>
        <v>26694</v>
      </c>
      <c r="BC19" s="163">
        <f>SUM(BA18:BA19)</f>
        <v>5197.8201630832236</v>
      </c>
      <c r="BD19" s="165"/>
      <c r="BE19" s="157"/>
      <c r="BF19" s="157"/>
      <c r="BG19" s="157"/>
      <c r="BH19" s="157"/>
      <c r="BI19" s="157"/>
      <c r="BK19" s="947" t="s">
        <v>862</v>
      </c>
      <c r="BL19" s="947">
        <v>3.5</v>
      </c>
    </row>
    <row r="20" spans="1:64" ht="14.4" thickBot="1" x14ac:dyDescent="0.3">
      <c r="A20" s="981"/>
      <c r="B20" s="159" t="s">
        <v>755</v>
      </c>
      <c r="C20" s="160">
        <v>33758</v>
      </c>
      <c r="D20" s="161">
        <v>3899</v>
      </c>
      <c r="E20" s="162">
        <v>96</v>
      </c>
      <c r="F20" s="161">
        <v>9509</v>
      </c>
      <c r="G20" s="163">
        <f>SUM(C11:C20)</f>
        <v>363160</v>
      </c>
      <c r="H20" s="163">
        <f>SUM(D11:D20)</f>
        <v>57829</v>
      </c>
      <c r="I20" s="163">
        <f>SUM(E11:E20)</f>
        <v>917</v>
      </c>
      <c r="J20" s="163">
        <f>SUM(F11:F20)</f>
        <v>94559</v>
      </c>
      <c r="K20" s="142"/>
      <c r="L20" s="166"/>
      <c r="M20" s="166"/>
      <c r="N20" s="166"/>
      <c r="O20" s="166"/>
      <c r="P20" s="166"/>
      <c r="Q20" s="166"/>
      <c r="R20" s="166"/>
      <c r="S20" s="166"/>
      <c r="U20">
        <v>2020</v>
      </c>
      <c r="V20" s="96">
        <f t="shared" si="6"/>
        <v>-0.53927862008596406</v>
      </c>
      <c r="W20" s="96">
        <f t="shared" si="6"/>
        <v>-0.35266047432091674</v>
      </c>
      <c r="X20" s="96">
        <f t="shared" si="6"/>
        <v>-0.26484088127294969</v>
      </c>
      <c r="Y20" s="96">
        <f t="shared" si="6"/>
        <v>-0.54962385424553373</v>
      </c>
      <c r="AA20">
        <v>2020</v>
      </c>
      <c r="AB20" s="96">
        <f t="shared" si="7"/>
        <v>-0.43381889617850922</v>
      </c>
      <c r="AC20" s="96">
        <f t="shared" si="7"/>
        <v>-0.26492537313432835</v>
      </c>
      <c r="AD20" s="96">
        <f t="shared" si="7"/>
        <v>-0.35352745312744421</v>
      </c>
      <c r="AE20" s="96">
        <f t="shared" si="7"/>
        <v>-0.51931568921727089</v>
      </c>
      <c r="AL20">
        <f t="shared" si="2"/>
        <v>2016.7692307692309</v>
      </c>
      <c r="AO20">
        <f t="shared" si="4"/>
        <v>2016.8333333333326</v>
      </c>
      <c r="AW20" s="982"/>
      <c r="AX20" s="948" t="s">
        <v>862</v>
      </c>
      <c r="AY20" s="239">
        <f>AY13</f>
        <v>37038</v>
      </c>
      <c r="AZ20" s="217">
        <f>INDEX($BK$16:$BL$19,MATCH($AX20,$BK$16:$BK$19,0),2)</f>
        <v>3.5</v>
      </c>
      <c r="BA20" s="162">
        <f>AY20/2*AZ20*$BS$13/10^3</f>
        <v>202.89585577693424</v>
      </c>
      <c r="BB20" s="163">
        <f>SUM(AY18:AY20)</f>
        <v>63732</v>
      </c>
      <c r="BC20" s="163">
        <f>SUM(BA18:BA20)</f>
        <v>5400.7160188601574</v>
      </c>
      <c r="BD20" s="165"/>
      <c r="BE20" s="157"/>
      <c r="BF20" s="157"/>
      <c r="BG20" s="157"/>
      <c r="BH20" s="157"/>
      <c r="BI20" s="157"/>
    </row>
    <row r="21" spans="1:64" ht="14.4" thickBot="1" x14ac:dyDescent="0.3">
      <c r="A21" s="981"/>
      <c r="B21" s="159" t="s">
        <v>756</v>
      </c>
      <c r="C21" s="160">
        <v>29146</v>
      </c>
      <c r="D21" s="161">
        <v>4062</v>
      </c>
      <c r="E21" s="162">
        <v>67</v>
      </c>
      <c r="F21" s="161">
        <v>8095</v>
      </c>
      <c r="G21" s="163">
        <f>SUM(C11:C21)</f>
        <v>392306</v>
      </c>
      <c r="H21" s="163">
        <f>SUM(D11:D21)</f>
        <v>61891</v>
      </c>
      <c r="I21" s="163">
        <f>SUM(E11:E21)</f>
        <v>984</v>
      </c>
      <c r="J21" s="163">
        <f>SUM(F11:F21)</f>
        <v>102654</v>
      </c>
      <c r="K21" s="142"/>
      <c r="L21" s="166"/>
      <c r="M21" s="166"/>
      <c r="N21" s="166"/>
      <c r="O21" s="166"/>
      <c r="P21" s="166"/>
      <c r="Q21" s="166"/>
      <c r="R21" s="166"/>
      <c r="S21" s="166"/>
      <c r="U21">
        <v>2021</v>
      </c>
      <c r="V21" s="96">
        <f t="shared" si="6"/>
        <v>0.80747073940102554</v>
      </c>
      <c r="W21" s="96">
        <f t="shared" si="6"/>
        <v>0.24789822736125836</v>
      </c>
      <c r="X21" s="96">
        <f t="shared" si="6"/>
        <v>0.21290322580645152</v>
      </c>
      <c r="Y21" s="96">
        <f t="shared" si="6"/>
        <v>0.23783890120895629</v>
      </c>
      <c r="AA21">
        <v>2021</v>
      </c>
      <c r="AB21" s="96">
        <f t="shared" si="7"/>
        <v>0.44615384615384618</v>
      </c>
      <c r="AC21" s="96">
        <f t="shared" si="7"/>
        <v>-2.1827411167512748E-2</v>
      </c>
      <c r="AD21" s="96">
        <f t="shared" si="7"/>
        <v>-0.27353175014691139</v>
      </c>
      <c r="AE21" s="96">
        <f t="shared" si="7"/>
        <v>0.38636124829252916</v>
      </c>
      <c r="AL21">
        <f t="shared" si="2"/>
        <v>2016.846153846154</v>
      </c>
      <c r="AO21">
        <f t="shared" si="4"/>
        <v>2016.9166666666658</v>
      </c>
      <c r="AW21" s="172" t="s">
        <v>3</v>
      </c>
      <c r="AX21" s="173">
        <f>AW11</f>
        <v>2016</v>
      </c>
      <c r="AY21" s="174">
        <f>SUM(AY18:AY20)</f>
        <v>63732</v>
      </c>
      <c r="AZ21" s="174"/>
      <c r="BA21" s="174">
        <f>SUM(BA18:BA20)</f>
        <v>5400.7160188601574</v>
      </c>
      <c r="BB21" s="175">
        <f>BB20</f>
        <v>63732</v>
      </c>
      <c r="BC21" s="175">
        <f>BC20</f>
        <v>5400.7160188601574</v>
      </c>
      <c r="BD21" s="176"/>
      <c r="BE21" s="177"/>
      <c r="BF21" s="177"/>
      <c r="BG21" s="177"/>
      <c r="BH21" s="177"/>
      <c r="BI21" s="177"/>
    </row>
    <row r="22" spans="1:64" ht="14.4" thickBot="1" x14ac:dyDescent="0.3">
      <c r="A22" s="982"/>
      <c r="B22" s="167" t="s">
        <v>758</v>
      </c>
      <c r="C22" s="168">
        <v>25003</v>
      </c>
      <c r="D22" s="169">
        <v>1841</v>
      </c>
      <c r="E22" s="170">
        <v>77</v>
      </c>
      <c r="F22" s="171">
        <v>9079</v>
      </c>
      <c r="G22" s="163">
        <f>SUM(C11:C22)</f>
        <v>417309</v>
      </c>
      <c r="H22" s="163">
        <f>SUM(D11:D22)</f>
        <v>63732</v>
      </c>
      <c r="I22" s="163">
        <f>SUM(E11:E22)</f>
        <v>1061</v>
      </c>
      <c r="J22" s="163">
        <f>SUM(F11:F22)</f>
        <v>111733</v>
      </c>
      <c r="K22" s="142"/>
      <c r="L22" s="166"/>
      <c r="M22" s="166"/>
      <c r="N22" s="166"/>
      <c r="O22" s="166"/>
      <c r="P22" s="166"/>
      <c r="Q22" s="166"/>
      <c r="R22" s="166"/>
      <c r="S22" s="166"/>
      <c r="U22">
        <v>2022</v>
      </c>
      <c r="V22" s="96">
        <f>INDEX($L$24:$O$101,MATCH($U22,$B$24:$B$101,0),MATCH(V$15,$L$9:$O$9,0))</f>
        <v>0.17519844211150493</v>
      </c>
      <c r="W22" s="96">
        <f>INDEX($L$24:$O$101,MATCH($U22,$B$24:$B$101,0),MATCH(W$15,$L$9:$O$9,0))</f>
        <v>-0.15578078078078078</v>
      </c>
      <c r="X22" s="96">
        <f>INDEX($L$24:$O$101,MATCH($U22,$B$24:$B$101,0),MATCH(X$15,$L$9:$O$9,0))</f>
        <v>0.21825669183253249</v>
      </c>
      <c r="Y22" s="96">
        <f>INDEX($L$24:$O$101,MATCH($U22,$B$24:$B$101,0),MATCH(Y$15,$L$9:$O$9,0))</f>
        <v>0.57163909557176917</v>
      </c>
      <c r="AA22">
        <v>2022</v>
      </c>
      <c r="AB22" s="96">
        <f>INDEX($P$24:$S$101,MATCH($U22,$B$24:$B$101,0),MATCH(AB$15,$P$9:$S$9,0))</f>
        <v>-0.37197827071072881</v>
      </c>
      <c r="AC22" s="96">
        <f>INDEX($P$24:$S$101,MATCH($U22,$B$24:$B$101,0),MATCH(AC$15,$P$9:$S$9,0))</f>
        <v>0.28801245459263103</v>
      </c>
      <c r="AD22" s="96">
        <f>INDEX($P$24:$S$101,MATCH($U22,$B$24:$B$101,0),MATCH(AD$15,$P$9:$S$9,0))</f>
        <v>0.80319756376094409</v>
      </c>
      <c r="AE22" s="96">
        <f>INDEX($P$24:$S$101,MATCH($U22,$B$24:$B$101,0),MATCH(AE$15,$P$9:$S$9,0))</f>
        <v>0.31726542367742916</v>
      </c>
      <c r="AL22">
        <f t="shared" si="2"/>
        <v>2016.9230769230771</v>
      </c>
      <c r="AO22">
        <f t="shared" si="4"/>
        <v>2016.9999999999991</v>
      </c>
      <c r="AP22" s="107">
        <f>L24</f>
        <v>-5.2820589555588805E-2</v>
      </c>
      <c r="AQ22" s="107">
        <f t="shared" ref="AP22:AQ33" si="8">M24</f>
        <v>-0.45719082260772242</v>
      </c>
      <c r="AW22" s="986">
        <v>2017</v>
      </c>
      <c r="AX22" s="939" t="s">
        <v>857</v>
      </c>
      <c r="AY22" s="152">
        <v>16301</v>
      </c>
      <c r="AZ22" s="153">
        <f>INDEX($BK$16:$BL$19,MATCH($AX22,$BK$16:$BK$19,0),2)</f>
        <v>130</v>
      </c>
      <c r="BA22" s="154">
        <f>AY22/2*AZ22*$BS$13/10^3</f>
        <v>3316.7688385872011</v>
      </c>
      <c r="BB22" s="155">
        <f>AY22</f>
        <v>16301</v>
      </c>
      <c r="BC22" s="155">
        <f>BA22</f>
        <v>3316.7688385872011</v>
      </c>
      <c r="BD22" s="1075" t="str">
        <f>"Milli áranna "&amp; AW11&amp;" og "&amp; AW22</f>
        <v>Milli áranna 2016 og 2017</v>
      </c>
      <c r="BE22" s="178">
        <f t="shared" ref="BE22:BE65" si="9">(AY22-AY11)/AY11</f>
        <v>-9.644698187461892E-2</v>
      </c>
      <c r="BF22" s="178"/>
      <c r="BG22" s="178">
        <f>(BA22-BA11)/BA11</f>
        <v>-9.6446981874618962E-2</v>
      </c>
      <c r="BH22" s="179">
        <f>(BB22-BB11)/BB11</f>
        <v>-9.644698187461892E-2</v>
      </c>
      <c r="BI22" s="179">
        <f>(BC22-BC11)/BC11</f>
        <v>-9.6446981874618962E-2</v>
      </c>
    </row>
    <row r="23" spans="1:64" ht="14.4" thickBot="1" x14ac:dyDescent="0.3">
      <c r="A23" s="172" t="s">
        <v>3</v>
      </c>
      <c r="B23" s="173">
        <v>2016</v>
      </c>
      <c r="C23" s="174">
        <f>SUM(C11:C22)</f>
        <v>417309</v>
      </c>
      <c r="D23" s="174">
        <f>SUM(D11:D22)</f>
        <v>63732</v>
      </c>
      <c r="E23" s="174">
        <f>SUM(E11:E22)</f>
        <v>1061</v>
      </c>
      <c r="F23" s="174">
        <f>SUM(F11:F22)</f>
        <v>111733</v>
      </c>
      <c r="G23" s="175">
        <f>G15</f>
        <v>154074</v>
      </c>
      <c r="H23" s="175">
        <f>H15</f>
        <v>28087</v>
      </c>
      <c r="I23" s="175">
        <f>I15</f>
        <v>432</v>
      </c>
      <c r="J23" s="175">
        <f>J15</f>
        <v>41565</v>
      </c>
      <c r="K23" s="176"/>
      <c r="L23" s="177"/>
      <c r="M23" s="177"/>
      <c r="N23" s="177"/>
      <c r="O23" s="177"/>
      <c r="P23" s="177"/>
      <c r="Q23" s="177"/>
      <c r="R23" s="177"/>
      <c r="S23" s="177"/>
      <c r="U23">
        <v>2023</v>
      </c>
      <c r="V23" s="96">
        <f>INDEX($L$24:$O$127,MATCH($U23,$B$24:$B$127,0),MATCH(V$15,$L$9:$O$9,0))</f>
        <v>1.6607752578028916E-2</v>
      </c>
      <c r="W23" s="96">
        <f t="shared" ref="W23:Y24" si="10">INDEX($L$24:$O$127,MATCH($U23,$B$24:$B$127,0),MATCH(W$15,$L$9:$O$9,0))</f>
        <v>4.3013269055252629E-2</v>
      </c>
      <c r="X23" s="96">
        <f t="shared" si="10"/>
        <v>-7.6338028169013847E-2</v>
      </c>
      <c r="Y23" s="96">
        <f t="shared" si="10"/>
        <v>0.18157582666090585</v>
      </c>
      <c r="AA23">
        <v>2023</v>
      </c>
      <c r="AB23" s="96">
        <f>INDEX($P$24:$S$127,MATCH($U23,$B$24:$B$127,0),MATCH(AB$15,$P$9:$S$9,0))</f>
        <v>5.2043537807251496E-2</v>
      </c>
      <c r="AC23" s="96">
        <f t="shared" ref="AC23:AE24" si="11">INDEX($P$24:$S$127,MATCH($U23,$B$24:$B$127,0),MATCH(AC$15,$P$9:$S$9,0))</f>
        <v>4.7542304593070156E-2</v>
      </c>
      <c r="AD23" s="96">
        <f t="shared" si="11"/>
        <v>0.25976356343677431</v>
      </c>
      <c r="AE23" s="96">
        <f t="shared" si="11"/>
        <v>4.9983560743054413E-2</v>
      </c>
      <c r="AL23">
        <f t="shared" si="2"/>
        <v>2017.0000000000002</v>
      </c>
      <c r="AO23">
        <f t="shared" si="4"/>
        <v>2017.0833333333323</v>
      </c>
      <c r="AP23" s="107">
        <f t="shared" si="8"/>
        <v>-5.219985085756898E-2</v>
      </c>
      <c r="AQ23" s="107">
        <f t="shared" si="8"/>
        <v>-0.39149383829275625</v>
      </c>
      <c r="AW23" s="981"/>
      <c r="AX23" s="943" t="s">
        <v>860</v>
      </c>
      <c r="AY23" s="160">
        <v>3876</v>
      </c>
      <c r="AZ23" s="161">
        <f>INDEX($BK$16:$BL$19,MATCH($AX23,$BK$16:$BK$19,0),2)</f>
        <v>110</v>
      </c>
      <c r="BA23" s="162">
        <f>AY23/2*AZ23*$BS$13/10^3</f>
        <v>667.319872787436</v>
      </c>
      <c r="BB23" s="163">
        <f>SUM(AY22:AY23)</f>
        <v>20177</v>
      </c>
      <c r="BC23" s="163">
        <f>SUM(BA22:BA23)</f>
        <v>3984.0887113746371</v>
      </c>
      <c r="BD23" s="1037"/>
      <c r="BE23" s="178">
        <f t="shared" si="9"/>
        <v>-0.30995193163610468</v>
      </c>
      <c r="BF23" s="181"/>
      <c r="BG23" s="182">
        <f t="shared" ref="BG23:BG65" si="12">(BA23-BA12)/BA12</f>
        <v>-0.30995193163610463</v>
      </c>
      <c r="BH23" s="183">
        <f t="shared" ref="BH23:BH65" si="13">(BB23-BB12)/BB12</f>
        <v>-0.14713838870572321</v>
      </c>
      <c r="BI23" s="183">
        <f t="shared" ref="BI23:BI65" si="14">(BC23-BC12)/BC12</f>
        <v>-0.14096584773218149</v>
      </c>
    </row>
    <row r="24" spans="1:64" ht="14.25" customHeight="1" x14ac:dyDescent="0.25">
      <c r="A24" s="981">
        <v>2017</v>
      </c>
      <c r="B24" s="151" t="s">
        <v>710</v>
      </c>
      <c r="C24" s="152">
        <v>25320</v>
      </c>
      <c r="D24" s="153">
        <v>2910</v>
      </c>
      <c r="E24" s="154">
        <v>51</v>
      </c>
      <c r="F24" s="153">
        <v>8230</v>
      </c>
      <c r="G24" s="155">
        <f>C24</f>
        <v>25320</v>
      </c>
      <c r="H24" s="155">
        <f>D24</f>
        <v>2910</v>
      </c>
      <c r="I24" s="155">
        <f>E24</f>
        <v>51</v>
      </c>
      <c r="J24" s="155">
        <f>F24</f>
        <v>8230</v>
      </c>
      <c r="K24" s="1037" t="s">
        <v>827</v>
      </c>
      <c r="L24" s="178">
        <f t="shared" ref="L24:L55" si="15">(C24-C11)/C11</f>
        <v>-5.2820589555588805E-2</v>
      </c>
      <c r="M24" s="178">
        <f t="shared" ref="M24:M55" si="16">(D24-D11)/D11</f>
        <v>-0.45719082260772242</v>
      </c>
      <c r="N24" s="178">
        <f t="shared" ref="N24:N55" si="17">(E24-E11)/E11</f>
        <v>-0.19047619047619047</v>
      </c>
      <c r="O24" s="179">
        <f t="shared" ref="O24:O55" si="18">(F24-F11)/F11</f>
        <v>1.4421299149513128E-2</v>
      </c>
      <c r="P24" s="179">
        <f t="shared" ref="P24:P55" si="19">(G24-G11)/G11</f>
        <v>-5.2820589555588805E-2</v>
      </c>
      <c r="Q24" s="179">
        <f t="shared" ref="Q24:Q55" si="20">(H24-H11)/H11</f>
        <v>-0.45719082260772242</v>
      </c>
      <c r="R24" s="179">
        <f t="shared" ref="R24:R55" si="21">(I24-I11)/I11</f>
        <v>-0.19047619047619047</v>
      </c>
      <c r="S24" s="179">
        <f t="shared" ref="S24:S55" si="22">(J24-J11)/J11</f>
        <v>1.4421299149513128E-2</v>
      </c>
      <c r="U24">
        <v>2024</v>
      </c>
      <c r="V24" s="96">
        <f>INDEX($L$24:$O$127,MATCH($U24,$B$24:$B$127,0),MATCH(V$15,$L$9:$O$9,0))</f>
        <v>-4.3597683062328333E-3</v>
      </c>
      <c r="W24" s="96">
        <f t="shared" si="10"/>
        <v>-6.8096659112836272E-2</v>
      </c>
      <c r="X24" s="96">
        <f t="shared" si="10"/>
        <v>-9.698078682525163E-2</v>
      </c>
      <c r="Y24" s="96">
        <f t="shared" si="10"/>
        <v>1.7715294904810438E-2</v>
      </c>
      <c r="AA24">
        <v>2024</v>
      </c>
      <c r="AB24" s="96">
        <f>INDEX($P$24:$S$127,MATCH($U24,$B$24:$B$127,0),MATCH(AB$15,$P$9:$S$9,0))</f>
        <v>0.10633778691332649</v>
      </c>
      <c r="AC24" s="96">
        <f t="shared" si="11"/>
        <v>-0.14499999999999996</v>
      </c>
      <c r="AD24" s="96">
        <f t="shared" si="11"/>
        <v>-2.4005027230833684E-2</v>
      </c>
      <c r="AE24" s="96">
        <f t="shared" si="11"/>
        <v>8.5485474514838622E-2</v>
      </c>
      <c r="AL24">
        <f t="shared" si="2"/>
        <v>2017.0769230769233</v>
      </c>
      <c r="AO24">
        <f t="shared" si="4"/>
        <v>2017.1666666666656</v>
      </c>
      <c r="AP24" s="107">
        <f t="shared" si="8"/>
        <v>0.1015451849539566</v>
      </c>
      <c r="AQ24" s="107">
        <f t="shared" si="8"/>
        <v>1.0741744701823559</v>
      </c>
      <c r="AW24" s="981"/>
      <c r="AX24" s="943" t="s">
        <v>862</v>
      </c>
      <c r="AY24" s="160">
        <v>41379</v>
      </c>
      <c r="AZ24" s="217">
        <f>INDEX($BK$16:$BL$19,MATCH($AX24,$BK$16:$BK$19,0),2)</f>
        <v>3.5</v>
      </c>
      <c r="BA24" s="162">
        <f>AY24/2*AZ24*$BS$13/10^3</f>
        <v>226.676052059878</v>
      </c>
      <c r="BB24" s="163">
        <f>SUM(AY22:AY24)</f>
        <v>61556</v>
      </c>
      <c r="BC24" s="163">
        <f>SUM(BA22:BA24)</f>
        <v>4210.7647634345149</v>
      </c>
      <c r="BD24" s="1037"/>
      <c r="BE24" s="178">
        <f t="shared" si="9"/>
        <v>0.11720395269722987</v>
      </c>
      <c r="BF24" s="181"/>
      <c r="BG24" s="182">
        <f t="shared" si="12"/>
        <v>0.11720395269722982</v>
      </c>
      <c r="BH24" s="183">
        <f t="shared" si="13"/>
        <v>1.4168973243706339E-2</v>
      </c>
      <c r="BI24" s="183">
        <f t="shared" si="14"/>
        <v>-0.13014491891414784</v>
      </c>
    </row>
    <row r="25" spans="1:64" ht="13.8" x14ac:dyDescent="0.25">
      <c r="A25" s="981"/>
      <c r="B25" s="159" t="s">
        <v>715</v>
      </c>
      <c r="C25" s="160">
        <v>27962</v>
      </c>
      <c r="D25" s="161">
        <v>4049</v>
      </c>
      <c r="E25" s="162">
        <v>57</v>
      </c>
      <c r="F25" s="161">
        <v>7494</v>
      </c>
      <c r="G25" s="163">
        <f>SUM(C24:C25)</f>
        <v>53282</v>
      </c>
      <c r="H25" s="163">
        <f>SUM(D24:D25)</f>
        <v>6959</v>
      </c>
      <c r="I25" s="163">
        <f>SUM(E24:E25)</f>
        <v>108</v>
      </c>
      <c r="J25" s="163">
        <f>SUM(F24:F25)</f>
        <v>15724</v>
      </c>
      <c r="K25" s="1037"/>
      <c r="L25" s="180">
        <f t="shared" si="15"/>
        <v>-5.219985085756898E-2</v>
      </c>
      <c r="M25" s="181">
        <f t="shared" si="16"/>
        <v>-0.39149383829275625</v>
      </c>
      <c r="N25" s="182">
        <f t="shared" si="17"/>
        <v>-0.33720930232558138</v>
      </c>
      <c r="O25" s="183">
        <f t="shared" si="18"/>
        <v>-4.8501777552056882E-2</v>
      </c>
      <c r="P25" s="183">
        <f t="shared" si="19"/>
        <v>-5.2494931891738095E-2</v>
      </c>
      <c r="Q25" s="183">
        <f t="shared" si="20"/>
        <v>-0.42080732417811068</v>
      </c>
      <c r="R25" s="183">
        <f t="shared" si="21"/>
        <v>-0.27516778523489932</v>
      </c>
      <c r="S25" s="183">
        <f t="shared" si="22"/>
        <v>-1.6573894552504846E-2</v>
      </c>
      <c r="U25">
        <v>2025</v>
      </c>
      <c r="V25" s="96">
        <f>INDEX($L$24:$O$140,MATCH($U25,$B$24:$B$140,0),MATCH(V$15,$L$9:$O$9,0))</f>
        <v>-5.5038803602787061E-2</v>
      </c>
      <c r="W25" s="96">
        <f>INDEX($L$24:$O$140,MATCH($U25,$B$24:$B$140,0),MATCH(W$15,$L$9:$O$9,0))</f>
        <v>-0.13198825058987818</v>
      </c>
      <c r="X25" s="96">
        <f>INDEX($L$24:$O$140,MATCH($U25,$B$24:$B$140,0),MATCH(X$15,$L$9:$O$9,0))</f>
        <v>4.4748395812225596E-2</v>
      </c>
      <c r="Y25" s="96">
        <f>INDEX($L$24:$O$140,MATCH($U25,$B$24:$B$140,0),MATCH(Y$15,$L$9:$O$9,0))</f>
        <v>2.1879061233850625E-2</v>
      </c>
      <c r="AA25">
        <v>2025</v>
      </c>
      <c r="AB25" s="96">
        <f>INDEX($P$24:$S$140,MATCH($U25,$B$24:$B$140,0),MATCH(AB$15,$P$9:$S$9,0))</f>
        <v>-0.16708986189385025</v>
      </c>
      <c r="AC25" s="96">
        <f>INDEX($P$24:$S$140,MATCH($U25,$B$24:$B$140,0),MATCH(AC$15,$P$9:$S$9,0))</f>
        <v>0.10031488978857404</v>
      </c>
      <c r="AD25" s="96">
        <f>INDEX($P$24:$S$140,MATCH($U25,$B$24:$B$140,0),MATCH(AD$15,$P$9:$S$9,0))</f>
        <v>5.9020474739236814E-2</v>
      </c>
      <c r="AE25" s="96">
        <f>INDEX($P$24:$S$140,MATCH($U25,$B$24:$B$140,0),MATCH(AE$15,$P$9:$S$9,0))</f>
        <v>-7.5176149025320743E-2</v>
      </c>
      <c r="AL25">
        <f t="shared" si="2"/>
        <v>2017.1538461538464</v>
      </c>
      <c r="AO25">
        <f t="shared" si="4"/>
        <v>2017.2499999999989</v>
      </c>
      <c r="AP25" s="107">
        <f t="shared" si="8"/>
        <v>-4.3893485970260687E-2</v>
      </c>
      <c r="AQ25" s="107">
        <f t="shared" si="8"/>
        <v>-0.41833577593225857</v>
      </c>
      <c r="AW25" s="981"/>
      <c r="AX25" s="943" t="s">
        <v>864</v>
      </c>
      <c r="AY25" s="160">
        <f>SUM(AY22:AY24)</f>
        <v>61556</v>
      </c>
      <c r="AZ25" s="161"/>
      <c r="BA25" s="162">
        <f>SUM(BA22:BA24)</f>
        <v>4210.7647634345149</v>
      </c>
      <c r="BB25" s="163">
        <f>SUM(AY22:AY24)</f>
        <v>61556</v>
      </c>
      <c r="BC25" s="163">
        <f>SUM(BA22:BA24)</f>
        <v>4210.7647634345149</v>
      </c>
      <c r="BD25" s="1037"/>
      <c r="BE25" s="178">
        <f t="shared" si="9"/>
        <v>1.4168973243706339E-2</v>
      </c>
      <c r="BF25" s="181"/>
      <c r="BG25" s="182">
        <f t="shared" si="12"/>
        <v>-0.13014491891414784</v>
      </c>
      <c r="BH25" s="183">
        <f t="shared" si="13"/>
        <v>1.4168973243706339E-2</v>
      </c>
      <c r="BI25" s="183">
        <f t="shared" si="14"/>
        <v>-0.13014491891414784</v>
      </c>
    </row>
    <row r="26" spans="1:64" ht="13.8" x14ac:dyDescent="0.25">
      <c r="A26" s="981"/>
      <c r="B26" s="159" t="s">
        <v>718</v>
      </c>
      <c r="C26" s="160">
        <v>35288</v>
      </c>
      <c r="D26" s="161">
        <v>8417</v>
      </c>
      <c r="E26" s="162">
        <v>70</v>
      </c>
      <c r="F26" s="161">
        <v>8896</v>
      </c>
      <c r="G26" s="163">
        <f>SUM(C24:C26)</f>
        <v>88570</v>
      </c>
      <c r="H26" s="163">
        <f>SUM(D24:D26)</f>
        <v>15376</v>
      </c>
      <c r="I26" s="163">
        <f>SUM(E24:E26)</f>
        <v>178</v>
      </c>
      <c r="J26" s="163">
        <f>SUM(F24:F26)</f>
        <v>24620</v>
      </c>
      <c r="K26" s="1037"/>
      <c r="L26" s="180">
        <f t="shared" si="15"/>
        <v>0.1015451849539566</v>
      </c>
      <c r="M26" s="181">
        <f t="shared" si="16"/>
        <v>1.0741744701823559</v>
      </c>
      <c r="N26" s="182">
        <f t="shared" si="17"/>
        <v>-0.2857142857142857</v>
      </c>
      <c r="O26" s="183">
        <f t="shared" si="18"/>
        <v>0.10030921459492888</v>
      </c>
      <c r="P26" s="183">
        <f t="shared" si="19"/>
        <v>3.4100307016053199E-3</v>
      </c>
      <c r="Q26" s="183">
        <f t="shared" si="20"/>
        <v>-4.3364648789896099E-2</v>
      </c>
      <c r="R26" s="183">
        <f t="shared" si="21"/>
        <v>-0.2793522267206478</v>
      </c>
      <c r="S26" s="183">
        <f t="shared" si="22"/>
        <v>2.2680069784830108E-2</v>
      </c>
      <c r="AL26">
        <f t="shared" si="2"/>
        <v>2017.2307692307695</v>
      </c>
      <c r="AO26">
        <f t="shared" si="4"/>
        <v>2017.3333333333321</v>
      </c>
      <c r="AP26" s="107">
        <f t="shared" si="8"/>
        <v>9.0703823643007817E-2</v>
      </c>
      <c r="AQ26" s="107">
        <f t="shared" si="8"/>
        <v>-0.10846245530393325</v>
      </c>
      <c r="AW26" s="981"/>
      <c r="AX26" s="943" t="s">
        <v>857</v>
      </c>
      <c r="AY26" s="160">
        <v>1529</v>
      </c>
      <c r="AZ26" s="161">
        <f>INDEX($BK$16:$BL$19,MATCH($AX26,$BK$16:$BK$19,0),2)</f>
        <v>130</v>
      </c>
      <c r="BA26" s="162">
        <f>AY26/2*AZ26*$BS$13/10^3</f>
        <v>311.10603976442121</v>
      </c>
      <c r="BB26" s="163">
        <f>SUM(AY26)</f>
        <v>1529</v>
      </c>
      <c r="BC26" s="163">
        <f>SUM(BA26)</f>
        <v>311.10603976442121</v>
      </c>
      <c r="BD26" s="1037"/>
      <c r="BE26" s="178">
        <f t="shared" si="9"/>
        <v>0.28487394957983192</v>
      </c>
      <c r="BF26" s="181"/>
      <c r="BG26" s="182">
        <f t="shared" si="12"/>
        <v>0.28487394957983175</v>
      </c>
      <c r="BH26" s="183">
        <f t="shared" si="13"/>
        <v>0.28487394957983192</v>
      </c>
      <c r="BI26" s="183">
        <f t="shared" si="14"/>
        <v>0.28487394957983175</v>
      </c>
    </row>
    <row r="27" spans="1:64" ht="13.8" x14ac:dyDescent="0.25">
      <c r="A27" s="981"/>
      <c r="B27" s="159" t="s">
        <v>725</v>
      </c>
      <c r="C27" s="160">
        <v>30735</v>
      </c>
      <c r="D27" s="161">
        <v>3572</v>
      </c>
      <c r="E27" s="162">
        <v>64</v>
      </c>
      <c r="F27" s="161">
        <v>8792</v>
      </c>
      <c r="G27" s="163">
        <f>SUM(C24:C27)</f>
        <v>119305</v>
      </c>
      <c r="H27" s="163">
        <f>SUM(D24:D27)</f>
        <v>18948</v>
      </c>
      <c r="I27" s="163">
        <f>SUM(E24:E27)</f>
        <v>242</v>
      </c>
      <c r="J27" s="163">
        <f>SUM(F24:F27)</f>
        <v>33412</v>
      </c>
      <c r="K27" s="1037"/>
      <c r="L27" s="180">
        <f t="shared" si="15"/>
        <v>-4.3893485970260687E-2</v>
      </c>
      <c r="M27" s="181">
        <f t="shared" si="16"/>
        <v>-0.41833577593225857</v>
      </c>
      <c r="N27" s="182">
        <f t="shared" si="17"/>
        <v>-0.30434782608695654</v>
      </c>
      <c r="O27" s="183">
        <f t="shared" si="18"/>
        <v>6.2734195575970028E-2</v>
      </c>
      <c r="P27" s="183">
        <f t="shared" si="19"/>
        <v>-9.2181206660299792E-3</v>
      </c>
      <c r="Q27" s="183">
        <f t="shared" si="20"/>
        <v>-0.14702439902764022</v>
      </c>
      <c r="R27" s="183">
        <f t="shared" si="21"/>
        <v>-0.28613569321533922</v>
      </c>
      <c r="S27" s="183">
        <f t="shared" si="22"/>
        <v>3.2924227903669584E-2</v>
      </c>
      <c r="AL27">
        <f t="shared" si="2"/>
        <v>2017.3076923076926</v>
      </c>
      <c r="AO27">
        <f t="shared" si="4"/>
        <v>2017.4166666666654</v>
      </c>
      <c r="AP27" s="107">
        <f t="shared" si="8"/>
        <v>6.3871033568003263E-2</v>
      </c>
      <c r="AQ27" s="107">
        <f t="shared" si="8"/>
        <v>0.3007531106745252</v>
      </c>
      <c r="AW27" s="981"/>
      <c r="AX27" s="943" t="s">
        <v>860</v>
      </c>
      <c r="AY27" s="160">
        <v>1571</v>
      </c>
      <c r="AZ27" s="161">
        <f>INDEX($BK$16:$BL$19,MATCH($AX27,$BK$16:$BK$19,0),2)</f>
        <v>110</v>
      </c>
      <c r="BA27" s="162">
        <f>AY27/2*AZ27*$BS$13/10^3</f>
        <v>270.47459240171878</v>
      </c>
      <c r="BB27" s="163">
        <f>SUM(AY26:AY27)</f>
        <v>3100</v>
      </c>
      <c r="BC27" s="163">
        <f>SUM(BA26:BA27)</f>
        <v>581.58063216614005</v>
      </c>
      <c r="BD27" s="1037"/>
      <c r="BE27" s="178">
        <f t="shared" si="9"/>
        <v>-0.14897074756229686</v>
      </c>
      <c r="BF27" s="181"/>
      <c r="BG27" s="182">
        <f t="shared" si="12"/>
        <v>-0.14897074756229675</v>
      </c>
      <c r="BH27" s="183">
        <f t="shared" si="13"/>
        <v>2.1080368906455864E-2</v>
      </c>
      <c r="BI27" s="183">
        <f t="shared" si="14"/>
        <v>3.8629248658318516E-2</v>
      </c>
    </row>
    <row r="28" spans="1:64" ht="13.8" x14ac:dyDescent="0.25">
      <c r="A28" s="981"/>
      <c r="B28" s="159" t="s">
        <v>730</v>
      </c>
      <c r="C28" s="160">
        <v>36712</v>
      </c>
      <c r="D28" s="161">
        <v>5236</v>
      </c>
      <c r="E28" s="162">
        <v>67</v>
      </c>
      <c r="F28" s="161">
        <v>9724</v>
      </c>
      <c r="G28" s="163">
        <f>SUM(C24:C28)</f>
        <v>156017</v>
      </c>
      <c r="H28" s="163">
        <f>SUM(D24:D28)</f>
        <v>24184</v>
      </c>
      <c r="I28" s="163">
        <f>SUM(E24:E28)</f>
        <v>309</v>
      </c>
      <c r="J28" s="163">
        <f>SUM(F24:F28)</f>
        <v>43136</v>
      </c>
      <c r="K28" s="1037"/>
      <c r="L28" s="180">
        <f t="shared" si="15"/>
        <v>9.0703823643007817E-2</v>
      </c>
      <c r="M28" s="181">
        <f t="shared" si="16"/>
        <v>-0.10846245530393325</v>
      </c>
      <c r="N28" s="182">
        <f t="shared" si="17"/>
        <v>-0.27956989247311825</v>
      </c>
      <c r="O28" s="183">
        <f t="shared" si="18"/>
        <v>5.4892601431980909E-2</v>
      </c>
      <c r="P28" s="183">
        <f t="shared" si="19"/>
        <v>1.2610823370588159E-2</v>
      </c>
      <c r="Q28" s="183">
        <f t="shared" si="20"/>
        <v>-0.13896108519955852</v>
      </c>
      <c r="R28" s="183">
        <f t="shared" si="21"/>
        <v>-0.28472222222222221</v>
      </c>
      <c r="S28" s="183">
        <f t="shared" si="22"/>
        <v>3.7796222783591966E-2</v>
      </c>
      <c r="AL28">
        <f t="shared" si="2"/>
        <v>2017.3846153846157</v>
      </c>
      <c r="AO28">
        <f t="shared" si="4"/>
        <v>2017.4999999999986</v>
      </c>
      <c r="AP28" s="107">
        <f t="shared" si="8"/>
        <v>-4.6558746736292428E-2</v>
      </c>
      <c r="AQ28" s="107">
        <f t="shared" si="8"/>
        <v>-1.1626217119604709E-2</v>
      </c>
      <c r="AW28" s="981"/>
      <c r="AX28" s="943" t="s">
        <v>868</v>
      </c>
      <c r="AY28" s="160">
        <f>AY27+AY26</f>
        <v>3100</v>
      </c>
      <c r="AZ28" s="161"/>
      <c r="BA28" s="162">
        <f>SUM(BA26:BA27)</f>
        <v>581.58063216614005</v>
      </c>
      <c r="BB28" s="163">
        <f>SUM(AY28)</f>
        <v>3100</v>
      </c>
      <c r="BC28" s="163">
        <f>SUM(BA28)</f>
        <v>581.58063216614005</v>
      </c>
      <c r="BD28" s="1037"/>
      <c r="BE28" s="178">
        <f t="shared" si="9"/>
        <v>2.1080368906455864E-2</v>
      </c>
      <c r="BF28" s="181"/>
      <c r="BG28" s="182">
        <f t="shared" si="12"/>
        <v>3.8629248658318516E-2</v>
      </c>
      <c r="BH28" s="183">
        <f t="shared" si="13"/>
        <v>2.1080368906455864E-2</v>
      </c>
      <c r="BI28" s="183">
        <f t="shared" si="14"/>
        <v>3.8629248658318516E-2</v>
      </c>
    </row>
    <row r="29" spans="1:64" ht="13.8" x14ac:dyDescent="0.25">
      <c r="A29" s="981"/>
      <c r="B29" s="159" t="s">
        <v>735</v>
      </c>
      <c r="C29" s="160">
        <v>41708</v>
      </c>
      <c r="D29" s="161">
        <v>7945</v>
      </c>
      <c r="E29" s="162">
        <v>67</v>
      </c>
      <c r="F29" s="161">
        <v>11975</v>
      </c>
      <c r="G29" s="163">
        <f>SUM(C24:C29)</f>
        <v>197725</v>
      </c>
      <c r="H29" s="163">
        <f>SUM(D24:D29)</f>
        <v>32129</v>
      </c>
      <c r="I29" s="163">
        <f>SUM(E24:E29)</f>
        <v>376</v>
      </c>
      <c r="J29" s="163">
        <f>SUM(F24:F29)</f>
        <v>55111</v>
      </c>
      <c r="K29" s="1037"/>
      <c r="L29" s="180">
        <f t="shared" si="15"/>
        <v>6.3871033568003263E-2</v>
      </c>
      <c r="M29" s="181">
        <f t="shared" si="16"/>
        <v>0.3007531106745252</v>
      </c>
      <c r="N29" s="182">
        <f t="shared" si="17"/>
        <v>-0.30927835051546393</v>
      </c>
      <c r="O29" s="183">
        <f t="shared" si="18"/>
        <v>0.2081315577078289</v>
      </c>
      <c r="P29" s="183">
        <f t="shared" si="19"/>
        <v>2.3008309274723457E-2</v>
      </c>
      <c r="Q29" s="183">
        <f t="shared" si="20"/>
        <v>-6.0418189793829506E-2</v>
      </c>
      <c r="R29" s="183">
        <f t="shared" si="21"/>
        <v>-0.28922495274102078</v>
      </c>
      <c r="S29" s="183">
        <f t="shared" si="22"/>
        <v>7.059463449695981E-2</v>
      </c>
      <c r="AL29">
        <f t="shared" si="2"/>
        <v>2017.4615384615388</v>
      </c>
      <c r="AO29">
        <f t="shared" si="4"/>
        <v>2017.5833333333319</v>
      </c>
      <c r="AP29" s="107">
        <f t="shared" si="8"/>
        <v>1.3588634959851761E-2</v>
      </c>
      <c r="AQ29" s="107">
        <f t="shared" si="8"/>
        <v>-0.26066802999318339</v>
      </c>
      <c r="AW29" s="981"/>
      <c r="AX29" s="948" t="s">
        <v>857</v>
      </c>
      <c r="AY29" s="239">
        <f>AY22+AY26</f>
        <v>17830</v>
      </c>
      <c r="AZ29" s="161">
        <f>INDEX($BK$16:$BL$19,MATCH($AX29,$BK$16:$BK$19,0),2)</f>
        <v>130</v>
      </c>
      <c r="BA29" s="162">
        <f>AY29/2*AZ29*$BS$13/10^3</f>
        <v>3627.8748783516226</v>
      </c>
      <c r="BB29" s="163">
        <f>SUM(AY29)</f>
        <v>17830</v>
      </c>
      <c r="BC29" s="163">
        <f>SUM(BA29)</f>
        <v>3627.8748783516226</v>
      </c>
      <c r="BD29" s="1037"/>
      <c r="BE29" s="178">
        <f t="shared" si="9"/>
        <v>-7.2851125786490556E-2</v>
      </c>
      <c r="BF29" s="181"/>
      <c r="BG29" s="182">
        <f t="shared" si="12"/>
        <v>-7.2851125786490584E-2</v>
      </c>
      <c r="BH29" s="183">
        <f t="shared" si="13"/>
        <v>-7.2851125786490556E-2</v>
      </c>
      <c r="BI29" s="183">
        <f t="shared" si="14"/>
        <v>-7.2851125786490584E-2</v>
      </c>
    </row>
    <row r="30" spans="1:64" ht="13.8" x14ac:dyDescent="0.25">
      <c r="A30" s="981"/>
      <c r="B30" s="159" t="s">
        <v>740</v>
      </c>
      <c r="C30" s="160">
        <v>45646</v>
      </c>
      <c r="D30" s="161">
        <v>6801</v>
      </c>
      <c r="E30" s="162">
        <v>67</v>
      </c>
      <c r="F30" s="161">
        <v>12413</v>
      </c>
      <c r="G30" s="163">
        <f>SUM(C24:C30)</f>
        <v>243371</v>
      </c>
      <c r="H30" s="163">
        <f>SUM(D24:D30)</f>
        <v>38930</v>
      </c>
      <c r="I30" s="163">
        <f>SUM(E24:E30)</f>
        <v>443</v>
      </c>
      <c r="J30" s="163">
        <f>SUM(F24:F30)</f>
        <v>67524</v>
      </c>
      <c r="K30" s="1037"/>
      <c r="L30" s="180">
        <f t="shared" si="15"/>
        <v>-4.6558746736292428E-2</v>
      </c>
      <c r="M30" s="181">
        <f t="shared" si="16"/>
        <v>-1.1626217119604709E-2</v>
      </c>
      <c r="N30" s="182">
        <f t="shared" si="17"/>
        <v>-0.28723404255319152</v>
      </c>
      <c r="O30" s="183">
        <f t="shared" si="18"/>
        <v>7.110190698075762E-2</v>
      </c>
      <c r="P30" s="183">
        <f t="shared" si="19"/>
        <v>9.1974804377304032E-3</v>
      </c>
      <c r="Q30" s="183">
        <f t="shared" si="20"/>
        <v>-5.2244619729282307E-2</v>
      </c>
      <c r="R30" s="183">
        <f t="shared" si="21"/>
        <v>-0.28892455858747995</v>
      </c>
      <c r="S30" s="183">
        <f t="shared" si="22"/>
        <v>7.0687850822947387E-2</v>
      </c>
      <c r="AL30">
        <f t="shared" si="2"/>
        <v>2017.5384615384619</v>
      </c>
      <c r="AO30">
        <f t="shared" si="4"/>
        <v>2017.6666666666652</v>
      </c>
      <c r="AP30" s="107">
        <f t="shared" si="8"/>
        <v>-2.7555813840863964E-2</v>
      </c>
      <c r="AQ30" s="107">
        <f t="shared" si="8"/>
        <v>-7.7912665337923539E-3</v>
      </c>
      <c r="AW30" s="981"/>
      <c r="AX30" s="948" t="s">
        <v>860</v>
      </c>
      <c r="AY30" s="239">
        <f>AY23+AY27</f>
        <v>5447</v>
      </c>
      <c r="AZ30" s="161">
        <f>INDEX($BK$16:$BL$19,MATCH($AX30,$BK$16:$BK$19,0),2)</f>
        <v>110</v>
      </c>
      <c r="BA30" s="162">
        <f>AY30/2*AZ30*$BS$13/10^3</f>
        <v>937.79446518915472</v>
      </c>
      <c r="BB30" s="163">
        <f>SUM(AY29:AY30)</f>
        <v>23277</v>
      </c>
      <c r="BC30" s="163">
        <f>SUM(BA29:BA30)</f>
        <v>4565.6693435407769</v>
      </c>
      <c r="BD30" s="1037"/>
      <c r="BE30" s="178">
        <f t="shared" si="9"/>
        <v>-0.27013265442851403</v>
      </c>
      <c r="BF30" s="181"/>
      <c r="BG30" s="182">
        <f t="shared" si="12"/>
        <v>-0.27013265442851397</v>
      </c>
      <c r="BH30" s="183">
        <f t="shared" si="13"/>
        <v>-0.12800629354911217</v>
      </c>
      <c r="BI30" s="183">
        <f t="shared" si="14"/>
        <v>-0.12161844767777995</v>
      </c>
    </row>
    <row r="31" spans="1:64" ht="14.4" thickBot="1" x14ac:dyDescent="0.3">
      <c r="A31" s="981"/>
      <c r="B31" s="159" t="s">
        <v>752</v>
      </c>
      <c r="C31" s="160">
        <v>47589</v>
      </c>
      <c r="D31" s="161">
        <v>5423</v>
      </c>
      <c r="E31" s="162">
        <v>67</v>
      </c>
      <c r="F31" s="161">
        <v>12364</v>
      </c>
      <c r="G31" s="163">
        <f>SUM(C24:C31)</f>
        <v>290960</v>
      </c>
      <c r="H31" s="163">
        <f>SUM(D24:D31)</f>
        <v>44353</v>
      </c>
      <c r="I31" s="163">
        <f>SUM(E24:E31)</f>
        <v>510</v>
      </c>
      <c r="J31" s="163">
        <f>SUM(F24:F31)</f>
        <v>79888</v>
      </c>
      <c r="K31" s="1037"/>
      <c r="L31" s="180">
        <f t="shared" si="15"/>
        <v>1.3588634959851761E-2</v>
      </c>
      <c r="M31" s="181">
        <f t="shared" si="16"/>
        <v>-0.26066802999318339</v>
      </c>
      <c r="N31" s="182">
        <f t="shared" si="17"/>
        <v>-0.4017857142857143</v>
      </c>
      <c r="O31" s="183">
        <f t="shared" si="18"/>
        <v>0.12584228737934802</v>
      </c>
      <c r="P31" s="183">
        <f t="shared" si="19"/>
        <v>9.9130869408269231E-3</v>
      </c>
      <c r="Q31" s="183">
        <f t="shared" si="20"/>
        <v>-8.3823924314721868E-2</v>
      </c>
      <c r="R31" s="183">
        <f t="shared" si="21"/>
        <v>-0.30612244897959184</v>
      </c>
      <c r="S31" s="183">
        <f t="shared" si="22"/>
        <v>7.8867761452031115E-2</v>
      </c>
      <c r="AL31">
        <f t="shared" si="2"/>
        <v>2017.615384615385</v>
      </c>
      <c r="AO31">
        <f t="shared" si="4"/>
        <v>2017.7499999999984</v>
      </c>
      <c r="AP31" s="107">
        <f t="shared" si="8"/>
        <v>8.1580662361514303E-2</v>
      </c>
      <c r="AQ31" s="107">
        <f t="shared" si="8"/>
        <v>0.55373172608361121</v>
      </c>
      <c r="AW31" s="982"/>
      <c r="AX31" s="948" t="s">
        <v>862</v>
      </c>
      <c r="AY31" s="239">
        <f>AY24</f>
        <v>41379</v>
      </c>
      <c r="AZ31" s="217">
        <f>INDEX($BK$16:$BL$19,MATCH($AX31,$BK$16:$BK$19,0),2)</f>
        <v>3.5</v>
      </c>
      <c r="BA31" s="162">
        <f>AY31/2*AZ31*$BS$13/10^3</f>
        <v>226.676052059878</v>
      </c>
      <c r="BB31" s="163">
        <f>SUM(AY29:AY31)</f>
        <v>64656</v>
      </c>
      <c r="BC31" s="163">
        <f>SUM(BA29:BA31)</f>
        <v>4792.3453956006551</v>
      </c>
      <c r="BD31" s="1037"/>
      <c r="BE31" s="178">
        <f t="shared" si="9"/>
        <v>0.11720395269722987</v>
      </c>
      <c r="BF31" s="181"/>
      <c r="BG31" s="182">
        <f t="shared" si="12"/>
        <v>0.11720395269722982</v>
      </c>
      <c r="BH31" s="183">
        <f t="shared" si="13"/>
        <v>1.4498211259649783E-2</v>
      </c>
      <c r="BI31" s="183">
        <f t="shared" si="14"/>
        <v>-0.11264629007245994</v>
      </c>
    </row>
    <row r="32" spans="1:64" ht="14.4" thickBot="1" x14ac:dyDescent="0.3">
      <c r="A32" s="981"/>
      <c r="B32" s="159" t="s">
        <v>754</v>
      </c>
      <c r="C32" s="160">
        <v>40160</v>
      </c>
      <c r="D32" s="161">
        <v>5476</v>
      </c>
      <c r="E32" s="162">
        <v>72</v>
      </c>
      <c r="F32" s="161">
        <v>11969</v>
      </c>
      <c r="G32" s="163">
        <f>SUM(C24:C32)</f>
        <v>331120</v>
      </c>
      <c r="H32" s="163">
        <f>SUM(D24:D32)</f>
        <v>49829</v>
      </c>
      <c r="I32" s="163">
        <f>SUM(E24:E32)</f>
        <v>582</v>
      </c>
      <c r="J32" s="163">
        <f>SUM(F24:F32)</f>
        <v>91857</v>
      </c>
      <c r="K32" s="1037"/>
      <c r="L32" s="180">
        <f t="shared" si="15"/>
        <v>-2.7555813840863964E-2</v>
      </c>
      <c r="M32" s="181">
        <f t="shared" si="16"/>
        <v>-7.7912665337923539E-3</v>
      </c>
      <c r="N32" s="182">
        <f t="shared" si="17"/>
        <v>-0.16279069767441862</v>
      </c>
      <c r="O32" s="183">
        <f t="shared" si="18"/>
        <v>8.7893110343573902E-2</v>
      </c>
      <c r="P32" s="183">
        <f t="shared" si="19"/>
        <v>5.2155117455267427E-3</v>
      </c>
      <c r="Q32" s="183">
        <f t="shared" si="20"/>
        <v>-7.6043018727980721E-2</v>
      </c>
      <c r="R32" s="183">
        <f t="shared" si="21"/>
        <v>-0.29110840438489649</v>
      </c>
      <c r="S32" s="183">
        <f t="shared" si="22"/>
        <v>8.0035273368606705E-2</v>
      </c>
      <c r="AL32">
        <f t="shared" si="2"/>
        <v>2017.6923076923081</v>
      </c>
      <c r="AO32">
        <f t="shared" si="4"/>
        <v>2017.8333333333317</v>
      </c>
      <c r="AP32" s="107">
        <f t="shared" si="8"/>
        <v>5.0229877170109107E-2</v>
      </c>
      <c r="AQ32" s="107">
        <f t="shared" si="8"/>
        <v>0.11669128508124077</v>
      </c>
      <c r="AW32" s="172" t="s">
        <v>3</v>
      </c>
      <c r="AX32" s="188">
        <f>AW22</f>
        <v>2017</v>
      </c>
      <c r="AY32" s="174">
        <f>SUM(AY29:AY31)</f>
        <v>64656</v>
      </c>
      <c r="AZ32" s="174"/>
      <c r="BA32" s="174">
        <f>SUM(BA29:BA31)</f>
        <v>4792.3453956006551</v>
      </c>
      <c r="BB32" s="175">
        <f>BB31</f>
        <v>64656</v>
      </c>
      <c r="BC32" s="175">
        <f>BC31</f>
        <v>4792.3453956006551</v>
      </c>
      <c r="BD32" s="1038"/>
      <c r="BE32" s="189">
        <f t="shared" si="9"/>
        <v>1.4498211259649783E-2</v>
      </c>
      <c r="BF32" s="189"/>
      <c r="BG32" s="190">
        <f t="shared" si="12"/>
        <v>-0.11264629007245994</v>
      </c>
      <c r="BH32" s="191">
        <f t="shared" si="13"/>
        <v>1.4498211259649783E-2</v>
      </c>
      <c r="BI32" s="191">
        <f t="shared" si="14"/>
        <v>-0.11264629007245994</v>
      </c>
    </row>
    <row r="33" spans="1:70" ht="13.8" x14ac:dyDescent="0.25">
      <c r="A33" s="981"/>
      <c r="B33" s="159" t="s">
        <v>755</v>
      </c>
      <c r="C33" s="160">
        <v>36512</v>
      </c>
      <c r="D33" s="161">
        <v>6058</v>
      </c>
      <c r="E33" s="162">
        <v>56</v>
      </c>
      <c r="F33" s="161">
        <v>10824</v>
      </c>
      <c r="G33" s="163">
        <f>SUM(C24:C33)</f>
        <v>367632</v>
      </c>
      <c r="H33" s="163">
        <f>SUM(D24:D33)</f>
        <v>55887</v>
      </c>
      <c r="I33" s="163">
        <f>SUM(E24:E33)</f>
        <v>638</v>
      </c>
      <c r="J33" s="163">
        <f>SUM(F24:F33)</f>
        <v>102681</v>
      </c>
      <c r="K33" s="1037"/>
      <c r="L33" s="180">
        <f t="shared" si="15"/>
        <v>8.1580662361514303E-2</v>
      </c>
      <c r="M33" s="181">
        <f t="shared" si="16"/>
        <v>0.55373172608361121</v>
      </c>
      <c r="N33" s="182">
        <f t="shared" si="17"/>
        <v>-0.41666666666666669</v>
      </c>
      <c r="O33" s="183">
        <f t="shared" si="18"/>
        <v>0.13829004101377643</v>
      </c>
      <c r="P33" s="183">
        <f t="shared" si="19"/>
        <v>1.2314131512281088E-2</v>
      </c>
      <c r="Q33" s="183">
        <f t="shared" si="20"/>
        <v>-3.3581766933545455E-2</v>
      </c>
      <c r="R33" s="183">
        <f t="shared" si="21"/>
        <v>-0.30425299890948748</v>
      </c>
      <c r="S33" s="183">
        <f t="shared" si="22"/>
        <v>8.589346334034835E-2</v>
      </c>
      <c r="AL33">
        <f t="shared" si="2"/>
        <v>2017.7692307692312</v>
      </c>
      <c r="AO33">
        <f t="shared" si="4"/>
        <v>2017.9166666666649</v>
      </c>
      <c r="AP33" s="107">
        <f t="shared" si="8"/>
        <v>9.0789105307363116E-2</v>
      </c>
      <c r="AQ33" s="107">
        <f t="shared" si="8"/>
        <v>1.2992938620315047</v>
      </c>
      <c r="AW33" s="986">
        <v>2018</v>
      </c>
      <c r="AX33" s="939" t="s">
        <v>857</v>
      </c>
      <c r="AY33" s="152">
        <v>15974</v>
      </c>
      <c r="AZ33" s="153">
        <f>INDEX($BK$16:$BL$19,MATCH($AX33,$BK$16:$BK$19,0),2)</f>
        <v>130</v>
      </c>
      <c r="BA33" s="154">
        <f>AY33/2*AZ33*$BS$13/10^3</f>
        <v>3250.2340609528223</v>
      </c>
      <c r="BB33" s="155">
        <f>AY33</f>
        <v>15974</v>
      </c>
      <c r="BC33" s="155">
        <f>BA33</f>
        <v>3250.2340609528223</v>
      </c>
      <c r="BD33" s="1075" t="str">
        <f>"Milli áranna "&amp; AW22&amp;" og "&amp; AW33</f>
        <v>Milli áranna 2017 og 2018</v>
      </c>
      <c r="BE33" s="178">
        <f t="shared" si="9"/>
        <v>-2.0060119011103612E-2</v>
      </c>
      <c r="BF33" s="178"/>
      <c r="BG33" s="178">
        <f t="shared" si="12"/>
        <v>-2.0060119011103494E-2</v>
      </c>
      <c r="BH33" s="179">
        <f t="shared" si="13"/>
        <v>-2.0060119011103612E-2</v>
      </c>
      <c r="BI33" s="179">
        <f t="shared" si="14"/>
        <v>-2.0060119011103494E-2</v>
      </c>
    </row>
    <row r="34" spans="1:70" ht="13.8" x14ac:dyDescent="0.25">
      <c r="A34" s="981"/>
      <c r="B34" s="159" t="s">
        <v>756</v>
      </c>
      <c r="C34" s="160">
        <v>30610</v>
      </c>
      <c r="D34" s="161">
        <v>4536</v>
      </c>
      <c r="E34" s="162">
        <v>63</v>
      </c>
      <c r="F34" s="161">
        <v>8147</v>
      </c>
      <c r="G34" s="163">
        <f>SUM(C24:C34)</f>
        <v>398242</v>
      </c>
      <c r="H34" s="163">
        <f>SUM(D24:D34)</f>
        <v>60423</v>
      </c>
      <c r="I34" s="163">
        <f>SUM(E24:E34)</f>
        <v>701</v>
      </c>
      <c r="J34" s="163">
        <f>SUM(F24:F34)</f>
        <v>110828</v>
      </c>
      <c r="K34" s="1037"/>
      <c r="L34" s="180">
        <f t="shared" si="15"/>
        <v>5.0229877170109107E-2</v>
      </c>
      <c r="M34" s="181">
        <f t="shared" si="16"/>
        <v>0.11669128508124077</v>
      </c>
      <c r="N34" s="182">
        <f t="shared" si="17"/>
        <v>-5.9701492537313432E-2</v>
      </c>
      <c r="O34" s="183">
        <f t="shared" si="18"/>
        <v>6.4237183446571961E-3</v>
      </c>
      <c r="P34" s="183">
        <f t="shared" si="19"/>
        <v>1.5131045663334234E-2</v>
      </c>
      <c r="Q34" s="183">
        <f t="shared" si="20"/>
        <v>-2.3719119096476064E-2</v>
      </c>
      <c r="R34" s="183">
        <f t="shared" si="21"/>
        <v>-0.28760162601626016</v>
      </c>
      <c r="S34" s="183">
        <f t="shared" si="22"/>
        <v>7.9626707191146964E-2</v>
      </c>
      <c r="AL34">
        <f t="shared" si="2"/>
        <v>2017.8461538461543</v>
      </c>
      <c r="AO34">
        <f t="shared" si="4"/>
        <v>2017.9999999999982</v>
      </c>
      <c r="AP34" s="107">
        <f>L37</f>
        <v>6.0703001579778829E-2</v>
      </c>
      <c r="AQ34" s="107">
        <f t="shared" ref="AP34:AQ45" si="23">M37</f>
        <v>0.53608247422680411</v>
      </c>
      <c r="AW34" s="981"/>
      <c r="AX34" s="943" t="s">
        <v>860</v>
      </c>
      <c r="AY34" s="160">
        <v>19403</v>
      </c>
      <c r="AZ34" s="161">
        <f>INDEX($BK$16:$BL$19,MATCH($AX34,$BK$16:$BK$19,0),2)</f>
        <v>110</v>
      </c>
      <c r="BA34" s="162">
        <f>AY34/2*AZ34*$BS$13/10^3</f>
        <v>3340.559208383545</v>
      </c>
      <c r="BB34" s="163">
        <f>SUM(AY33:AY34)</f>
        <v>35377</v>
      </c>
      <c r="BC34" s="163">
        <f>SUM(BA33:BA34)</f>
        <v>6590.7932693363673</v>
      </c>
      <c r="BD34" s="1037"/>
      <c r="BE34" s="178">
        <f t="shared" si="9"/>
        <v>4.0059339525283795</v>
      </c>
      <c r="BF34" s="181"/>
      <c r="BG34" s="182">
        <f t="shared" si="12"/>
        <v>4.0059339525283795</v>
      </c>
      <c r="BH34" s="183">
        <f t="shared" si="13"/>
        <v>0.75333300292412153</v>
      </c>
      <c r="BI34" s="183">
        <f t="shared" si="14"/>
        <v>0.65427874397463759</v>
      </c>
    </row>
    <row r="35" spans="1:70" ht="14.4" thickBot="1" x14ac:dyDescent="0.3">
      <c r="A35" s="1036"/>
      <c r="B35" s="167" t="s">
        <v>758</v>
      </c>
      <c r="C35" s="168">
        <v>27273</v>
      </c>
      <c r="D35" s="169">
        <v>4233</v>
      </c>
      <c r="E35" s="170">
        <v>80</v>
      </c>
      <c r="F35" s="171">
        <v>9177</v>
      </c>
      <c r="G35" s="163">
        <f>SUM(C24:C35)</f>
        <v>425515</v>
      </c>
      <c r="H35" s="163">
        <f>SUM(D24:D35)</f>
        <v>64656</v>
      </c>
      <c r="I35" s="163">
        <f>SUM(E24:E35)</f>
        <v>781</v>
      </c>
      <c r="J35" s="163">
        <f>SUM(F24:F35)</f>
        <v>120005</v>
      </c>
      <c r="K35" s="1037"/>
      <c r="L35" s="184">
        <f t="shared" si="15"/>
        <v>9.0789105307363116E-2</v>
      </c>
      <c r="M35" s="185">
        <f t="shared" si="16"/>
        <v>1.2992938620315047</v>
      </c>
      <c r="N35" s="186">
        <f t="shared" si="17"/>
        <v>3.896103896103896E-2</v>
      </c>
      <c r="O35" s="187">
        <f t="shared" si="18"/>
        <v>1.0794140323824209E-2</v>
      </c>
      <c r="P35" s="187">
        <f t="shared" si="19"/>
        <v>1.9664085845260946E-2</v>
      </c>
      <c r="Q35" s="187">
        <f t="shared" si="20"/>
        <v>1.4498211259649783E-2</v>
      </c>
      <c r="R35" s="187">
        <f t="shared" si="21"/>
        <v>-0.26390197926484449</v>
      </c>
      <c r="S35" s="187">
        <f t="shared" si="22"/>
        <v>7.4033633751890662E-2</v>
      </c>
      <c r="AL35">
        <f t="shared" si="2"/>
        <v>2017.9230769230774</v>
      </c>
      <c r="AO35">
        <f t="shared" si="4"/>
        <v>2018.0833333333314</v>
      </c>
      <c r="AP35" s="107">
        <f t="shared" si="23"/>
        <v>-8.9979257563836637E-2</v>
      </c>
      <c r="AQ35" s="107">
        <f t="shared" si="23"/>
        <v>-0.45714991355890344</v>
      </c>
      <c r="AW35" s="981"/>
      <c r="AX35" s="943" t="s">
        <v>862</v>
      </c>
      <c r="AY35" s="160">
        <v>25632</v>
      </c>
      <c r="AZ35" s="217">
        <f>INDEX($BK$16:$BL$19,MATCH($AX35,$BK$16:$BK$19,0),2)</f>
        <v>3.5</v>
      </c>
      <c r="BA35" s="162">
        <f>AY35/2*AZ35*$BS$13/10^3</f>
        <v>140.41326678747174</v>
      </c>
      <c r="BB35" s="163">
        <f>SUM(AY33:AY35)</f>
        <v>61009</v>
      </c>
      <c r="BC35" s="163">
        <f>SUM(BA33:BA35)</f>
        <v>6731.2065361238392</v>
      </c>
      <c r="BD35" s="1037"/>
      <c r="BE35" s="178">
        <f t="shared" si="9"/>
        <v>-0.38055535416515623</v>
      </c>
      <c r="BF35" s="181"/>
      <c r="BG35" s="182">
        <f t="shared" si="12"/>
        <v>-0.38055535416515623</v>
      </c>
      <c r="BH35" s="183">
        <f t="shared" si="13"/>
        <v>-8.8862174280330102E-3</v>
      </c>
      <c r="BI35" s="183">
        <f t="shared" si="14"/>
        <v>0.59857102314913535</v>
      </c>
    </row>
    <row r="36" spans="1:70" ht="14.4" thickBot="1" x14ac:dyDescent="0.3">
      <c r="A36" s="172" t="s">
        <v>3</v>
      </c>
      <c r="B36" s="188">
        <v>2017</v>
      </c>
      <c r="C36" s="174">
        <f>SUM(C24:C35)</f>
        <v>425515</v>
      </c>
      <c r="D36" s="174">
        <f>SUM(D24:D35)</f>
        <v>64656</v>
      </c>
      <c r="E36" s="174">
        <f>SUM(E24:E35)</f>
        <v>781</v>
      </c>
      <c r="F36" s="174">
        <f>SUM(F24:F35)</f>
        <v>120005</v>
      </c>
      <c r="G36" s="175">
        <f>G28</f>
        <v>156017</v>
      </c>
      <c r="H36" s="175">
        <f>H28</f>
        <v>24184</v>
      </c>
      <c r="I36" s="175">
        <f>I28</f>
        <v>309</v>
      </c>
      <c r="J36" s="175">
        <f>J28</f>
        <v>43136</v>
      </c>
      <c r="K36" s="1038"/>
      <c r="L36" s="189">
        <f t="shared" si="15"/>
        <v>1.9664085845260946E-2</v>
      </c>
      <c r="M36" s="189">
        <f t="shared" si="16"/>
        <v>1.4498211259649783E-2</v>
      </c>
      <c r="N36" s="190">
        <f t="shared" si="17"/>
        <v>-0.26390197926484449</v>
      </c>
      <c r="O36" s="191">
        <f t="shared" si="18"/>
        <v>7.4033633751890662E-2</v>
      </c>
      <c r="P36" s="191">
        <f t="shared" si="19"/>
        <v>1.2610823370588159E-2</v>
      </c>
      <c r="Q36" s="191">
        <f t="shared" si="20"/>
        <v>-0.13896108519955852</v>
      </c>
      <c r="R36" s="191">
        <f t="shared" si="21"/>
        <v>-0.28472222222222221</v>
      </c>
      <c r="S36" s="191">
        <f t="shared" si="22"/>
        <v>3.7796222783591966E-2</v>
      </c>
      <c r="AL36">
        <f t="shared" si="2"/>
        <v>2018.0000000000005</v>
      </c>
      <c r="AO36">
        <f t="shared" si="4"/>
        <v>2018.1666666666647</v>
      </c>
      <c r="AP36" s="107">
        <f t="shared" si="23"/>
        <v>-0.21806279755157559</v>
      </c>
      <c r="AQ36" s="107">
        <f t="shared" si="23"/>
        <v>-0.46619935844124988</v>
      </c>
      <c r="AW36" s="981"/>
      <c r="AX36" s="943" t="s">
        <v>864</v>
      </c>
      <c r="AY36" s="160">
        <f>SUM(AY33:AY35)</f>
        <v>61009</v>
      </c>
      <c r="AZ36" s="161"/>
      <c r="BA36" s="162">
        <f>SUM(BA33:BA35)</f>
        <v>6731.2065361238392</v>
      </c>
      <c r="BB36" s="163">
        <f>SUM(AY33:AY35)</f>
        <v>61009</v>
      </c>
      <c r="BC36" s="163">
        <f>SUM(BA33:BA35)</f>
        <v>6731.2065361238392</v>
      </c>
      <c r="BD36" s="1037"/>
      <c r="BE36" s="178">
        <f t="shared" si="9"/>
        <v>-8.8862174280330102E-3</v>
      </c>
      <c r="BF36" s="181"/>
      <c r="BG36" s="182">
        <f t="shared" si="12"/>
        <v>0.59857102314913535</v>
      </c>
      <c r="BH36" s="183">
        <f t="shared" si="13"/>
        <v>-8.8862174280330102E-3</v>
      </c>
      <c r="BI36" s="183">
        <f t="shared" si="14"/>
        <v>0.59857102314913535</v>
      </c>
    </row>
    <row r="37" spans="1:70" ht="14.25" customHeight="1" x14ac:dyDescent="0.25">
      <c r="A37" s="981">
        <v>2018</v>
      </c>
      <c r="B37" s="151" t="s">
        <v>710</v>
      </c>
      <c r="C37" s="152">
        <v>26857</v>
      </c>
      <c r="D37" s="153">
        <v>4470</v>
      </c>
      <c r="E37" s="154">
        <v>64</v>
      </c>
      <c r="F37" s="153">
        <v>10185</v>
      </c>
      <c r="G37" s="155">
        <f>C37</f>
        <v>26857</v>
      </c>
      <c r="H37" s="155">
        <f>D37</f>
        <v>4470</v>
      </c>
      <c r="I37" s="155">
        <f>E37</f>
        <v>64</v>
      </c>
      <c r="J37" s="155">
        <f>F37</f>
        <v>10185</v>
      </c>
      <c r="K37" s="983" t="s">
        <v>828</v>
      </c>
      <c r="L37" s="178">
        <f t="shared" si="15"/>
        <v>6.0703001579778829E-2</v>
      </c>
      <c r="M37" s="178">
        <f t="shared" si="16"/>
        <v>0.53608247422680411</v>
      </c>
      <c r="N37" s="178">
        <f t="shared" si="17"/>
        <v>0.25490196078431371</v>
      </c>
      <c r="O37" s="179">
        <f t="shared" si="18"/>
        <v>0.23754556500607532</v>
      </c>
      <c r="P37" s="179">
        <f t="shared" si="19"/>
        <v>6.0703001579778829E-2</v>
      </c>
      <c r="Q37" s="179">
        <f t="shared" si="20"/>
        <v>0.53608247422680411</v>
      </c>
      <c r="R37" s="179">
        <f t="shared" si="21"/>
        <v>0.25490196078431371</v>
      </c>
      <c r="S37" s="179">
        <f t="shared" si="22"/>
        <v>0.23754556500607532</v>
      </c>
      <c r="AL37">
        <f t="shared" si="2"/>
        <v>2018.0769230769235</v>
      </c>
      <c r="AO37">
        <f t="shared" si="4"/>
        <v>2018.249999999998</v>
      </c>
      <c r="AP37" s="107">
        <f t="shared" si="23"/>
        <v>-1.8122661460875225E-2</v>
      </c>
      <c r="AQ37" s="107">
        <f t="shared" si="23"/>
        <v>0.55207166853303469</v>
      </c>
      <c r="AW37" s="981"/>
      <c r="AX37" s="943" t="s">
        <v>857</v>
      </c>
      <c r="AY37" s="160">
        <v>1486</v>
      </c>
      <c r="AZ37" s="161">
        <f>INDEX($BK$16:$BL$19,MATCH($AX37,$BK$16:$BK$19,0),2)</f>
        <v>130</v>
      </c>
      <c r="BA37" s="162">
        <f>AY37/2*AZ37*$BS$13/10^3</f>
        <v>302.35681824063442</v>
      </c>
      <c r="BB37" s="163">
        <f>SUM(AY37)</f>
        <v>1486</v>
      </c>
      <c r="BC37" s="163">
        <f>SUM(BA37)</f>
        <v>302.35681824063442</v>
      </c>
      <c r="BD37" s="1037"/>
      <c r="BE37" s="178">
        <f t="shared" si="9"/>
        <v>-2.8122956180510136E-2</v>
      </c>
      <c r="BF37" s="181"/>
      <c r="BG37" s="182">
        <f t="shared" si="12"/>
        <v>-2.8122956180509896E-2</v>
      </c>
      <c r="BH37" s="183">
        <f t="shared" si="13"/>
        <v>-2.8122956180510136E-2</v>
      </c>
      <c r="BI37" s="183">
        <f t="shared" si="14"/>
        <v>-2.8122956180509896E-2</v>
      </c>
    </row>
    <row r="38" spans="1:70" ht="13.8" x14ac:dyDescent="0.25">
      <c r="A38" s="981"/>
      <c r="B38" s="159" t="s">
        <v>715</v>
      </c>
      <c r="C38" s="160">
        <v>25446</v>
      </c>
      <c r="D38" s="161">
        <v>2198</v>
      </c>
      <c r="E38" s="162">
        <v>61</v>
      </c>
      <c r="F38" s="161">
        <v>8026</v>
      </c>
      <c r="G38" s="163">
        <f>SUM(C37:C38)</f>
        <v>52303</v>
      </c>
      <c r="H38" s="163">
        <f>SUM(D37:D38)</f>
        <v>6668</v>
      </c>
      <c r="I38" s="163">
        <f>SUM(E37:E38)</f>
        <v>125</v>
      </c>
      <c r="J38" s="163">
        <f>SUM(F37:F38)</f>
        <v>18211</v>
      </c>
      <c r="K38" s="984"/>
      <c r="L38" s="180">
        <f t="shared" si="15"/>
        <v>-8.9979257563836637E-2</v>
      </c>
      <c r="M38" s="181">
        <f t="shared" si="16"/>
        <v>-0.45714991355890344</v>
      </c>
      <c r="N38" s="182">
        <f t="shared" si="17"/>
        <v>7.0175438596491224E-2</v>
      </c>
      <c r="O38" s="183">
        <f t="shared" si="18"/>
        <v>7.0990125433680273E-2</v>
      </c>
      <c r="P38" s="183">
        <f t="shared" si="19"/>
        <v>-1.8373934912353139E-2</v>
      </c>
      <c r="Q38" s="183">
        <f t="shared" si="20"/>
        <v>-4.181635292427073E-2</v>
      </c>
      <c r="R38" s="183">
        <f t="shared" si="21"/>
        <v>0.15740740740740741</v>
      </c>
      <c r="S38" s="183">
        <f t="shared" si="22"/>
        <v>0.15816586110404476</v>
      </c>
      <c r="AL38">
        <f t="shared" si="2"/>
        <v>2018.1538461538466</v>
      </c>
      <c r="AO38">
        <f t="shared" si="4"/>
        <v>2018.3333333333312</v>
      </c>
      <c r="AP38" s="107">
        <f t="shared" si="23"/>
        <v>-6.3793854870342129E-2</v>
      </c>
      <c r="AQ38" s="107">
        <f t="shared" si="23"/>
        <v>-2.1199388846447668E-2</v>
      </c>
      <c r="AW38" s="981"/>
      <c r="AX38" s="943" t="s">
        <v>860</v>
      </c>
      <c r="AY38" s="160">
        <v>1695</v>
      </c>
      <c r="AZ38" s="161">
        <f>INDEX($BK$16:$BL$19,MATCH($AX38,$BK$16:$BK$19,0),2)</f>
        <v>110</v>
      </c>
      <c r="BA38" s="162">
        <f>AY38/2*AZ38*$BS$13/10^3</f>
        <v>291.82331898212175</v>
      </c>
      <c r="BB38" s="163">
        <f>SUM(AY37:AY38)</f>
        <v>3181</v>
      </c>
      <c r="BC38" s="163">
        <f>SUM(BA37:BA38)</f>
        <v>594.18013722275623</v>
      </c>
      <c r="BD38" s="1037"/>
      <c r="BE38" s="178">
        <f t="shared" si="9"/>
        <v>7.8930617441120302E-2</v>
      </c>
      <c r="BF38" s="181"/>
      <c r="BG38" s="182">
        <f t="shared" si="12"/>
        <v>7.8930617441120149E-2</v>
      </c>
      <c r="BH38" s="183">
        <f t="shared" si="13"/>
        <v>2.6129032258064518E-2</v>
      </c>
      <c r="BI38" s="183">
        <f t="shared" si="14"/>
        <v>2.1664244577210889E-2</v>
      </c>
    </row>
    <row r="39" spans="1:70" ht="13.8" x14ac:dyDescent="0.25">
      <c r="A39" s="981"/>
      <c r="B39" s="159" t="s">
        <v>718</v>
      </c>
      <c r="C39" s="160">
        <v>27593</v>
      </c>
      <c r="D39" s="161">
        <v>4493</v>
      </c>
      <c r="E39" s="162">
        <v>60</v>
      </c>
      <c r="F39" s="161">
        <v>9262</v>
      </c>
      <c r="G39" s="163">
        <f>SUM(C37:C39)</f>
        <v>79896</v>
      </c>
      <c r="H39" s="163">
        <f>SUM(D37:D39)</f>
        <v>11161</v>
      </c>
      <c r="I39" s="163">
        <f>SUM(E37:E39)</f>
        <v>185</v>
      </c>
      <c r="J39" s="163">
        <f>SUM(F37:F39)</f>
        <v>27473</v>
      </c>
      <c r="K39" s="984"/>
      <c r="L39" s="180">
        <f t="shared" si="15"/>
        <v>-0.21806279755157559</v>
      </c>
      <c r="M39" s="181">
        <f t="shared" si="16"/>
        <v>-0.46619935844124988</v>
      </c>
      <c r="N39" s="182">
        <f t="shared" si="17"/>
        <v>-0.14285714285714285</v>
      </c>
      <c r="O39" s="183">
        <f t="shared" si="18"/>
        <v>4.1142086330935253E-2</v>
      </c>
      <c r="P39" s="183">
        <f t="shared" si="19"/>
        <v>-9.7933837642542626E-2</v>
      </c>
      <c r="Q39" s="183">
        <f t="shared" si="20"/>
        <v>-0.27412851196670135</v>
      </c>
      <c r="R39" s="183">
        <f t="shared" si="21"/>
        <v>3.9325842696629212E-2</v>
      </c>
      <c r="S39" s="183">
        <f t="shared" si="22"/>
        <v>0.11588139723801787</v>
      </c>
      <c r="AL39">
        <f t="shared" si="2"/>
        <v>2018.2307692307697</v>
      </c>
      <c r="AO39">
        <f t="shared" si="4"/>
        <v>2018.4166666666645</v>
      </c>
      <c r="AP39" s="107">
        <f t="shared" si="23"/>
        <v>-7.8042581758895183E-2</v>
      </c>
      <c r="AQ39" s="107">
        <f t="shared" si="23"/>
        <v>-0.2303335431088735</v>
      </c>
      <c r="AW39" s="981"/>
      <c r="AX39" s="943" t="s">
        <v>868</v>
      </c>
      <c r="AY39" s="160">
        <f>AY38+AY37</f>
        <v>3181</v>
      </c>
      <c r="AZ39" s="161"/>
      <c r="BA39" s="162">
        <f>SUM(BA37:BA38)</f>
        <v>594.18013722275623</v>
      </c>
      <c r="BB39" s="163">
        <f>SUM(AY39)</f>
        <v>3181</v>
      </c>
      <c r="BC39" s="163">
        <f>SUM(BA39)</f>
        <v>594.18013722275623</v>
      </c>
      <c r="BD39" s="1037"/>
      <c r="BE39" s="178">
        <f t="shared" si="9"/>
        <v>2.6129032258064518E-2</v>
      </c>
      <c r="BF39" s="181"/>
      <c r="BG39" s="182">
        <f t="shared" si="12"/>
        <v>2.1664244577210889E-2</v>
      </c>
      <c r="BH39" s="183">
        <f t="shared" si="13"/>
        <v>2.6129032258064518E-2</v>
      </c>
      <c r="BI39" s="183">
        <f t="shared" si="14"/>
        <v>2.1664244577210889E-2</v>
      </c>
    </row>
    <row r="40" spans="1:70" ht="13.8" x14ac:dyDescent="0.25">
      <c r="A40" s="981"/>
      <c r="B40" s="159" t="s">
        <v>725</v>
      </c>
      <c r="C40" s="160">
        <v>30178</v>
      </c>
      <c r="D40" s="161">
        <v>5544</v>
      </c>
      <c r="E40" s="162">
        <v>55.7</v>
      </c>
      <c r="F40" s="161">
        <v>9359</v>
      </c>
      <c r="G40" s="163">
        <f>SUM(C37:C40)</f>
        <v>110074</v>
      </c>
      <c r="H40" s="163">
        <f>SUM(D37:D40)</f>
        <v>16705</v>
      </c>
      <c r="I40" s="163">
        <f>SUM(E37:E40)</f>
        <v>240.7</v>
      </c>
      <c r="J40" s="163">
        <f>SUM(F37:F40)</f>
        <v>36832</v>
      </c>
      <c r="K40" s="984"/>
      <c r="L40" s="180">
        <f t="shared" si="15"/>
        <v>-1.8122661460875225E-2</v>
      </c>
      <c r="M40" s="181">
        <f t="shared" si="16"/>
        <v>0.55207166853303469</v>
      </c>
      <c r="N40" s="182">
        <f t="shared" si="17"/>
        <v>-0.12968749999999996</v>
      </c>
      <c r="O40" s="183">
        <f t="shared" si="18"/>
        <v>6.4490445859872611E-2</v>
      </c>
      <c r="P40" s="183">
        <f t="shared" si="19"/>
        <v>-7.7373119316038727E-2</v>
      </c>
      <c r="Q40" s="183">
        <f t="shared" si="20"/>
        <v>-0.1183766096685666</v>
      </c>
      <c r="R40" s="183">
        <f t="shared" si="21"/>
        <v>-5.3719008264463278E-3</v>
      </c>
      <c r="S40" s="183">
        <f t="shared" si="22"/>
        <v>0.10235843409553454</v>
      </c>
      <c r="AL40">
        <f t="shared" si="2"/>
        <v>2018.3076923076928</v>
      </c>
      <c r="AO40">
        <f t="shared" si="4"/>
        <v>2018.4999999999977</v>
      </c>
      <c r="AP40" s="107">
        <f t="shared" si="23"/>
        <v>-4.927047276869824E-2</v>
      </c>
      <c r="AQ40" s="107">
        <f t="shared" si="23"/>
        <v>2.6466696074106751E-3</v>
      </c>
      <c r="AW40" s="981"/>
      <c r="AX40" s="948" t="s">
        <v>857</v>
      </c>
      <c r="AY40" s="239">
        <f>AY33+AY37</f>
        <v>17460</v>
      </c>
      <c r="AZ40" s="161">
        <f>INDEX($BK$16:$BL$19,MATCH($AX40,$BK$16:$BK$19,0),2)</f>
        <v>130</v>
      </c>
      <c r="BA40" s="162">
        <f>AY40/2*AZ40*$BS$13/10^3</f>
        <v>3552.5908791934562</v>
      </c>
      <c r="BB40" s="163">
        <f>SUM(AY40)</f>
        <v>17460</v>
      </c>
      <c r="BC40" s="163">
        <f>SUM(BA40)</f>
        <v>3552.5908791934562</v>
      </c>
      <c r="BD40" s="1037"/>
      <c r="BE40" s="178">
        <f t="shared" si="9"/>
        <v>-2.0751542344363431E-2</v>
      </c>
      <c r="BF40" s="181"/>
      <c r="BG40" s="182">
        <f t="shared" si="12"/>
        <v>-2.0751542344363522E-2</v>
      </c>
      <c r="BH40" s="183">
        <f t="shared" si="13"/>
        <v>-2.0751542344363431E-2</v>
      </c>
      <c r="BI40" s="183">
        <f t="shared" si="14"/>
        <v>-2.0751542344363522E-2</v>
      </c>
    </row>
    <row r="41" spans="1:70" ht="13.8" x14ac:dyDescent="0.25">
      <c r="A41" s="981"/>
      <c r="B41" s="159" t="s">
        <v>730</v>
      </c>
      <c r="C41" s="160">
        <v>34370</v>
      </c>
      <c r="D41" s="161">
        <v>5125</v>
      </c>
      <c r="E41" s="162">
        <v>64.7</v>
      </c>
      <c r="F41" s="161">
        <v>11752</v>
      </c>
      <c r="G41" s="163">
        <f>SUM(C37:C41)</f>
        <v>144444</v>
      </c>
      <c r="H41" s="163">
        <f>SUM(D37:D41)</f>
        <v>21830</v>
      </c>
      <c r="I41" s="163">
        <f>SUM(E37:E41)</f>
        <v>305.39999999999998</v>
      </c>
      <c r="J41" s="163">
        <f>SUM(F37:F41)</f>
        <v>48584</v>
      </c>
      <c r="K41" s="984"/>
      <c r="L41" s="180">
        <f t="shared" si="15"/>
        <v>-6.3793854870342129E-2</v>
      </c>
      <c r="M41" s="181">
        <f t="shared" si="16"/>
        <v>-2.1199388846447668E-2</v>
      </c>
      <c r="N41" s="182">
        <f t="shared" si="17"/>
        <v>-3.4328358208955183E-2</v>
      </c>
      <c r="O41" s="183">
        <f t="shared" si="18"/>
        <v>0.20855614973262032</v>
      </c>
      <c r="P41" s="183">
        <f t="shared" si="19"/>
        <v>-7.4177813956171443E-2</v>
      </c>
      <c r="Q41" s="183">
        <f t="shared" si="20"/>
        <v>-9.7337082368508104E-2</v>
      </c>
      <c r="R41" s="183">
        <f t="shared" si="21"/>
        <v>-1.1650485436893277E-2</v>
      </c>
      <c r="S41" s="183">
        <f t="shared" si="22"/>
        <v>0.12629821958456974</v>
      </c>
      <c r="AL41">
        <f t="shared" si="2"/>
        <v>2018.3846153846159</v>
      </c>
      <c r="AO41">
        <f t="shared" si="4"/>
        <v>2018.583333333331</v>
      </c>
      <c r="AP41" s="107">
        <f t="shared" si="23"/>
        <v>-3.6899283447855598E-2</v>
      </c>
      <c r="AQ41" s="107">
        <f t="shared" si="23"/>
        <v>0.25705329153605017</v>
      </c>
      <c r="AW41" s="981"/>
      <c r="AX41" s="948" t="s">
        <v>860</v>
      </c>
      <c r="AY41" s="239">
        <f>AY34+AY38</f>
        <v>21098</v>
      </c>
      <c r="AZ41" s="161">
        <f>INDEX($BK$16:$BL$19,MATCH($AX41,$BK$16:$BK$19,0),2)</f>
        <v>110</v>
      </c>
      <c r="BA41" s="162">
        <f>AY41/2*AZ41*$BS$13/10^3</f>
        <v>3632.3825273656662</v>
      </c>
      <c r="BB41" s="163">
        <f>SUM(AY40:AY41)</f>
        <v>38558</v>
      </c>
      <c r="BC41" s="163">
        <f>SUM(BA40:BA41)</f>
        <v>7184.9734065591219</v>
      </c>
      <c r="BD41" s="1037"/>
      <c r="BE41" s="178">
        <f t="shared" si="9"/>
        <v>2.8733247659261978</v>
      </c>
      <c r="BF41" s="181"/>
      <c r="BG41" s="182">
        <f>(BA41-BA30)/BA30</f>
        <v>2.8733247659261973</v>
      </c>
      <c r="BH41" s="183">
        <f t="shared" si="13"/>
        <v>0.65648494221763976</v>
      </c>
      <c r="BI41" s="183">
        <f t="shared" si="14"/>
        <v>0.57369552324764217</v>
      </c>
    </row>
    <row r="42" spans="1:70" ht="14.4" thickBot="1" x14ac:dyDescent="0.3">
      <c r="A42" s="981"/>
      <c r="B42" s="159" t="s">
        <v>735</v>
      </c>
      <c r="C42" s="160">
        <v>38453</v>
      </c>
      <c r="D42" s="161">
        <v>6115</v>
      </c>
      <c r="E42" s="162">
        <v>68.5</v>
      </c>
      <c r="F42" s="161">
        <v>11466</v>
      </c>
      <c r="G42" s="163">
        <f>SUM(C37:C42)</f>
        <v>182897</v>
      </c>
      <c r="H42" s="163">
        <f>SUM(D37:D42)</f>
        <v>27945</v>
      </c>
      <c r="I42" s="163">
        <f>SUM(E37:E42)</f>
        <v>373.9</v>
      </c>
      <c r="J42" s="163">
        <f>SUM(F37:F42)</f>
        <v>60050</v>
      </c>
      <c r="K42" s="984"/>
      <c r="L42" s="180">
        <f t="shared" si="15"/>
        <v>-7.8042581758895183E-2</v>
      </c>
      <c r="M42" s="181">
        <f t="shared" si="16"/>
        <v>-0.2303335431088735</v>
      </c>
      <c r="N42" s="182">
        <f t="shared" si="17"/>
        <v>2.2388059701492536E-2</v>
      </c>
      <c r="O42" s="183">
        <f t="shared" si="18"/>
        <v>-4.2505219206680586E-2</v>
      </c>
      <c r="P42" s="183">
        <f t="shared" si="19"/>
        <v>-7.499304589707928E-2</v>
      </c>
      <c r="Q42" s="183">
        <f t="shared" si="20"/>
        <v>-0.130225030346416</v>
      </c>
      <c r="R42" s="183">
        <f t="shared" si="21"/>
        <v>-5.5851063829787835E-3</v>
      </c>
      <c r="S42" s="183">
        <f t="shared" si="22"/>
        <v>8.9619132296637691E-2</v>
      </c>
      <c r="AL42">
        <f t="shared" si="2"/>
        <v>2018.461538461539</v>
      </c>
      <c r="AO42">
        <f t="shared" si="4"/>
        <v>2018.6666666666642</v>
      </c>
      <c r="AP42" s="107">
        <f t="shared" si="23"/>
        <v>-8.2470119521912355E-2</v>
      </c>
      <c r="AQ42" s="107">
        <f t="shared" si="23"/>
        <v>6.2089116143170198E-2</v>
      </c>
      <c r="AW42" s="982"/>
      <c r="AX42" s="948" t="s">
        <v>862</v>
      </c>
      <c r="AY42" s="239">
        <f>AY35</f>
        <v>25632</v>
      </c>
      <c r="AZ42" s="217">
        <f>INDEX($BK$16:$BL$19,MATCH($AX42,$BK$16:$BK$19,0),2)</f>
        <v>3.5</v>
      </c>
      <c r="BA42" s="162">
        <f>AY42/2*AZ42*$BS$13/10^3</f>
        <v>140.41326678747174</v>
      </c>
      <c r="BB42" s="163">
        <f>SUM(AY40:AY42)</f>
        <v>64190</v>
      </c>
      <c r="BC42" s="163">
        <f>SUM(BA40:BA42)</f>
        <v>7325.3866733465939</v>
      </c>
      <c r="BD42" s="1037"/>
      <c r="BE42" s="178">
        <f t="shared" si="9"/>
        <v>-0.38055535416515623</v>
      </c>
      <c r="BF42" s="181"/>
      <c r="BG42" s="182">
        <f t="shared" si="12"/>
        <v>-0.38055535416515623</v>
      </c>
      <c r="BH42" s="183">
        <f t="shared" si="13"/>
        <v>-7.2073744122741895E-3</v>
      </c>
      <c r="BI42" s="183">
        <f t="shared" si="14"/>
        <v>0.52855983211712076</v>
      </c>
    </row>
    <row r="43" spans="1:70" ht="14.4" thickBot="1" x14ac:dyDescent="0.3">
      <c r="A43" s="981"/>
      <c r="B43" s="159" t="s">
        <v>740</v>
      </c>
      <c r="C43" s="160">
        <v>43397</v>
      </c>
      <c r="D43" s="161">
        <v>6819</v>
      </c>
      <c r="E43" s="162">
        <v>68.8</v>
      </c>
      <c r="F43" s="161">
        <v>12533</v>
      </c>
      <c r="G43" s="163">
        <f>SUM(C37:C43)</f>
        <v>226294</v>
      </c>
      <c r="H43" s="163">
        <f>SUM(D37:D43)</f>
        <v>34764</v>
      </c>
      <c r="I43" s="163">
        <f>SUM(E37:E43)</f>
        <v>442.7</v>
      </c>
      <c r="J43" s="163">
        <f>SUM(F37:F43)</f>
        <v>72583</v>
      </c>
      <c r="K43" s="984"/>
      <c r="L43" s="180">
        <f t="shared" si="15"/>
        <v>-4.927047276869824E-2</v>
      </c>
      <c r="M43" s="181">
        <f t="shared" si="16"/>
        <v>2.6466696074106751E-3</v>
      </c>
      <c r="N43" s="182">
        <f t="shared" si="17"/>
        <v>2.6865671641791003E-2</v>
      </c>
      <c r="O43" s="183">
        <f t="shared" si="18"/>
        <v>9.6672842987190841E-3</v>
      </c>
      <c r="P43" s="183">
        <f t="shared" si="19"/>
        <v>-7.0168590341495085E-2</v>
      </c>
      <c r="Q43" s="183">
        <f t="shared" si="20"/>
        <v>-0.10701258669406627</v>
      </c>
      <c r="R43" s="183">
        <f t="shared" si="21"/>
        <v>-6.7720090293456293E-4</v>
      </c>
      <c r="S43" s="183">
        <f t="shared" si="22"/>
        <v>7.4921509389254196E-2</v>
      </c>
      <c r="AL43">
        <f t="shared" ref="AL43:AL75" si="24">AL42+$AL$2</f>
        <v>2018.5384615384621</v>
      </c>
      <c r="AO43">
        <f t="shared" si="4"/>
        <v>2018.7499999999975</v>
      </c>
      <c r="AP43" s="107">
        <f t="shared" si="23"/>
        <v>-4.4944127957931637E-2</v>
      </c>
      <c r="AQ43" s="107">
        <f t="shared" si="23"/>
        <v>-0.1236381644106966</v>
      </c>
      <c r="AW43" s="172" t="s">
        <v>3</v>
      </c>
      <c r="AX43" s="188">
        <f>AW33</f>
        <v>2018</v>
      </c>
      <c r="AY43" s="174">
        <f>SUM(AY40:AY42)</f>
        <v>64190</v>
      </c>
      <c r="AZ43" s="174"/>
      <c r="BA43" s="174">
        <f>SUM(BA40:BA42)</f>
        <v>7325.3866733465939</v>
      </c>
      <c r="BB43" s="175">
        <f>BB42</f>
        <v>64190</v>
      </c>
      <c r="BC43" s="175">
        <f>BC42</f>
        <v>7325.3866733465939</v>
      </c>
      <c r="BD43" s="1038"/>
      <c r="BE43" s="189">
        <f t="shared" si="9"/>
        <v>-7.2073744122741895E-3</v>
      </c>
      <c r="BF43" s="189"/>
      <c r="BG43" s="190">
        <f t="shared" si="12"/>
        <v>0.52855983211712076</v>
      </c>
      <c r="BH43" s="191">
        <f t="shared" si="13"/>
        <v>-7.2073744122741895E-3</v>
      </c>
      <c r="BI43" s="191">
        <f t="shared" si="14"/>
        <v>0.52855983211712076</v>
      </c>
    </row>
    <row r="44" spans="1:70" ht="13.8" x14ac:dyDescent="0.25">
      <c r="A44" s="981"/>
      <c r="B44" s="159" t="s">
        <v>752</v>
      </c>
      <c r="C44" s="160">
        <v>45833</v>
      </c>
      <c r="D44" s="161">
        <v>6817</v>
      </c>
      <c r="E44" s="162">
        <v>79.5</v>
      </c>
      <c r="F44" s="161">
        <v>11880</v>
      </c>
      <c r="G44" s="163">
        <f>SUM(C37:C44)</f>
        <v>272127</v>
      </c>
      <c r="H44" s="163">
        <f>SUM(D37:D44)</f>
        <v>41581</v>
      </c>
      <c r="I44" s="163">
        <f>SUM(E37:E44)</f>
        <v>522.20000000000005</v>
      </c>
      <c r="J44" s="163">
        <f>SUM(F37:F44)</f>
        <v>84463</v>
      </c>
      <c r="K44" s="984"/>
      <c r="L44" s="180">
        <f t="shared" si="15"/>
        <v>-3.6899283447855598E-2</v>
      </c>
      <c r="M44" s="181">
        <f t="shared" si="16"/>
        <v>0.25705329153605017</v>
      </c>
      <c r="N44" s="182">
        <f t="shared" si="17"/>
        <v>0.18656716417910449</v>
      </c>
      <c r="O44" s="183">
        <f t="shared" si="18"/>
        <v>-3.9145907473309607E-2</v>
      </c>
      <c r="P44" s="183">
        <f t="shared" si="19"/>
        <v>-6.4727110255705253E-2</v>
      </c>
      <c r="Q44" s="183">
        <f t="shared" si="20"/>
        <v>-6.2498590850675266E-2</v>
      </c>
      <c r="R44" s="183">
        <f t="shared" si="21"/>
        <v>2.3921568627451071E-2</v>
      </c>
      <c r="S44" s="183">
        <f t="shared" si="22"/>
        <v>5.7267674744642498E-2</v>
      </c>
      <c r="AL44">
        <f t="shared" si="24"/>
        <v>2018.6153846153852</v>
      </c>
      <c r="AO44">
        <f t="shared" si="4"/>
        <v>2018.8333333333308</v>
      </c>
      <c r="AP44" s="107">
        <f t="shared" si="23"/>
        <v>-0.12113688337144723</v>
      </c>
      <c r="AQ44" s="107">
        <f t="shared" si="23"/>
        <v>0.1917989417989418</v>
      </c>
      <c r="AW44" s="986">
        <v>2019</v>
      </c>
      <c r="AX44" s="939" t="s">
        <v>857</v>
      </c>
      <c r="AY44" s="152">
        <v>14893</v>
      </c>
      <c r="AZ44" s="153">
        <f>INDEX($BK$16:$BL$19,MATCH($AX44,$BK$16:$BK$19,0),2)</f>
        <v>130</v>
      </c>
      <c r="BA44" s="154">
        <f>AY44/2*AZ44*$BS$13/10^3</f>
        <v>3030.2827012501803</v>
      </c>
      <c r="BB44" s="155">
        <f>AY44</f>
        <v>14893</v>
      </c>
      <c r="BC44" s="155">
        <f>BA44</f>
        <v>3030.2827012501803</v>
      </c>
      <c r="BD44" s="1075" t="str">
        <f>"Milli áranna "&amp; AW33&amp;" og "&amp; AW44</f>
        <v>Milli áranna 2018 og 2019</v>
      </c>
      <c r="BE44" s="178">
        <f t="shared" si="9"/>
        <v>-6.7672467760110183E-2</v>
      </c>
      <c r="BF44" s="178"/>
      <c r="BG44" s="178">
        <f t="shared" si="12"/>
        <v>-6.7672467760110253E-2</v>
      </c>
      <c r="BH44" s="179">
        <f t="shared" si="13"/>
        <v>-6.7672467760110183E-2</v>
      </c>
      <c r="BI44" s="179">
        <f t="shared" si="14"/>
        <v>-6.7672467760110253E-2</v>
      </c>
      <c r="BM44" t="s">
        <v>869</v>
      </c>
      <c r="BN44" t="s">
        <v>867</v>
      </c>
      <c r="BO44" t="s">
        <v>870</v>
      </c>
    </row>
    <row r="45" spans="1:70" ht="13.8" x14ac:dyDescent="0.25">
      <c r="A45" s="981"/>
      <c r="B45" s="159" t="s">
        <v>754</v>
      </c>
      <c r="C45" s="160">
        <v>36848</v>
      </c>
      <c r="D45" s="161">
        <v>5816</v>
      </c>
      <c r="E45" s="162">
        <v>60.3</v>
      </c>
      <c r="F45" s="161">
        <v>11189</v>
      </c>
      <c r="G45" s="163">
        <f>SUM(C37:C45)</f>
        <v>308975</v>
      </c>
      <c r="H45" s="163">
        <f>SUM(D37:D45)</f>
        <v>47397</v>
      </c>
      <c r="I45" s="163">
        <f>SUM(E37:E45)</f>
        <v>582.5</v>
      </c>
      <c r="J45" s="163">
        <f>SUM(F37:F45)</f>
        <v>95652</v>
      </c>
      <c r="K45" s="984"/>
      <c r="L45" s="180">
        <f t="shared" si="15"/>
        <v>-8.2470119521912355E-2</v>
      </c>
      <c r="M45" s="181">
        <f t="shared" si="16"/>
        <v>6.2089116143170198E-2</v>
      </c>
      <c r="N45" s="182">
        <f t="shared" si="17"/>
        <v>-0.16250000000000003</v>
      </c>
      <c r="O45" s="183">
        <f t="shared" si="18"/>
        <v>-6.5168351574901834E-2</v>
      </c>
      <c r="P45" s="183">
        <f t="shared" si="19"/>
        <v>-6.6879077071756457E-2</v>
      </c>
      <c r="Q45" s="183">
        <f t="shared" si="20"/>
        <v>-4.8806919665255175E-2</v>
      </c>
      <c r="R45" s="183">
        <f t="shared" si="21"/>
        <v>8.5910652920962198E-4</v>
      </c>
      <c r="S45" s="183">
        <f t="shared" si="22"/>
        <v>4.1314216662856396E-2</v>
      </c>
      <c r="AL45">
        <f t="shared" si="24"/>
        <v>2018.6923076923083</v>
      </c>
      <c r="AO45">
        <f t="shared" si="4"/>
        <v>2018.916666666664</v>
      </c>
      <c r="AP45" s="107">
        <f t="shared" si="23"/>
        <v>-0.13111868881311187</v>
      </c>
      <c r="AQ45" s="107">
        <f t="shared" si="23"/>
        <v>-0.26576895818568391</v>
      </c>
      <c r="AW45" s="981"/>
      <c r="AX45" s="943" t="s">
        <v>860</v>
      </c>
      <c r="AY45" s="160">
        <v>18812</v>
      </c>
      <c r="AZ45" s="161">
        <f>INDEX($BK$16:$BL$19,MATCH($AX45,$BK$16:$BK$19,0),2)</f>
        <v>110</v>
      </c>
      <c r="BA45" s="162">
        <f>AY45/2*AZ45*$BS$13/10^3</f>
        <v>3238.8084228269468</v>
      </c>
      <c r="BB45" s="163">
        <f>SUM(AY44:AY45)</f>
        <v>33705</v>
      </c>
      <c r="BC45" s="163">
        <f>SUM(BA44:BA45)</f>
        <v>6269.0911240771275</v>
      </c>
      <c r="BD45" s="1037"/>
      <c r="BE45" s="178">
        <f t="shared" si="9"/>
        <v>-3.0459207339071277E-2</v>
      </c>
      <c r="BF45" s="181"/>
      <c r="BG45" s="182">
        <f t="shared" si="12"/>
        <v>-3.0459207339071277E-2</v>
      </c>
      <c r="BH45" s="183">
        <f t="shared" si="13"/>
        <v>-4.7262345591768666E-2</v>
      </c>
      <c r="BI45" s="183">
        <f t="shared" si="14"/>
        <v>-4.8810838409385021E-2</v>
      </c>
      <c r="BM45">
        <v>16108</v>
      </c>
      <c r="BN45">
        <v>130</v>
      </c>
      <c r="BO45">
        <f>BN45*BM45</f>
        <v>2094040</v>
      </c>
      <c r="BP45">
        <f>BO45/1000</f>
        <v>2094.04</v>
      </c>
      <c r="BQ45">
        <f>BR45/BP45</f>
        <v>2.1967106645527305E-2</v>
      </c>
      <c r="BR45">
        <v>46</v>
      </c>
    </row>
    <row r="46" spans="1:70" ht="13.8" x14ac:dyDescent="0.25">
      <c r="A46" s="981"/>
      <c r="B46" s="159" t="s">
        <v>755</v>
      </c>
      <c r="C46" s="160">
        <v>34871</v>
      </c>
      <c r="D46" s="161">
        <v>5309</v>
      </c>
      <c r="E46" s="162">
        <v>70</v>
      </c>
      <c r="F46" s="161">
        <v>11016</v>
      </c>
      <c r="G46" s="163">
        <f>SUM(C37:C46)</f>
        <v>343846</v>
      </c>
      <c r="H46" s="163">
        <f>SUM(D37:D46)</f>
        <v>52706</v>
      </c>
      <c r="I46" s="163">
        <f>SUM(E37:E46)</f>
        <v>652.5</v>
      </c>
      <c r="J46" s="163">
        <f>SUM(F37:F46)</f>
        <v>106668</v>
      </c>
      <c r="K46" s="984"/>
      <c r="L46" s="180">
        <f t="shared" si="15"/>
        <v>-4.4944127957931637E-2</v>
      </c>
      <c r="M46" s="181">
        <f t="shared" si="16"/>
        <v>-0.1236381644106966</v>
      </c>
      <c r="N46" s="182">
        <f t="shared" si="17"/>
        <v>0.25</v>
      </c>
      <c r="O46" s="183">
        <f t="shared" si="18"/>
        <v>1.7738359201773836E-2</v>
      </c>
      <c r="P46" s="183">
        <f t="shared" si="19"/>
        <v>-6.4700570135352742E-2</v>
      </c>
      <c r="Q46" s="183">
        <f t="shared" si="20"/>
        <v>-5.6918424678368849E-2</v>
      </c>
      <c r="R46" s="183">
        <f t="shared" si="21"/>
        <v>2.2727272727272728E-2</v>
      </c>
      <c r="S46" s="183">
        <f t="shared" si="22"/>
        <v>3.882899465334385E-2</v>
      </c>
      <c r="AL46">
        <f t="shared" si="24"/>
        <v>2018.7692307692314</v>
      </c>
      <c r="AO46">
        <f t="shared" si="4"/>
        <v>2018.9999999999973</v>
      </c>
      <c r="AP46" s="107">
        <f>L50</f>
        <v>-0.12153256134341141</v>
      </c>
      <c r="AQ46" s="107">
        <f>M50</f>
        <v>-2.2371364653243847E-3</v>
      </c>
      <c r="AW46" s="981"/>
      <c r="AX46" s="943" t="s">
        <v>862</v>
      </c>
      <c r="AY46" s="160">
        <v>23058</v>
      </c>
      <c r="AZ46" s="217">
        <f>INDEX($BK$16:$BL$19,MATCH($AX46,$BK$16:$BK$19,0),2)</f>
        <v>3.5</v>
      </c>
      <c r="BA46" s="162">
        <f>AY46/2*AZ46*$BS$13/10^3</f>
        <v>126.31277721541525</v>
      </c>
      <c r="BB46" s="163">
        <f>SUM(AY44:AY46)</f>
        <v>56763</v>
      </c>
      <c r="BC46" s="163">
        <f>SUM(BA44:BA46)</f>
        <v>6395.4039012925423</v>
      </c>
      <c r="BD46" s="1037"/>
      <c r="BE46" s="178">
        <f t="shared" si="9"/>
        <v>-0.10042134831460674</v>
      </c>
      <c r="BF46" s="181"/>
      <c r="BG46" s="182">
        <f t="shared" si="12"/>
        <v>-0.10042134831460665</v>
      </c>
      <c r="BH46" s="183">
        <f t="shared" si="13"/>
        <v>-6.959628907210412E-2</v>
      </c>
      <c r="BI46" s="183">
        <f t="shared" si="14"/>
        <v>-4.9887435934281799E-2</v>
      </c>
      <c r="BM46">
        <v>20523</v>
      </c>
      <c r="BN46">
        <v>110</v>
      </c>
      <c r="BO46">
        <f>BN46*BM46</f>
        <v>2257530</v>
      </c>
      <c r="BP46">
        <f>BO46/1000</f>
        <v>2257.5300000000002</v>
      </c>
      <c r="BQ46">
        <f>BR46/BP46</f>
        <v>1.9933289923057498E-2</v>
      </c>
      <c r="BR46">
        <v>45</v>
      </c>
    </row>
    <row r="47" spans="1:70" ht="13.8" x14ac:dyDescent="0.25">
      <c r="A47" s="981"/>
      <c r="B47" s="159" t="s">
        <v>756</v>
      </c>
      <c r="C47" s="160">
        <v>26902</v>
      </c>
      <c r="D47" s="161">
        <v>5406</v>
      </c>
      <c r="E47" s="162">
        <v>47</v>
      </c>
      <c r="F47" s="161">
        <v>9102</v>
      </c>
      <c r="G47" s="163">
        <f>SUM(C37:C47)</f>
        <v>370748</v>
      </c>
      <c r="H47" s="163">
        <f>SUM(D37:D47)</f>
        <v>58112</v>
      </c>
      <c r="I47" s="163">
        <f>SUM(E37:E47)</f>
        <v>699.5</v>
      </c>
      <c r="J47" s="163">
        <f>SUM(F37:F47)</f>
        <v>115770</v>
      </c>
      <c r="K47" s="984"/>
      <c r="L47" s="180">
        <f t="shared" si="15"/>
        <v>-0.12113688337144723</v>
      </c>
      <c r="M47" s="181">
        <f t="shared" si="16"/>
        <v>0.1917989417989418</v>
      </c>
      <c r="N47" s="182">
        <f t="shared" si="17"/>
        <v>-0.25396825396825395</v>
      </c>
      <c r="O47" s="183">
        <f t="shared" si="18"/>
        <v>0.11722106296796367</v>
      </c>
      <c r="P47" s="183">
        <f t="shared" si="19"/>
        <v>-6.9038423872921487E-2</v>
      </c>
      <c r="Q47" s="183">
        <f t="shared" si="20"/>
        <v>-3.8247025139433656E-2</v>
      </c>
      <c r="R47" s="183">
        <f t="shared" si="21"/>
        <v>-2.1398002853067048E-3</v>
      </c>
      <c r="S47" s="183">
        <f t="shared" si="22"/>
        <v>4.4591619446349297E-2</v>
      </c>
      <c r="AL47">
        <f t="shared" si="24"/>
        <v>2018.8461538461545</v>
      </c>
      <c r="AO47">
        <f t="shared" si="4"/>
        <v>2019.0833333333305</v>
      </c>
      <c r="AP47" s="107">
        <f t="shared" ref="AP47:AQ57" si="25">L51</f>
        <v>-3.0574550027509237E-2</v>
      </c>
      <c r="AQ47" s="107">
        <f t="shared" si="25"/>
        <v>0.8298453139217471</v>
      </c>
      <c r="AW47" s="981"/>
      <c r="AX47" s="943" t="s">
        <v>864</v>
      </c>
      <c r="AY47" s="160">
        <f>SUM(AY44:AY46)</f>
        <v>56763</v>
      </c>
      <c r="AZ47" s="161"/>
      <c r="BA47" s="162">
        <f>SUM(BA44:BA46)</f>
        <v>6395.4039012925423</v>
      </c>
      <c r="BB47" s="163">
        <f>SUM(AY44:AY46)</f>
        <v>56763</v>
      </c>
      <c r="BC47" s="163">
        <f>SUM(BA44:BA46)</f>
        <v>6395.4039012925423</v>
      </c>
      <c r="BD47" s="1037"/>
      <c r="BE47" s="178">
        <f t="shared" si="9"/>
        <v>-6.959628907210412E-2</v>
      </c>
      <c r="BF47" s="181"/>
      <c r="BG47" s="182">
        <f t="shared" si="12"/>
        <v>-4.9887435934281799E-2</v>
      </c>
      <c r="BH47" s="183">
        <f t="shared" si="13"/>
        <v>-6.959628907210412E-2</v>
      </c>
      <c r="BI47" s="183">
        <f t="shared" si="14"/>
        <v>-4.9887435934281799E-2</v>
      </c>
      <c r="BM47">
        <v>23058</v>
      </c>
      <c r="BN47">
        <v>3.5</v>
      </c>
      <c r="BO47">
        <f>BN47*BM47</f>
        <v>80703</v>
      </c>
      <c r="BP47">
        <f>BO47/1000</f>
        <v>80.703000000000003</v>
      </c>
      <c r="BQ47">
        <f>BR47/BP47</f>
        <v>2.4782226187378412E-2</v>
      </c>
      <c r="BR47">
        <v>2</v>
      </c>
    </row>
    <row r="48" spans="1:70" ht="14.4" thickBot="1" x14ac:dyDescent="0.3">
      <c r="A48" s="987"/>
      <c r="B48" s="167" t="s">
        <v>758</v>
      </c>
      <c r="C48" s="168">
        <v>23697</v>
      </c>
      <c r="D48" s="169">
        <v>3108</v>
      </c>
      <c r="E48" s="170">
        <v>54</v>
      </c>
      <c r="F48" s="171">
        <v>9303</v>
      </c>
      <c r="G48" s="163">
        <f>SUM(C37:C48)</f>
        <v>394445</v>
      </c>
      <c r="H48" s="163">
        <f>SUM(D37:D48)</f>
        <v>61220</v>
      </c>
      <c r="I48" s="163">
        <f>SUM(E37:E48)</f>
        <v>753.5</v>
      </c>
      <c r="J48" s="163">
        <f>SUM(F37:F48)</f>
        <v>125073</v>
      </c>
      <c r="K48" s="984"/>
      <c r="L48" s="184">
        <f t="shared" si="15"/>
        <v>-0.13111868881311187</v>
      </c>
      <c r="M48" s="185">
        <f t="shared" si="16"/>
        <v>-0.26576895818568391</v>
      </c>
      <c r="N48" s="186">
        <f t="shared" si="17"/>
        <v>-0.32500000000000001</v>
      </c>
      <c r="O48" s="187">
        <f t="shared" si="18"/>
        <v>1.3729977116704805E-2</v>
      </c>
      <c r="P48" s="187">
        <f t="shared" si="19"/>
        <v>-7.3017402441747065E-2</v>
      </c>
      <c r="Q48" s="187">
        <f t="shared" si="20"/>
        <v>-5.314278643900025E-2</v>
      </c>
      <c r="R48" s="187">
        <f t="shared" si="21"/>
        <v>-3.5211267605633804E-2</v>
      </c>
      <c r="S48" s="187">
        <f t="shared" si="22"/>
        <v>4.2231573684429813E-2</v>
      </c>
      <c r="AL48">
        <f t="shared" si="24"/>
        <v>2018.9230769230776</v>
      </c>
      <c r="AO48">
        <f t="shared" si="4"/>
        <v>2019.1666666666638</v>
      </c>
      <c r="AP48" s="107">
        <f t="shared" si="25"/>
        <v>0.20291378248106404</v>
      </c>
      <c r="AQ48" s="107">
        <f t="shared" si="25"/>
        <v>0.66102826619185395</v>
      </c>
      <c r="AW48" s="981"/>
      <c r="AX48" s="943" t="s">
        <v>857</v>
      </c>
      <c r="AY48" s="160">
        <v>1215</v>
      </c>
      <c r="AZ48" s="161">
        <f>INDEX($BK$16:$BL$19,MATCH($AX48,$BK$16:$BK$19,0),2)</f>
        <v>130</v>
      </c>
      <c r="BA48" s="162">
        <f>AY48/2*AZ48*$BS$13/10^3</f>
        <v>247.21637561397765</v>
      </c>
      <c r="BB48" s="163">
        <f>SUM(AY48)</f>
        <v>1215</v>
      </c>
      <c r="BC48" s="163">
        <f>SUM(BA48)</f>
        <v>247.21637561397765</v>
      </c>
      <c r="BD48" s="1037"/>
      <c r="BE48" s="178">
        <f t="shared" si="9"/>
        <v>-0.18236877523553163</v>
      </c>
      <c r="BF48" s="181"/>
      <c r="BG48" s="182">
        <f t="shared" si="12"/>
        <v>-0.18236877523553172</v>
      </c>
      <c r="BH48" s="183">
        <f t="shared" si="13"/>
        <v>-0.18236877523553163</v>
      </c>
      <c r="BI48" s="183">
        <f t="shared" si="14"/>
        <v>-0.18236877523553172</v>
      </c>
    </row>
    <row r="49" spans="1:69" ht="14.4" thickBot="1" x14ac:dyDescent="0.3">
      <c r="A49" s="172" t="s">
        <v>3</v>
      </c>
      <c r="B49" s="188">
        <v>2018</v>
      </c>
      <c r="C49" s="174">
        <f>SUM(C37:C48)</f>
        <v>394445</v>
      </c>
      <c r="D49" s="174">
        <f>SUM(D37:D48)</f>
        <v>61220</v>
      </c>
      <c r="E49" s="174">
        <f>SUM(E37:E48)</f>
        <v>753.5</v>
      </c>
      <c r="F49" s="174">
        <f>SUM(F37:F48)</f>
        <v>125073</v>
      </c>
      <c r="G49" s="175">
        <f>G41</f>
        <v>144444</v>
      </c>
      <c r="H49" s="175">
        <f>H41</f>
        <v>21830</v>
      </c>
      <c r="I49" s="175">
        <f>I41</f>
        <v>305.39999999999998</v>
      </c>
      <c r="J49" s="175">
        <f>J41</f>
        <v>48584</v>
      </c>
      <c r="K49" s="985"/>
      <c r="L49" s="189">
        <f t="shared" si="15"/>
        <v>-7.3017402441747065E-2</v>
      </c>
      <c r="M49" s="189">
        <f t="shared" si="16"/>
        <v>-5.314278643900025E-2</v>
      </c>
      <c r="N49" s="190">
        <f t="shared" si="17"/>
        <v>-3.5211267605633804E-2</v>
      </c>
      <c r="O49" s="191">
        <f t="shared" si="18"/>
        <v>4.2231573684429813E-2</v>
      </c>
      <c r="P49" s="191">
        <f t="shared" si="19"/>
        <v>-7.4177813956171443E-2</v>
      </c>
      <c r="Q49" s="191">
        <f t="shared" si="20"/>
        <v>-9.7337082368508104E-2</v>
      </c>
      <c r="R49" s="191">
        <f t="shared" si="21"/>
        <v>-1.1650485436893277E-2</v>
      </c>
      <c r="S49" s="191">
        <f t="shared" si="22"/>
        <v>0.12629821958456974</v>
      </c>
      <c r="AL49">
        <f t="shared" si="24"/>
        <v>2019.0000000000007</v>
      </c>
      <c r="AO49">
        <f t="shared" si="4"/>
        <v>2019.249999999997</v>
      </c>
      <c r="AP49" s="107">
        <f t="shared" si="25"/>
        <v>-0.13440254490025846</v>
      </c>
      <c r="AQ49" s="107">
        <f t="shared" si="25"/>
        <v>-0.22402597402597402</v>
      </c>
      <c r="AW49" s="981"/>
      <c r="AX49" s="943" t="s">
        <v>860</v>
      </c>
      <c r="AY49" s="160">
        <v>1711</v>
      </c>
      <c r="AZ49" s="161">
        <f>INDEX($BK$16:$BL$19,MATCH($AX49,$BK$16:$BK$19,0),2)</f>
        <v>110</v>
      </c>
      <c r="BA49" s="162">
        <f>AY49/2*AZ49*$BS$13/10^3</f>
        <v>294.57799337959312</v>
      </c>
      <c r="BB49" s="163">
        <f>SUM(AY48:AY49)</f>
        <v>2926</v>
      </c>
      <c r="BC49" s="163">
        <f>SUM(BA48:BA49)</f>
        <v>541.79436899357074</v>
      </c>
      <c r="BD49" s="1037"/>
      <c r="BE49" s="178">
        <f t="shared" si="9"/>
        <v>9.4395280235988199E-3</v>
      </c>
      <c r="BF49" s="181"/>
      <c r="BG49" s="182">
        <f t="shared" si="12"/>
        <v>9.4395280235988911E-3</v>
      </c>
      <c r="BH49" s="183">
        <f t="shared" si="13"/>
        <v>-8.0163470606727447E-2</v>
      </c>
      <c r="BI49" s="183">
        <f t="shared" si="14"/>
        <v>-8.816479203434939E-2</v>
      </c>
      <c r="BQ49">
        <f>BP45*44</f>
        <v>92137.76</v>
      </c>
    </row>
    <row r="50" spans="1:69" ht="14.25" customHeight="1" x14ac:dyDescent="0.25">
      <c r="A50" s="981">
        <v>2019</v>
      </c>
      <c r="B50" s="151" t="s">
        <v>710</v>
      </c>
      <c r="C50" s="152">
        <v>23593</v>
      </c>
      <c r="D50" s="153">
        <v>4460</v>
      </c>
      <c r="E50" s="154">
        <v>42</v>
      </c>
      <c r="F50" s="153">
        <v>8947</v>
      </c>
      <c r="G50" s="155">
        <f>C50</f>
        <v>23593</v>
      </c>
      <c r="H50" s="155">
        <f>D50</f>
        <v>4460</v>
      </c>
      <c r="I50" s="155">
        <f>E50</f>
        <v>42</v>
      </c>
      <c r="J50" s="155">
        <f>F50</f>
        <v>8947</v>
      </c>
      <c r="K50" s="983" t="s">
        <v>871</v>
      </c>
      <c r="L50" s="178">
        <f t="shared" si="15"/>
        <v>-0.12153256134341141</v>
      </c>
      <c r="M50" s="178">
        <f t="shared" si="16"/>
        <v>-2.2371364653243847E-3</v>
      </c>
      <c r="N50" s="178">
        <f t="shared" si="17"/>
        <v>-0.34375</v>
      </c>
      <c r="O50" s="179">
        <f t="shared" si="18"/>
        <v>-0.12155130093274423</v>
      </c>
      <c r="P50" s="179">
        <f t="shared" si="19"/>
        <v>-0.12153256134341141</v>
      </c>
      <c r="Q50" s="179">
        <f t="shared" si="20"/>
        <v>-2.2371364653243847E-3</v>
      </c>
      <c r="R50" s="179">
        <f t="shared" si="21"/>
        <v>-0.34375</v>
      </c>
      <c r="S50" s="179">
        <f t="shared" si="22"/>
        <v>-0.12155130093274423</v>
      </c>
      <c r="AL50">
        <f t="shared" si="24"/>
        <v>2019.0769230769238</v>
      </c>
      <c r="AO50">
        <f t="shared" si="4"/>
        <v>2019.3333333333303</v>
      </c>
      <c r="AP50" s="107">
        <f t="shared" si="25"/>
        <v>-9.7556008146639506E-2</v>
      </c>
      <c r="AQ50" s="107">
        <f t="shared" si="25"/>
        <v>0.3135609756097561</v>
      </c>
      <c r="AW50" s="981"/>
      <c r="AX50" s="943" t="s">
        <v>868</v>
      </c>
      <c r="AY50" s="160">
        <f>AY49+AY48</f>
        <v>2926</v>
      </c>
      <c r="AZ50" s="161"/>
      <c r="BA50" s="162">
        <f>SUM(BA48:BA49)</f>
        <v>541.79436899357074</v>
      </c>
      <c r="BB50" s="163">
        <f>SUM(AY50)</f>
        <v>2926</v>
      </c>
      <c r="BC50" s="163">
        <f>SUM(BA50)</f>
        <v>541.79436899357074</v>
      </c>
      <c r="BD50" s="1037"/>
      <c r="BE50" s="178">
        <f t="shared" si="9"/>
        <v>-8.0163470606727447E-2</v>
      </c>
      <c r="BF50" s="181"/>
      <c r="BG50" s="182">
        <f t="shared" si="12"/>
        <v>-8.816479203434939E-2</v>
      </c>
      <c r="BH50" s="183">
        <f t="shared" si="13"/>
        <v>-8.0163470606727447E-2</v>
      </c>
      <c r="BI50" s="183">
        <f t="shared" si="14"/>
        <v>-8.816479203434939E-2</v>
      </c>
      <c r="BQ50">
        <f>BP46*44</f>
        <v>99331.32</v>
      </c>
    </row>
    <row r="51" spans="1:69" ht="13.8" x14ac:dyDescent="0.25">
      <c r="A51" s="981"/>
      <c r="B51" s="159" t="s">
        <v>715</v>
      </c>
      <c r="C51" s="160">
        <v>24668</v>
      </c>
      <c r="D51" s="161">
        <v>4022</v>
      </c>
      <c r="E51" s="162">
        <v>52</v>
      </c>
      <c r="F51" s="161">
        <v>7634</v>
      </c>
      <c r="G51" s="163">
        <f>SUM(C50:C51)</f>
        <v>48261</v>
      </c>
      <c r="H51" s="163">
        <f>SUM(D50:D51)</f>
        <v>8482</v>
      </c>
      <c r="I51" s="163">
        <f>SUM(E50:E51)</f>
        <v>94</v>
      </c>
      <c r="J51" s="163">
        <f>SUM(F50:F51)</f>
        <v>16581</v>
      </c>
      <c r="K51" s="984"/>
      <c r="L51" s="180">
        <f t="shared" si="15"/>
        <v>-3.0574550027509237E-2</v>
      </c>
      <c r="M51" s="181">
        <f t="shared" si="16"/>
        <v>0.8298453139217471</v>
      </c>
      <c r="N51" s="182">
        <f t="shared" si="17"/>
        <v>-0.14754098360655737</v>
      </c>
      <c r="O51" s="183">
        <f t="shared" si="18"/>
        <v>-4.884126588587092E-2</v>
      </c>
      <c r="P51" s="183">
        <f t="shared" si="19"/>
        <v>-7.728046192379022E-2</v>
      </c>
      <c r="Q51" s="183">
        <f t="shared" si="20"/>
        <v>0.27204559088182362</v>
      </c>
      <c r="R51" s="183">
        <f t="shared" si="21"/>
        <v>-0.248</v>
      </c>
      <c r="S51" s="183">
        <f t="shared" si="22"/>
        <v>-8.9506342320575472E-2</v>
      </c>
      <c r="AL51">
        <f t="shared" si="24"/>
        <v>2019.1538461538469</v>
      </c>
      <c r="AO51">
        <f t="shared" si="4"/>
        <v>2019.4166666666636</v>
      </c>
      <c r="AP51" s="107">
        <f t="shared" si="25"/>
        <v>-0.13777858684627989</v>
      </c>
      <c r="AQ51" s="107">
        <f t="shared" si="25"/>
        <v>1.6680294358135731E-2</v>
      </c>
      <c r="AW51" s="981"/>
      <c r="AX51" s="948" t="s">
        <v>857</v>
      </c>
      <c r="AY51" s="239">
        <f>AY44+AY48</f>
        <v>16108</v>
      </c>
      <c r="AZ51" s="161">
        <f>INDEX($BK$16:$BL$19,MATCH($AX51,$BK$16:$BK$19,0),2)</f>
        <v>130</v>
      </c>
      <c r="BA51" s="162">
        <f>AY51/2*AZ51*$BS$13/10^3</f>
        <v>3277.4990768641578</v>
      </c>
      <c r="BB51" s="163">
        <f>SUM(AY51)</f>
        <v>16108</v>
      </c>
      <c r="BC51" s="163">
        <f>SUM(BA51)</f>
        <v>3277.4990768641578</v>
      </c>
      <c r="BD51" s="1037"/>
      <c r="BE51" s="178">
        <f t="shared" si="9"/>
        <v>-7.7434135166093931E-2</v>
      </c>
      <c r="BF51" s="181"/>
      <c r="BG51" s="182">
        <f t="shared" si="12"/>
        <v>-7.7434135166093876E-2</v>
      </c>
      <c r="BH51" s="183">
        <f t="shared" si="13"/>
        <v>-7.7434135166093931E-2</v>
      </c>
      <c r="BI51" s="183">
        <f t="shared" si="14"/>
        <v>-7.7434135166093876E-2</v>
      </c>
      <c r="BQ51">
        <f>BP47*44</f>
        <v>3550.9320000000002</v>
      </c>
    </row>
    <row r="52" spans="1:69" ht="13.8" x14ac:dyDescent="0.25">
      <c r="A52" s="981"/>
      <c r="B52" s="159" t="s">
        <v>718</v>
      </c>
      <c r="C52" s="160">
        <v>33192</v>
      </c>
      <c r="D52" s="161">
        <v>7463</v>
      </c>
      <c r="E52" s="162">
        <v>60</v>
      </c>
      <c r="F52" s="161">
        <v>8747</v>
      </c>
      <c r="G52" s="163">
        <f>SUM(C50:C52)</f>
        <v>81453</v>
      </c>
      <c r="H52" s="163">
        <f>SUM(D50:D52)</f>
        <v>15945</v>
      </c>
      <c r="I52" s="163">
        <f>SUM(E50:E52)</f>
        <v>154</v>
      </c>
      <c r="J52" s="163">
        <f>SUM(F50:F52)</f>
        <v>25328</v>
      </c>
      <c r="K52" s="984"/>
      <c r="L52" s="180">
        <f t="shared" si="15"/>
        <v>0.20291378248106404</v>
      </c>
      <c r="M52" s="181">
        <f t="shared" si="16"/>
        <v>0.66102826619185395</v>
      </c>
      <c r="N52" s="182">
        <f t="shared" si="17"/>
        <v>0</v>
      </c>
      <c r="O52" s="183">
        <f t="shared" si="18"/>
        <v>-5.5603541351759878E-2</v>
      </c>
      <c r="P52" s="183">
        <f t="shared" si="19"/>
        <v>1.9487834184439772E-2</v>
      </c>
      <c r="Q52" s="183">
        <f t="shared" si="20"/>
        <v>0.4286354269330705</v>
      </c>
      <c r="R52" s="183">
        <f t="shared" si="21"/>
        <v>-0.16756756756756758</v>
      </c>
      <c r="S52" s="183">
        <f t="shared" si="22"/>
        <v>-7.8076657081498205E-2</v>
      </c>
      <c r="AL52">
        <f t="shared" si="24"/>
        <v>2019.23076923077</v>
      </c>
      <c r="AO52">
        <f t="shared" si="4"/>
        <v>2019.4999999999968</v>
      </c>
      <c r="AP52" s="107">
        <f t="shared" si="25"/>
        <v>-0.14761389036108485</v>
      </c>
      <c r="AQ52" s="107">
        <f t="shared" si="25"/>
        <v>-8.5789705235371758E-2</v>
      </c>
      <c r="AW52" s="981"/>
      <c r="AX52" s="948" t="s">
        <v>860</v>
      </c>
      <c r="AY52" s="239">
        <f>AY45+AY49</f>
        <v>20523</v>
      </c>
      <c r="AZ52" s="161">
        <f>INDEX($BK$16:$BL$19,MATCH($AX52,$BK$16:$BK$19,0),2)</f>
        <v>110</v>
      </c>
      <c r="BA52" s="162">
        <f>AY52/2*AZ52*$BS$13/10^3</f>
        <v>3533.3864162065397</v>
      </c>
      <c r="BB52" s="163">
        <f>SUM(AY51:AY52)</f>
        <v>36631</v>
      </c>
      <c r="BC52" s="163">
        <f>SUM(BA51:BA52)</f>
        <v>6810.8854930706975</v>
      </c>
      <c r="BD52" s="1037"/>
      <c r="BE52" s="178">
        <f t="shared" si="9"/>
        <v>-2.7253768129680538E-2</v>
      </c>
      <c r="BF52" s="181"/>
      <c r="BG52" s="182">
        <f t="shared" si="12"/>
        <v>-2.7253768129680441E-2</v>
      </c>
      <c r="BH52" s="183">
        <f t="shared" si="13"/>
        <v>-4.9976658540380726E-2</v>
      </c>
      <c r="BI52" s="183">
        <f t="shared" si="14"/>
        <v>-5.206531636525219E-2</v>
      </c>
    </row>
    <row r="53" spans="1:69" ht="14.4" thickBot="1" x14ac:dyDescent="0.3">
      <c r="A53" s="981"/>
      <c r="B53" s="159" t="s">
        <v>725</v>
      </c>
      <c r="C53" s="160">
        <v>26122</v>
      </c>
      <c r="D53" s="161">
        <v>4302</v>
      </c>
      <c r="E53" s="162">
        <v>57.1</v>
      </c>
      <c r="F53" s="161">
        <v>9211</v>
      </c>
      <c r="G53" s="163">
        <f>SUM(C50:C53)</f>
        <v>107575</v>
      </c>
      <c r="H53" s="163">
        <f>SUM(D50:D53)</f>
        <v>20247</v>
      </c>
      <c r="I53" s="163">
        <f>SUM(E50:E53)</f>
        <v>211.1</v>
      </c>
      <c r="J53" s="163">
        <f>SUM(F50:F53)</f>
        <v>34539</v>
      </c>
      <c r="K53" s="984"/>
      <c r="L53" s="180">
        <f t="shared" si="15"/>
        <v>-0.13440254490025846</v>
      </c>
      <c r="M53" s="181">
        <f t="shared" si="16"/>
        <v>-0.22402597402597402</v>
      </c>
      <c r="N53" s="182">
        <f t="shared" si="17"/>
        <v>2.5134649910233366E-2</v>
      </c>
      <c r="O53" s="183">
        <f t="shared" si="18"/>
        <v>-1.5813655305053957E-2</v>
      </c>
      <c r="P53" s="183">
        <f t="shared" si="19"/>
        <v>-2.2702908952159456E-2</v>
      </c>
      <c r="Q53" s="183">
        <f t="shared" si="20"/>
        <v>0.21203232565100269</v>
      </c>
      <c r="R53" s="183">
        <f t="shared" si="21"/>
        <v>-0.1229746572496884</v>
      </c>
      <c r="S53" s="183">
        <f t="shared" si="22"/>
        <v>-6.225564726324935E-2</v>
      </c>
      <c r="AL53">
        <f t="shared" si="24"/>
        <v>2019.3076923076931</v>
      </c>
      <c r="AO53">
        <f t="shared" si="4"/>
        <v>2019.5833333333301</v>
      </c>
      <c r="AP53" s="107">
        <f t="shared" si="25"/>
        <v>-0.15543385770078327</v>
      </c>
      <c r="AQ53" s="107">
        <f t="shared" si="25"/>
        <v>-8.4347953645298512E-2</v>
      </c>
      <c r="AW53" s="982"/>
      <c r="AX53" s="948" t="s">
        <v>862</v>
      </c>
      <c r="AY53" s="239">
        <f>AY46</f>
        <v>23058</v>
      </c>
      <c r="AZ53" s="217">
        <f>INDEX($BK$16:$BL$19,MATCH($AX53,$BK$16:$BK$19,0),2)</f>
        <v>3.5</v>
      </c>
      <c r="BA53" s="162">
        <f>AY53/2*AZ53*$BS$13/10^3</f>
        <v>126.31277721541525</v>
      </c>
      <c r="BB53" s="163">
        <f>SUM(AY51:AY53)</f>
        <v>59689</v>
      </c>
      <c r="BC53" s="163">
        <f>SUM(BA51:BA53)</f>
        <v>6937.1982702861123</v>
      </c>
      <c r="BD53" s="1037"/>
      <c r="BE53" s="178">
        <f t="shared" si="9"/>
        <v>-0.10042134831460674</v>
      </c>
      <c r="BF53" s="181"/>
      <c r="BG53" s="182">
        <f t="shared" si="12"/>
        <v>-0.10042134831460665</v>
      </c>
      <c r="BH53" s="183">
        <f t="shared" si="13"/>
        <v>-7.011995637949836E-2</v>
      </c>
      <c r="BI53" s="183">
        <f t="shared" si="14"/>
        <v>-5.2992206469168968E-2</v>
      </c>
    </row>
    <row r="54" spans="1:69" ht="14.4" thickBot="1" x14ac:dyDescent="0.3">
      <c r="A54" s="981"/>
      <c r="B54" s="159" t="s">
        <v>730</v>
      </c>
      <c r="C54" s="160">
        <v>31017</v>
      </c>
      <c r="D54" s="161">
        <v>6732</v>
      </c>
      <c r="E54" s="162">
        <v>56.9</v>
      </c>
      <c r="F54" s="161">
        <v>10210</v>
      </c>
      <c r="G54" s="163">
        <f>SUM(C50:C54)</f>
        <v>138592</v>
      </c>
      <c r="H54" s="163">
        <f>SUM(D50:D54)</f>
        <v>26979</v>
      </c>
      <c r="I54" s="163">
        <f>SUM(E50:E54)</f>
        <v>268</v>
      </c>
      <c r="J54" s="163">
        <f>SUM(F50:F54)</f>
        <v>44749</v>
      </c>
      <c r="K54" s="984"/>
      <c r="L54" s="180">
        <f t="shared" si="15"/>
        <v>-9.7556008146639506E-2</v>
      </c>
      <c r="M54" s="181">
        <f t="shared" si="16"/>
        <v>0.3135609756097561</v>
      </c>
      <c r="N54" s="182">
        <f t="shared" si="17"/>
        <v>-0.12055641421947456</v>
      </c>
      <c r="O54" s="183">
        <f t="shared" si="18"/>
        <v>-0.13121170864533696</v>
      </c>
      <c r="P54" s="183">
        <f t="shared" si="19"/>
        <v>-4.0513970812217887E-2</v>
      </c>
      <c r="Q54" s="183">
        <f t="shared" si="20"/>
        <v>0.2358680714612918</v>
      </c>
      <c r="R54" s="183">
        <f t="shared" si="21"/>
        <v>-0.12246234446627367</v>
      </c>
      <c r="S54" s="183">
        <f t="shared" si="22"/>
        <v>-7.8935452000658657E-2</v>
      </c>
      <c r="AL54">
        <f t="shared" si="24"/>
        <v>2019.3846153846162</v>
      </c>
      <c r="AO54">
        <f t="shared" si="4"/>
        <v>2019.6666666666633</v>
      </c>
      <c r="AP54" s="107">
        <f t="shared" si="25"/>
        <v>-0.13365718627876683</v>
      </c>
      <c r="AQ54" s="107">
        <f t="shared" si="25"/>
        <v>-0.22025447042640992</v>
      </c>
      <c r="AW54" s="172" t="s">
        <v>3</v>
      </c>
      <c r="AX54" s="188">
        <f>AW44</f>
        <v>2019</v>
      </c>
      <c r="AY54" s="174">
        <f>SUM(AY51:AY53)</f>
        <v>59689</v>
      </c>
      <c r="AZ54" s="174"/>
      <c r="BA54" s="174">
        <f>SUM(BA51:BA53)</f>
        <v>6937.1982702861123</v>
      </c>
      <c r="BB54" s="175">
        <f>BB53</f>
        <v>59689</v>
      </c>
      <c r="BC54" s="175">
        <f>BC53</f>
        <v>6937.1982702861123</v>
      </c>
      <c r="BD54" s="1038"/>
      <c r="BE54" s="189">
        <f t="shared" si="9"/>
        <v>-7.011995637949836E-2</v>
      </c>
      <c r="BF54" s="189"/>
      <c r="BG54" s="190">
        <f t="shared" si="12"/>
        <v>-5.2992206469168968E-2</v>
      </c>
      <c r="BH54" s="191">
        <f t="shared" si="13"/>
        <v>-7.011995637949836E-2</v>
      </c>
      <c r="BI54" s="191">
        <f t="shared" si="14"/>
        <v>-5.2992206469168968E-2</v>
      </c>
    </row>
    <row r="55" spans="1:69" ht="13.8" x14ac:dyDescent="0.25">
      <c r="A55" s="981"/>
      <c r="B55" s="159" t="s">
        <v>735</v>
      </c>
      <c r="C55" s="160">
        <v>33155</v>
      </c>
      <c r="D55" s="161">
        <v>6217</v>
      </c>
      <c r="E55" s="162">
        <v>43.7</v>
      </c>
      <c r="F55" s="161">
        <v>11291</v>
      </c>
      <c r="G55" s="163">
        <f>SUM(C50:C55)</f>
        <v>171747</v>
      </c>
      <c r="H55" s="163">
        <f>SUM(D50:D55)</f>
        <v>33196</v>
      </c>
      <c r="I55" s="163">
        <f>SUM(E50:E55)</f>
        <v>311.7</v>
      </c>
      <c r="J55" s="163">
        <f>SUM(F50:F55)</f>
        <v>56040</v>
      </c>
      <c r="K55" s="984"/>
      <c r="L55" s="180">
        <f t="shared" si="15"/>
        <v>-0.13777858684627989</v>
      </c>
      <c r="M55" s="181">
        <f t="shared" si="16"/>
        <v>1.6680294358135731E-2</v>
      </c>
      <c r="N55" s="182">
        <f t="shared" si="17"/>
        <v>-0.36204379562043792</v>
      </c>
      <c r="O55" s="183">
        <f t="shared" si="18"/>
        <v>-1.5262515262515262E-2</v>
      </c>
      <c r="P55" s="183">
        <f t="shared" si="19"/>
        <v>-6.0963274411280667E-2</v>
      </c>
      <c r="Q55" s="183">
        <f t="shared" si="20"/>
        <v>0.18790481302558598</v>
      </c>
      <c r="R55" s="183">
        <f t="shared" si="21"/>
        <v>-0.16635464027814922</v>
      </c>
      <c r="S55" s="183">
        <f t="shared" si="22"/>
        <v>-6.6777685262281436E-2</v>
      </c>
      <c r="AL55">
        <f t="shared" si="24"/>
        <v>2019.4615384615392</v>
      </c>
      <c r="AO55">
        <f t="shared" si="4"/>
        <v>2019.7499999999966</v>
      </c>
      <c r="AP55" s="107">
        <f t="shared" si="25"/>
        <v>-0.15456969975050902</v>
      </c>
      <c r="AQ55" s="107">
        <f t="shared" si="25"/>
        <v>-0.15031079299303071</v>
      </c>
      <c r="AW55" s="986">
        <v>2020</v>
      </c>
      <c r="AX55" s="939" t="s">
        <v>857</v>
      </c>
      <c r="AY55" s="152">
        <v>7614</v>
      </c>
      <c r="AZ55" s="153">
        <f>INDEX($BK$16:$BL$19,MATCH($AX55,$BK$16:$BK$19,0),2)</f>
        <v>130</v>
      </c>
      <c r="BA55" s="154">
        <f>AY55/2*AZ55*$BS$13/10^3</f>
        <v>1549.2226205142599</v>
      </c>
      <c r="BB55" s="155">
        <f>AY55</f>
        <v>7614</v>
      </c>
      <c r="BC55" s="155">
        <f>BA55</f>
        <v>1549.2226205142599</v>
      </c>
      <c r="BD55" s="1075" t="str">
        <f>"Milli áranna "&amp; AW44&amp;" og "&amp; AW55</f>
        <v>Milli áranna 2019 og 2020</v>
      </c>
      <c r="BE55" s="178">
        <f t="shared" si="9"/>
        <v>-0.4887531054857987</v>
      </c>
      <c r="BF55" s="178"/>
      <c r="BG55" s="178">
        <f t="shared" si="12"/>
        <v>-0.4887531054857987</v>
      </c>
      <c r="BH55" s="179">
        <f t="shared" si="13"/>
        <v>-0.4887531054857987</v>
      </c>
      <c r="BI55" s="179">
        <f t="shared" si="14"/>
        <v>-0.4887531054857987</v>
      </c>
    </row>
    <row r="56" spans="1:69" ht="13.8" x14ac:dyDescent="0.25">
      <c r="A56" s="981"/>
      <c r="B56" s="159" t="s">
        <v>740</v>
      </c>
      <c r="C56" s="160">
        <v>36991</v>
      </c>
      <c r="D56" s="161">
        <v>6234</v>
      </c>
      <c r="E56" s="162">
        <v>59.5</v>
      </c>
      <c r="F56" s="161">
        <v>12324</v>
      </c>
      <c r="G56" s="163">
        <f>SUM(C50:C56)</f>
        <v>208738</v>
      </c>
      <c r="H56" s="163">
        <f>SUM(D50:D56)</f>
        <v>39430</v>
      </c>
      <c r="I56" s="163">
        <f>SUM(E50:E56)</f>
        <v>371.2</v>
      </c>
      <c r="J56" s="163">
        <f>SUM(F50:F56)</f>
        <v>68364</v>
      </c>
      <c r="K56" s="984"/>
      <c r="L56" s="180">
        <f t="shared" ref="L56:L87" si="26">(C56-C43)/C43</f>
        <v>-0.14761389036108485</v>
      </c>
      <c r="M56" s="181">
        <f t="shared" ref="M56:M87" si="27">(D56-D43)/D43</f>
        <v>-8.5789705235371758E-2</v>
      </c>
      <c r="N56" s="182">
        <f t="shared" ref="N56:N87" si="28">(E56-E43)/E43</f>
        <v>-0.13517441860465113</v>
      </c>
      <c r="O56" s="183">
        <f t="shared" ref="O56:O87" si="29">(F56-F43)/F43</f>
        <v>-1.6675975424878323E-2</v>
      </c>
      <c r="P56" s="183">
        <f t="shared" ref="P56:P87" si="30">(G56-G43)/G43</f>
        <v>-7.75804926334768E-2</v>
      </c>
      <c r="Q56" s="183">
        <f t="shared" ref="Q56:Q87" si="31">(H56-H43)/H43</f>
        <v>0.13421930732942125</v>
      </c>
      <c r="R56" s="183">
        <f t="shared" ref="R56:R87" si="32">(I56-I43)/I43</f>
        <v>-0.16150892252089452</v>
      </c>
      <c r="S56" s="183">
        <f t="shared" ref="S56:S87" si="33">(J56-J43)/J43</f>
        <v>-5.8126558560544481E-2</v>
      </c>
      <c r="AL56">
        <f t="shared" si="24"/>
        <v>2019.5384615384623</v>
      </c>
      <c r="AO56">
        <f>AO55+$AO$2</f>
        <v>2019.8333333333298</v>
      </c>
      <c r="AP56" s="107">
        <f t="shared" si="25"/>
        <v>-4.1335216712512078E-2</v>
      </c>
      <c r="AQ56" s="107">
        <f t="shared" si="25"/>
        <v>-2.8671846096929337E-2</v>
      </c>
      <c r="AW56" s="981"/>
      <c r="AX56" s="943" t="s">
        <v>860</v>
      </c>
      <c r="AY56" s="160">
        <v>15319</v>
      </c>
      <c r="AZ56" s="161">
        <f>INDEX($BK$16:$BL$19,MATCH($AX56,$BK$16:$BK$19,0),2)</f>
        <v>110</v>
      </c>
      <c r="BA56" s="162">
        <f>AY56/2*AZ56*$BS$13/10^3</f>
        <v>2637.4285684289812</v>
      </c>
      <c r="BB56" s="163">
        <f>SUM(AY55:AY56)</f>
        <v>22933</v>
      </c>
      <c r="BC56" s="163">
        <f>SUM(BA55:BA56)</f>
        <v>4186.6511889432413</v>
      </c>
      <c r="BD56" s="1037"/>
      <c r="BE56" s="178">
        <f t="shared" si="9"/>
        <v>-0.1856793536040825</v>
      </c>
      <c r="BF56" s="181"/>
      <c r="BG56" s="182">
        <f t="shared" si="12"/>
        <v>-0.18567935360408255</v>
      </c>
      <c r="BH56" s="183">
        <f t="shared" si="13"/>
        <v>-0.31959649903575138</v>
      </c>
      <c r="BI56" s="183">
        <f t="shared" si="14"/>
        <v>-0.33217573232203446</v>
      </c>
    </row>
    <row r="57" spans="1:69" ht="13.8" x14ac:dyDescent="0.25">
      <c r="A57" s="981"/>
      <c r="B57" s="159" t="s">
        <v>752</v>
      </c>
      <c r="C57" s="160">
        <v>38709</v>
      </c>
      <c r="D57" s="161">
        <v>6242</v>
      </c>
      <c r="E57" s="162">
        <v>66.099999999999994</v>
      </c>
      <c r="F57" s="161">
        <v>12709</v>
      </c>
      <c r="G57" s="163">
        <f>SUM(C50:C57)</f>
        <v>247447</v>
      </c>
      <c r="H57" s="163">
        <f>SUM(D50:D57)</f>
        <v>45672</v>
      </c>
      <c r="I57" s="163">
        <f>SUM(E50:E57)</f>
        <v>437.29999999999995</v>
      </c>
      <c r="J57" s="163">
        <f>SUM(F50:F57)</f>
        <v>81073</v>
      </c>
      <c r="K57" s="984"/>
      <c r="L57" s="180">
        <f t="shared" si="26"/>
        <v>-0.15543385770078327</v>
      </c>
      <c r="M57" s="181">
        <f t="shared" si="27"/>
        <v>-8.4347953645298512E-2</v>
      </c>
      <c r="N57" s="182">
        <f t="shared" si="28"/>
        <v>-0.16855345911949693</v>
      </c>
      <c r="O57" s="183">
        <f t="shared" si="29"/>
        <v>6.9781144781144777E-2</v>
      </c>
      <c r="P57" s="183">
        <f t="shared" si="30"/>
        <v>-9.0692948513010463E-2</v>
      </c>
      <c r="Q57" s="183">
        <f t="shared" si="31"/>
        <v>9.8386282196195371E-2</v>
      </c>
      <c r="R57" s="183">
        <f t="shared" si="32"/>
        <v>-0.16258138644197642</v>
      </c>
      <c r="S57" s="183">
        <f t="shared" si="33"/>
        <v>-4.0135917502338303E-2</v>
      </c>
      <c r="AL57">
        <f t="shared" si="24"/>
        <v>2019.6153846153854</v>
      </c>
      <c r="AO57">
        <f>AO56+$AO$2</f>
        <v>2019.9166666666631</v>
      </c>
      <c r="AP57" s="107">
        <f t="shared" si="25"/>
        <v>-8.0600919947672697E-2</v>
      </c>
      <c r="AQ57" s="107">
        <f t="shared" si="25"/>
        <v>-0.13481338481338481</v>
      </c>
      <c r="AW57" s="981"/>
      <c r="AX57" s="943" t="s">
        <v>862</v>
      </c>
      <c r="AY57" s="160">
        <v>16164</v>
      </c>
      <c r="AZ57" s="217">
        <f>INDEX($BK$16:$BL$19,MATCH($AX57,$BK$16:$BK$19,0),2)</f>
        <v>3.5</v>
      </c>
      <c r="BA57" s="162">
        <f>AY57/2*AZ57*$BS$13/10^3</f>
        <v>88.547130319627556</v>
      </c>
      <c r="BB57" s="163">
        <f>SUM(AY55:AY57)</f>
        <v>39097</v>
      </c>
      <c r="BC57" s="163">
        <f>SUM(BA55:BA57)</f>
        <v>4275.1983192628686</v>
      </c>
      <c r="BD57" s="1037"/>
      <c r="BE57" s="178">
        <f t="shared" si="9"/>
        <v>-0.29898516783762685</v>
      </c>
      <c r="BF57" s="181"/>
      <c r="BG57" s="182">
        <f t="shared" si="12"/>
        <v>-0.29898516783762685</v>
      </c>
      <c r="BH57" s="183">
        <f t="shared" si="13"/>
        <v>-0.31122386061342777</v>
      </c>
      <c r="BI57" s="183">
        <f t="shared" si="14"/>
        <v>-0.3315202002489897</v>
      </c>
    </row>
    <row r="58" spans="1:69" ht="13.8" x14ac:dyDescent="0.25">
      <c r="A58" s="981"/>
      <c r="B58" s="159" t="s">
        <v>754</v>
      </c>
      <c r="C58" s="160">
        <v>31923</v>
      </c>
      <c r="D58" s="161">
        <v>4535</v>
      </c>
      <c r="E58" s="162">
        <v>54.3</v>
      </c>
      <c r="F58" s="161">
        <v>11360</v>
      </c>
      <c r="G58" s="163">
        <f>SUM(C50:C58)</f>
        <v>279370</v>
      </c>
      <c r="H58" s="163">
        <f>SUM(D50:D58)</f>
        <v>50207</v>
      </c>
      <c r="I58" s="163">
        <f>SUM(E50:E58)</f>
        <v>491.59999999999997</v>
      </c>
      <c r="J58" s="163">
        <f>SUM(F50:F58)</f>
        <v>92433</v>
      </c>
      <c r="K58" s="984"/>
      <c r="L58" s="180">
        <f t="shared" si="26"/>
        <v>-0.13365718627876683</v>
      </c>
      <c r="M58" s="181">
        <f t="shared" si="27"/>
        <v>-0.22025447042640992</v>
      </c>
      <c r="N58" s="182">
        <f t="shared" si="28"/>
        <v>-9.950248756218906E-2</v>
      </c>
      <c r="O58" s="183">
        <f t="shared" si="29"/>
        <v>1.5282867101617661E-2</v>
      </c>
      <c r="P58" s="183">
        <f t="shared" si="30"/>
        <v>-9.5816813658062952E-2</v>
      </c>
      <c r="Q58" s="183">
        <f t="shared" si="31"/>
        <v>5.9286452729075678E-2</v>
      </c>
      <c r="R58" s="183">
        <f t="shared" si="32"/>
        <v>-0.15605150214592281</v>
      </c>
      <c r="S58" s="183">
        <f t="shared" si="33"/>
        <v>-3.3653243005896373E-2</v>
      </c>
      <c r="AL58">
        <f t="shared" si="24"/>
        <v>2019.6923076923085</v>
      </c>
      <c r="AO58">
        <f t="shared" si="4"/>
        <v>2019.9999999999964</v>
      </c>
      <c r="AP58" s="107">
        <f>L63</f>
        <v>-0.13431950154706904</v>
      </c>
      <c r="AQ58" s="107">
        <f t="shared" ref="AP58:AQ65" si="34">M63</f>
        <v>-0.41278026905829596</v>
      </c>
      <c r="AW58" s="981"/>
      <c r="AX58" s="943" t="s">
        <v>864</v>
      </c>
      <c r="AY58" s="160">
        <f>SUM(AY55:AY57)</f>
        <v>39097</v>
      </c>
      <c r="AZ58" s="161"/>
      <c r="BA58" s="162">
        <f>SUM(BA55:BA57)</f>
        <v>4275.1983192628686</v>
      </c>
      <c r="BB58" s="163">
        <f>SUM(AY55:AY57)</f>
        <v>39097</v>
      </c>
      <c r="BC58" s="163">
        <f>SUM(BA55:BA57)</f>
        <v>4275.1983192628686</v>
      </c>
      <c r="BD58" s="1037"/>
      <c r="BE58" s="178">
        <f t="shared" si="9"/>
        <v>-0.31122386061342777</v>
      </c>
      <c r="BF58" s="181"/>
      <c r="BG58" s="182">
        <f t="shared" si="12"/>
        <v>-0.3315202002489897</v>
      </c>
      <c r="BH58" s="183">
        <f t="shared" si="13"/>
        <v>-0.31122386061342777</v>
      </c>
      <c r="BI58" s="183">
        <f t="shared" si="14"/>
        <v>-0.3315202002489897</v>
      </c>
    </row>
    <row r="59" spans="1:69" ht="13.8" x14ac:dyDescent="0.25">
      <c r="A59" s="981"/>
      <c r="B59" s="159" t="s">
        <v>755</v>
      </c>
      <c r="C59" s="160">
        <v>29481</v>
      </c>
      <c r="D59" s="161">
        <v>4511</v>
      </c>
      <c r="E59" s="162">
        <v>54</v>
      </c>
      <c r="F59" s="161">
        <v>11792</v>
      </c>
      <c r="G59" s="163">
        <f>SUM(C50:C59)</f>
        <v>308851</v>
      </c>
      <c r="H59" s="163">
        <f>SUM(D50:D59)</f>
        <v>54718</v>
      </c>
      <c r="I59" s="163">
        <f>SUM(E50:E59)</f>
        <v>545.59999999999991</v>
      </c>
      <c r="J59" s="163">
        <f>SUM(F50:F59)</f>
        <v>104225</v>
      </c>
      <c r="K59" s="984"/>
      <c r="L59" s="180">
        <f t="shared" si="26"/>
        <v>-0.15456969975050902</v>
      </c>
      <c r="M59" s="181">
        <f t="shared" si="27"/>
        <v>-0.15031079299303071</v>
      </c>
      <c r="N59" s="182">
        <f t="shared" si="28"/>
        <v>-0.22857142857142856</v>
      </c>
      <c r="O59" s="183">
        <f t="shared" si="29"/>
        <v>7.0442992011619465E-2</v>
      </c>
      <c r="P59" s="183">
        <f t="shared" si="30"/>
        <v>-0.1017752133222431</v>
      </c>
      <c r="Q59" s="183">
        <f t="shared" si="31"/>
        <v>3.817402193298676E-2</v>
      </c>
      <c r="R59" s="183">
        <f t="shared" si="32"/>
        <v>-0.16383141762452122</v>
      </c>
      <c r="S59" s="183">
        <f t="shared" si="33"/>
        <v>-2.290283871451607E-2</v>
      </c>
      <c r="AL59">
        <f t="shared" si="24"/>
        <v>2019.7692307692316</v>
      </c>
      <c r="AO59">
        <f t="shared" si="4"/>
        <v>2020.0833333333296</v>
      </c>
      <c r="AP59" s="107">
        <f t="shared" si="34"/>
        <v>-0.10738608723852765</v>
      </c>
      <c r="AQ59" s="107">
        <f t="shared" si="34"/>
        <v>-0.15116857284932869</v>
      </c>
      <c r="AW59" s="981"/>
      <c r="AX59" s="943" t="s">
        <v>857</v>
      </c>
      <c r="AY59" s="160">
        <v>489</v>
      </c>
      <c r="AZ59" s="161">
        <f>INDEX($BK$16:$BL$19,MATCH($AX59,$BK$16:$BK$19,0),2)</f>
        <v>130</v>
      </c>
      <c r="BA59" s="162">
        <f>AY59/2*AZ59*$BS$13/10^3</f>
        <v>99.496961049576186</v>
      </c>
      <c r="BB59" s="163">
        <f>SUM(AY59)</f>
        <v>489</v>
      </c>
      <c r="BC59" s="163">
        <f>SUM(BA59)</f>
        <v>99.496961049576186</v>
      </c>
      <c r="BD59" s="1037"/>
      <c r="BE59" s="178">
        <f t="shared" si="9"/>
        <v>-0.59753086419753088</v>
      </c>
      <c r="BF59" s="181"/>
      <c r="BG59" s="182">
        <f t="shared" si="12"/>
        <v>-0.59753086419753088</v>
      </c>
      <c r="BH59" s="183">
        <f t="shared" si="13"/>
        <v>-0.59753086419753088</v>
      </c>
      <c r="BI59" s="183">
        <f t="shared" si="14"/>
        <v>-0.59753086419753088</v>
      </c>
    </row>
    <row r="60" spans="1:69" ht="13.8" x14ac:dyDescent="0.25">
      <c r="A60" s="981"/>
      <c r="B60" s="159" t="s">
        <v>756</v>
      </c>
      <c r="C60" s="160">
        <v>25790</v>
      </c>
      <c r="D60" s="161">
        <v>5251</v>
      </c>
      <c r="E60" s="162">
        <v>50</v>
      </c>
      <c r="F60" s="161">
        <v>10453</v>
      </c>
      <c r="G60" s="163">
        <f>SUM(C50:C60)</f>
        <v>334641</v>
      </c>
      <c r="H60" s="163">
        <f>SUM(D50:D60)</f>
        <v>59969</v>
      </c>
      <c r="I60" s="163">
        <f>SUM(E50:E60)</f>
        <v>595.59999999999991</v>
      </c>
      <c r="J60" s="163">
        <f>SUM(F50:F60)</f>
        <v>114678</v>
      </c>
      <c r="K60" s="984"/>
      <c r="L60" s="180">
        <f t="shared" si="26"/>
        <v>-4.1335216712512078E-2</v>
      </c>
      <c r="M60" s="181">
        <f t="shared" si="27"/>
        <v>-2.8671846096929337E-2</v>
      </c>
      <c r="N60" s="182">
        <f t="shared" si="28"/>
        <v>6.3829787234042548E-2</v>
      </c>
      <c r="O60" s="183">
        <f t="shared" si="29"/>
        <v>0.14842891672159964</v>
      </c>
      <c r="P60" s="183">
        <f t="shared" si="30"/>
        <v>-9.738960156224713E-2</v>
      </c>
      <c r="Q60" s="183">
        <f t="shared" si="31"/>
        <v>3.1955534140969161E-2</v>
      </c>
      <c r="R60" s="183">
        <f t="shared" si="32"/>
        <v>-0.1485346676197285</v>
      </c>
      <c r="S60" s="183">
        <f t="shared" si="33"/>
        <v>-9.4324954651464118E-3</v>
      </c>
      <c r="AL60">
        <f t="shared" si="24"/>
        <v>2019.8461538461547</v>
      </c>
      <c r="AO60">
        <f t="shared" si="4"/>
        <v>2020.1666666666629</v>
      </c>
      <c r="AP60" s="107">
        <f t="shared" si="34"/>
        <v>-0.58902747650036158</v>
      </c>
      <c r="AQ60" s="107">
        <f t="shared" si="34"/>
        <v>-0.49175934610746347</v>
      </c>
      <c r="AW60" s="981"/>
      <c r="AX60" s="943" t="s">
        <v>860</v>
      </c>
      <c r="AY60" s="160">
        <v>975</v>
      </c>
      <c r="AZ60" s="161">
        <f>INDEX($BK$16:$BL$19,MATCH($AX60,$BK$16:$BK$19,0),2)</f>
        <v>110</v>
      </c>
      <c r="BA60" s="162">
        <f>AY60/2*AZ60*$BS$13/10^3</f>
        <v>167.86297109591072</v>
      </c>
      <c r="BB60" s="163">
        <f>SUM(AY59:AY60)</f>
        <v>1464</v>
      </c>
      <c r="BC60" s="163">
        <f>SUM(BA59:BA60)</f>
        <v>267.35993214548694</v>
      </c>
      <c r="BD60" s="1037"/>
      <c r="BE60" s="178">
        <f t="shared" si="9"/>
        <v>-0.43015780245470486</v>
      </c>
      <c r="BF60" s="181"/>
      <c r="BG60" s="182">
        <f t="shared" si="12"/>
        <v>-0.43015780245470497</v>
      </c>
      <c r="BH60" s="183">
        <f t="shared" si="13"/>
        <v>-0.49965823650034175</v>
      </c>
      <c r="BI60" s="183">
        <f t="shared" si="14"/>
        <v>-0.50652877282181652</v>
      </c>
    </row>
    <row r="61" spans="1:69" ht="14.4" thickBot="1" x14ac:dyDescent="0.3">
      <c r="A61" s="987"/>
      <c r="B61" s="167" t="s">
        <v>758</v>
      </c>
      <c r="C61" s="168">
        <v>21787</v>
      </c>
      <c r="D61" s="169">
        <v>2689</v>
      </c>
      <c r="E61" s="170">
        <v>58</v>
      </c>
      <c r="F61" s="171">
        <v>9476</v>
      </c>
      <c r="G61" s="163">
        <f>SUM(C50:C61)</f>
        <v>356428</v>
      </c>
      <c r="H61" s="163">
        <f>SUM(D50:D61)</f>
        <v>62658</v>
      </c>
      <c r="I61" s="163">
        <f>SUM(E50:E61)</f>
        <v>653.59999999999991</v>
      </c>
      <c r="J61" s="163">
        <f>SUM(F50:F61)</f>
        <v>124154</v>
      </c>
      <c r="K61" s="984"/>
      <c r="L61" s="184">
        <f t="shared" si="26"/>
        <v>-8.0600919947672697E-2</v>
      </c>
      <c r="M61" s="185">
        <f t="shared" si="27"/>
        <v>-0.13481338481338481</v>
      </c>
      <c r="N61" s="186">
        <f t="shared" si="28"/>
        <v>7.407407407407407E-2</v>
      </c>
      <c r="O61" s="187">
        <f t="shared" si="29"/>
        <v>1.8596151778996022E-2</v>
      </c>
      <c r="P61" s="187">
        <f t="shared" si="30"/>
        <v>-9.638099101268871E-2</v>
      </c>
      <c r="Q61" s="187">
        <f t="shared" si="31"/>
        <v>2.3489055864096699E-2</v>
      </c>
      <c r="R61" s="187">
        <f t="shared" si="32"/>
        <v>-0.13258128732581301</v>
      </c>
      <c r="S61" s="187">
        <f t="shared" si="33"/>
        <v>-7.3477089379802192E-3</v>
      </c>
      <c r="AL61">
        <f t="shared" si="24"/>
        <v>2019.9230769230778</v>
      </c>
      <c r="AO61">
        <f t="shared" si="4"/>
        <v>2020.2499999999961</v>
      </c>
      <c r="AP61" s="107">
        <f t="shared" si="34"/>
        <v>-0.88588163234055584</v>
      </c>
      <c r="AQ61" s="107">
        <f t="shared" si="34"/>
        <v>-0.63319386331938632</v>
      </c>
      <c r="AW61" s="981"/>
      <c r="AX61" s="943" t="s">
        <v>868</v>
      </c>
      <c r="AY61" s="160">
        <f>AY60+AY59</f>
        <v>1464</v>
      </c>
      <c r="AZ61" s="161"/>
      <c r="BA61" s="162">
        <f>SUM(BA59:BA60)</f>
        <v>267.35993214548694</v>
      </c>
      <c r="BB61" s="163">
        <f>SUM(AY61)</f>
        <v>1464</v>
      </c>
      <c r="BC61" s="163">
        <f>SUM(BA61)</f>
        <v>267.35993214548694</v>
      </c>
      <c r="BD61" s="1037"/>
      <c r="BE61" s="178">
        <f t="shared" si="9"/>
        <v>-0.49965823650034175</v>
      </c>
      <c r="BF61" s="181"/>
      <c r="BG61" s="182">
        <f t="shared" si="12"/>
        <v>-0.50652877282181652</v>
      </c>
      <c r="BH61" s="183">
        <f t="shared" si="13"/>
        <v>-0.49965823650034175</v>
      </c>
      <c r="BI61" s="183">
        <f t="shared" si="14"/>
        <v>-0.50652877282181652</v>
      </c>
    </row>
    <row r="62" spans="1:69" ht="14.4" thickBot="1" x14ac:dyDescent="0.3">
      <c r="A62" s="172" t="s">
        <v>3</v>
      </c>
      <c r="B62" s="188">
        <v>2019</v>
      </c>
      <c r="C62" s="174">
        <f>SUM(C50:C61)</f>
        <v>356428</v>
      </c>
      <c r="D62" s="174">
        <f>SUM(D50:D61)</f>
        <v>62658</v>
      </c>
      <c r="E62" s="174">
        <f>SUM(E50:E61)</f>
        <v>653.59999999999991</v>
      </c>
      <c r="F62" s="174">
        <f>SUM(F50:F61)</f>
        <v>124154</v>
      </c>
      <c r="G62" s="175">
        <f>G54</f>
        <v>138592</v>
      </c>
      <c r="H62" s="175">
        <f>H54</f>
        <v>26979</v>
      </c>
      <c r="I62" s="175">
        <f>I54</f>
        <v>268</v>
      </c>
      <c r="J62" s="175">
        <f>J54</f>
        <v>44749</v>
      </c>
      <c r="K62" s="985"/>
      <c r="L62" s="189">
        <f t="shared" si="26"/>
        <v>-9.638099101268871E-2</v>
      </c>
      <c r="M62" s="189">
        <f t="shared" si="27"/>
        <v>2.3489055864096699E-2</v>
      </c>
      <c r="N62" s="190">
        <f t="shared" si="28"/>
        <v>-0.13258128732581301</v>
      </c>
      <c r="O62" s="191">
        <f t="shared" si="29"/>
        <v>-7.3477089379802192E-3</v>
      </c>
      <c r="P62" s="191">
        <f t="shared" si="30"/>
        <v>-4.0513970812217887E-2</v>
      </c>
      <c r="Q62" s="191">
        <f t="shared" si="31"/>
        <v>0.2358680714612918</v>
      </c>
      <c r="R62" s="191">
        <f t="shared" si="32"/>
        <v>-0.12246234446627367</v>
      </c>
      <c r="S62" s="191">
        <f t="shared" si="33"/>
        <v>-7.8935452000658657E-2</v>
      </c>
      <c r="AL62">
        <f t="shared" si="24"/>
        <v>2020.0000000000009</v>
      </c>
      <c r="AO62">
        <f t="shared" si="4"/>
        <v>2020.3333333333294</v>
      </c>
      <c r="AP62" s="107">
        <f t="shared" si="34"/>
        <v>-0.75645613695715253</v>
      </c>
      <c r="AQ62" s="107">
        <f t="shared" si="34"/>
        <v>-0.42498514557338085</v>
      </c>
      <c r="AW62" s="981"/>
      <c r="AX62" s="948" t="s">
        <v>857</v>
      </c>
      <c r="AY62" s="239">
        <f>AY55+AY59</f>
        <v>8103</v>
      </c>
      <c r="AZ62" s="161">
        <f>INDEX($BK$16:$BL$19,MATCH($AX62,$BK$16:$BK$19,0),2)</f>
        <v>130</v>
      </c>
      <c r="BA62" s="162">
        <f>AY62/2*AZ62*$BS$13/10^3</f>
        <v>1648.7195815638363</v>
      </c>
      <c r="BB62" s="163">
        <f>SUM(AY62)</f>
        <v>8103</v>
      </c>
      <c r="BC62" s="163">
        <f>SUM(BA62)</f>
        <v>1648.7195815638363</v>
      </c>
      <c r="BD62" s="1037"/>
      <c r="BE62" s="178">
        <f t="shared" si="9"/>
        <v>-0.49695803327539112</v>
      </c>
      <c r="BF62" s="181"/>
      <c r="BG62" s="182">
        <f t="shared" si="12"/>
        <v>-0.49695803327539101</v>
      </c>
      <c r="BH62" s="183">
        <f t="shared" si="13"/>
        <v>-0.49695803327539112</v>
      </c>
      <c r="BI62" s="183">
        <f t="shared" si="14"/>
        <v>-0.49695803327539101</v>
      </c>
    </row>
    <row r="63" spans="1:69" ht="14.25" customHeight="1" x14ac:dyDescent="0.25">
      <c r="A63" s="981">
        <v>2020</v>
      </c>
      <c r="B63" s="151" t="s">
        <v>710</v>
      </c>
      <c r="C63" s="152">
        <v>20424</v>
      </c>
      <c r="D63" s="153">
        <v>2619</v>
      </c>
      <c r="E63" s="154">
        <v>43</v>
      </c>
      <c r="F63" s="153">
        <v>9112</v>
      </c>
      <c r="G63" s="155">
        <f>C63</f>
        <v>20424</v>
      </c>
      <c r="H63" s="155">
        <f>D63</f>
        <v>2619</v>
      </c>
      <c r="I63" s="155">
        <f>E63</f>
        <v>43</v>
      </c>
      <c r="J63" s="155">
        <f>F63</f>
        <v>9112</v>
      </c>
      <c r="K63" s="983" t="s">
        <v>872</v>
      </c>
      <c r="L63" s="178">
        <f t="shared" si="26"/>
        <v>-0.13431950154706904</v>
      </c>
      <c r="M63" s="178">
        <f t="shared" si="27"/>
        <v>-0.41278026905829596</v>
      </c>
      <c r="N63" s="178">
        <f t="shared" si="28"/>
        <v>2.3809523809523808E-2</v>
      </c>
      <c r="O63" s="179">
        <f t="shared" si="29"/>
        <v>1.8441935844417123E-2</v>
      </c>
      <c r="P63" s="179">
        <f t="shared" si="30"/>
        <v>-0.13431950154706904</v>
      </c>
      <c r="Q63" s="179">
        <f t="shared" si="31"/>
        <v>-0.41278026905829596</v>
      </c>
      <c r="R63" s="179">
        <f t="shared" si="32"/>
        <v>2.3809523809523808E-2</v>
      </c>
      <c r="S63" s="179">
        <f t="shared" si="33"/>
        <v>1.8441935844417123E-2</v>
      </c>
      <c r="AL63">
        <f t="shared" si="24"/>
        <v>2020.076923076924</v>
      </c>
      <c r="AO63">
        <f t="shared" si="4"/>
        <v>2020.4166666666626</v>
      </c>
      <c r="AP63" s="107">
        <f t="shared" si="34"/>
        <v>-0.50502186698838791</v>
      </c>
      <c r="AQ63" s="107">
        <f t="shared" si="34"/>
        <v>-0.34775615248512143</v>
      </c>
      <c r="AW63" s="981"/>
      <c r="AX63" s="948" t="s">
        <v>860</v>
      </c>
      <c r="AY63" s="239">
        <f>AY56+AY60</f>
        <v>16294</v>
      </c>
      <c r="AZ63" s="161">
        <f>INDEX($BK$16:$BL$19,MATCH($AX63,$BK$16:$BK$19,0),2)</f>
        <v>110</v>
      </c>
      <c r="BA63" s="162">
        <f>AY63/2*AZ63*$BS$13/10^3</f>
        <v>2805.291539524892</v>
      </c>
      <c r="BB63" s="163">
        <f>SUM(AY62:AY63)</f>
        <v>24397</v>
      </c>
      <c r="BC63" s="163">
        <f>SUM(BA62:BA63)</f>
        <v>4454.011121088728</v>
      </c>
      <c r="BD63" s="1037"/>
      <c r="BE63" s="178">
        <f t="shared" si="9"/>
        <v>-0.20606149198460263</v>
      </c>
      <c r="BF63" s="181"/>
      <c r="BG63" s="182">
        <f t="shared" si="12"/>
        <v>-0.20606149198460263</v>
      </c>
      <c r="BH63" s="183">
        <f t="shared" si="13"/>
        <v>-0.3339794163413502</v>
      </c>
      <c r="BI63" s="183">
        <f t="shared" si="14"/>
        <v>-0.34604522046066133</v>
      </c>
    </row>
    <row r="64" spans="1:69" ht="14.4" thickBot="1" x14ac:dyDescent="0.3">
      <c r="A64" s="981"/>
      <c r="B64" s="159" t="s">
        <v>715</v>
      </c>
      <c r="C64" s="160">
        <v>22019</v>
      </c>
      <c r="D64" s="161">
        <v>3414</v>
      </c>
      <c r="E64" s="162">
        <v>45</v>
      </c>
      <c r="F64" s="161">
        <v>9970</v>
      </c>
      <c r="G64" s="163">
        <f>SUM(C63:C64)</f>
        <v>42443</v>
      </c>
      <c r="H64" s="163">
        <f>SUM(D63:D64)</f>
        <v>6033</v>
      </c>
      <c r="I64" s="163">
        <f>SUM(E63:E64)</f>
        <v>88</v>
      </c>
      <c r="J64" s="163">
        <f>SUM(F63:F64)</f>
        <v>19082</v>
      </c>
      <c r="K64" s="984"/>
      <c r="L64" s="180">
        <f t="shared" si="26"/>
        <v>-0.10738608723852765</v>
      </c>
      <c r="M64" s="181">
        <f t="shared" si="27"/>
        <v>-0.15116857284932869</v>
      </c>
      <c r="N64" s="182">
        <f t="shared" si="28"/>
        <v>-0.13461538461538461</v>
      </c>
      <c r="O64" s="183">
        <f t="shared" si="29"/>
        <v>0.30599947602829447</v>
      </c>
      <c r="P64" s="183">
        <f t="shared" si="30"/>
        <v>-0.12055282733470089</v>
      </c>
      <c r="Q64" s="183">
        <f t="shared" si="31"/>
        <v>-0.2887290733317614</v>
      </c>
      <c r="R64" s="183">
        <f t="shared" si="32"/>
        <v>-6.3829787234042548E-2</v>
      </c>
      <c r="S64" s="183">
        <f t="shared" si="33"/>
        <v>0.15083529340811772</v>
      </c>
      <c r="AL64">
        <f t="shared" si="24"/>
        <v>2020.1538461538471</v>
      </c>
      <c r="AO64">
        <f t="shared" si="4"/>
        <v>2020.4999999999959</v>
      </c>
      <c r="AP64" s="107">
        <f>L69</f>
        <v>-0.44959584763861482</v>
      </c>
      <c r="AQ64" s="107">
        <f t="shared" si="34"/>
        <v>-8.2451074751363485E-2</v>
      </c>
      <c r="AW64" s="982"/>
      <c r="AX64" s="948" t="s">
        <v>862</v>
      </c>
      <c r="AY64" s="239">
        <f>AY57</f>
        <v>16164</v>
      </c>
      <c r="AZ64" s="217">
        <f>INDEX($BK$16:$BL$19,MATCH($AX64,$BK$16:$BK$19,0),2)</f>
        <v>3.5</v>
      </c>
      <c r="BA64" s="162">
        <f>AY64/2*AZ64*$BS$13/10^3</f>
        <v>88.547130319627556</v>
      </c>
      <c r="BB64" s="163">
        <f>SUM(AY62:AY64)</f>
        <v>40561</v>
      </c>
      <c r="BC64" s="163">
        <f>SUM(BA62:BA64)</f>
        <v>4542.5582514083553</v>
      </c>
      <c r="BD64" s="1037"/>
      <c r="BE64" s="178">
        <f t="shared" si="9"/>
        <v>-0.29898516783762685</v>
      </c>
      <c r="BF64" s="181"/>
      <c r="BG64" s="182">
        <f t="shared" si="12"/>
        <v>-0.29898516783762685</v>
      </c>
      <c r="BH64" s="183">
        <f t="shared" si="13"/>
        <v>-0.3204610564760676</v>
      </c>
      <c r="BI64" s="183">
        <f t="shared" si="14"/>
        <v>-0.34518834918336483</v>
      </c>
    </row>
    <row r="65" spans="1:71" ht="14.4" thickBot="1" x14ac:dyDescent="0.3">
      <c r="A65" s="981"/>
      <c r="B65" s="159" t="s">
        <v>718</v>
      </c>
      <c r="C65" s="160">
        <v>13641</v>
      </c>
      <c r="D65" s="161">
        <v>3793</v>
      </c>
      <c r="E65" s="162">
        <v>42</v>
      </c>
      <c r="F65" s="161">
        <v>6839</v>
      </c>
      <c r="G65" s="163">
        <f>SUM(C63:C65)</f>
        <v>56084</v>
      </c>
      <c r="H65" s="163">
        <f>SUM(D63:D65)</f>
        <v>9826</v>
      </c>
      <c r="I65" s="163">
        <f>SUM(E63:E65)</f>
        <v>130</v>
      </c>
      <c r="J65" s="163">
        <f>SUM(F63:F65)</f>
        <v>25921</v>
      </c>
      <c r="K65" s="984"/>
      <c r="L65" s="180">
        <f t="shared" si="26"/>
        <v>-0.58902747650036158</v>
      </c>
      <c r="M65" s="181">
        <f t="shared" si="27"/>
        <v>-0.49175934610746347</v>
      </c>
      <c r="N65" s="182">
        <f t="shared" si="28"/>
        <v>-0.3</v>
      </c>
      <c r="O65" s="183">
        <f t="shared" si="29"/>
        <v>-0.21813193094775352</v>
      </c>
      <c r="P65" s="183">
        <f t="shared" si="30"/>
        <v>-0.31145568610118718</v>
      </c>
      <c r="Q65" s="183">
        <f t="shared" si="31"/>
        <v>-0.38375666353088744</v>
      </c>
      <c r="R65" s="183">
        <f t="shared" si="32"/>
        <v>-0.15584415584415584</v>
      </c>
      <c r="S65" s="183">
        <f t="shared" si="33"/>
        <v>2.341282375236892E-2</v>
      </c>
      <c r="AL65">
        <f t="shared" si="24"/>
        <v>2020.2307692307702</v>
      </c>
      <c r="AO65">
        <f t="shared" si="4"/>
        <v>2020.5833333333292</v>
      </c>
      <c r="AP65" s="107">
        <f t="shared" si="34"/>
        <v>-0.56351236146632566</v>
      </c>
      <c r="AQ65" s="107">
        <f t="shared" si="34"/>
        <v>-0.26497917334187759</v>
      </c>
      <c r="AW65" s="172" t="s">
        <v>3</v>
      </c>
      <c r="AX65" s="188">
        <f>AW55</f>
        <v>2020</v>
      </c>
      <c r="AY65" s="174">
        <f>SUM(AY62:AY64)</f>
        <v>40561</v>
      </c>
      <c r="AZ65" s="174"/>
      <c r="BA65" s="174">
        <f>SUM(BA62:BA64)</f>
        <v>4542.5582514083553</v>
      </c>
      <c r="BB65" s="175">
        <f>BB64</f>
        <v>40561</v>
      </c>
      <c r="BC65" s="175">
        <f>BC64</f>
        <v>4542.5582514083553</v>
      </c>
      <c r="BD65" s="1038"/>
      <c r="BE65" s="189">
        <f t="shared" si="9"/>
        <v>-0.3204610564760676</v>
      </c>
      <c r="BF65" s="189"/>
      <c r="BG65" s="190">
        <f t="shared" si="12"/>
        <v>-0.34518834918336483</v>
      </c>
      <c r="BH65" s="191">
        <f t="shared" si="13"/>
        <v>-0.3204610564760676</v>
      </c>
      <c r="BI65" s="191">
        <f t="shared" si="14"/>
        <v>-0.34518834918336483</v>
      </c>
    </row>
    <row r="66" spans="1:71" ht="13.8" x14ac:dyDescent="0.25">
      <c r="A66" s="981"/>
      <c r="B66" s="159" t="s">
        <v>725</v>
      </c>
      <c r="C66" s="160">
        <v>2981</v>
      </c>
      <c r="D66" s="161">
        <v>1578</v>
      </c>
      <c r="E66" s="162">
        <v>30.2</v>
      </c>
      <c r="F66" s="161">
        <v>1295</v>
      </c>
      <c r="G66" s="163">
        <f>SUM(C63:C66)</f>
        <v>59065</v>
      </c>
      <c r="H66" s="163">
        <f>SUM(D63:D66)</f>
        <v>11404</v>
      </c>
      <c r="I66" s="163">
        <f>SUM(E63:E66)</f>
        <v>160.19999999999999</v>
      </c>
      <c r="J66" s="163">
        <f>SUM(F63:F66)</f>
        <v>27216</v>
      </c>
      <c r="K66" s="984"/>
      <c r="L66" s="180">
        <f t="shared" si="26"/>
        <v>-0.88588163234055584</v>
      </c>
      <c r="M66" s="181">
        <f t="shared" si="27"/>
        <v>-0.63319386331938632</v>
      </c>
      <c r="N66" s="182">
        <f t="shared" si="28"/>
        <v>-0.47110332749562173</v>
      </c>
      <c r="O66" s="183">
        <f t="shared" si="29"/>
        <v>-0.85940723048528933</v>
      </c>
      <c r="P66" s="183">
        <f t="shared" si="30"/>
        <v>-0.45094120381129443</v>
      </c>
      <c r="Q66" s="183">
        <f t="shared" si="31"/>
        <v>-0.43675606262656197</v>
      </c>
      <c r="R66" s="183">
        <f t="shared" si="32"/>
        <v>-0.24111795357650406</v>
      </c>
      <c r="S66" s="183">
        <f t="shared" si="33"/>
        <v>-0.21202119343350995</v>
      </c>
      <c r="AL66">
        <f t="shared" si="24"/>
        <v>2020.3076923076933</v>
      </c>
      <c r="AO66">
        <f t="shared" si="4"/>
        <v>2020.6666666666624</v>
      </c>
      <c r="AP66" s="107">
        <f t="shared" ref="AP66:AP69" si="35">L71</f>
        <v>-0.51708799298311559</v>
      </c>
      <c r="AQ66" s="107">
        <f t="shared" ref="AQ66:AQ69" si="36">M71</f>
        <v>-0.22183020948180815</v>
      </c>
      <c r="AW66" s="986">
        <v>2021</v>
      </c>
      <c r="AX66" s="939" t="s">
        <v>857</v>
      </c>
      <c r="AY66" s="152">
        <v>16047</v>
      </c>
      <c r="AZ66" s="153">
        <f>INDEX($BK$16:$BL$19,MATCH($AX66,$BK$16:$BK$19,0),2)</f>
        <v>130</v>
      </c>
      <c r="BA66" s="154">
        <f>AY66/2*AZ66*$BS$13/10^3</f>
        <v>3265.0873905164603</v>
      </c>
      <c r="BB66" s="155">
        <f>AY66</f>
        <v>16047</v>
      </c>
      <c r="BC66" s="155">
        <f>BA66</f>
        <v>3265.0873905164603</v>
      </c>
      <c r="BD66" s="1075" t="str">
        <f>"Milli áranna "&amp; AW55&amp;" og "&amp; AW66</f>
        <v>Milli áranna 2020 og 2021</v>
      </c>
      <c r="BE66" s="178">
        <f>(AY66-AY55)/AY55</f>
        <v>1.1075650118203311</v>
      </c>
      <c r="BF66" s="178"/>
      <c r="BG66" s="178">
        <f t="shared" ref="BG66:BG76" si="37">(BA66-BA55)/BA55</f>
        <v>1.1075650118203311</v>
      </c>
      <c r="BH66" s="179">
        <f t="shared" ref="BH66:BH76" si="38">(BB66-BB55)/BB55</f>
        <v>1.1075650118203311</v>
      </c>
      <c r="BI66" s="179">
        <f t="shared" ref="BI66:BI76" si="39">(BC66-BC55)/BC55</f>
        <v>1.1075650118203311</v>
      </c>
    </row>
    <row r="67" spans="1:71" ht="13.8" x14ac:dyDescent="0.25">
      <c r="A67" s="981"/>
      <c r="B67" s="159" t="s">
        <v>730</v>
      </c>
      <c r="C67" s="160">
        <v>7554</v>
      </c>
      <c r="D67" s="161">
        <v>3871</v>
      </c>
      <c r="E67" s="162">
        <v>36.799999999999997</v>
      </c>
      <c r="F67" s="161">
        <v>1713</v>
      </c>
      <c r="G67" s="163">
        <f>SUM(C63:C67)</f>
        <v>66619</v>
      </c>
      <c r="H67" s="163">
        <f>SUM(D63:D67)</f>
        <v>15275</v>
      </c>
      <c r="I67" s="163">
        <f>SUM(E63:E67)</f>
        <v>197</v>
      </c>
      <c r="J67" s="163">
        <f>SUM(F63:F67)</f>
        <v>28929</v>
      </c>
      <c r="K67" s="984"/>
      <c r="L67" s="180">
        <f t="shared" si="26"/>
        <v>-0.75645613695715253</v>
      </c>
      <c r="M67" s="181">
        <f t="shared" si="27"/>
        <v>-0.42498514557338085</v>
      </c>
      <c r="N67" s="182">
        <f t="shared" si="28"/>
        <v>-0.35325131810193328</v>
      </c>
      <c r="O67" s="183">
        <f t="shared" si="29"/>
        <v>-0.8322233104799216</v>
      </c>
      <c r="P67" s="183">
        <f t="shared" si="30"/>
        <v>-0.51931568921727089</v>
      </c>
      <c r="Q67" s="183">
        <f t="shared" si="31"/>
        <v>-0.43381889617850922</v>
      </c>
      <c r="R67" s="183">
        <f t="shared" si="32"/>
        <v>-0.26492537313432835</v>
      </c>
      <c r="S67" s="183">
        <f t="shared" si="33"/>
        <v>-0.35352745312744421</v>
      </c>
      <c r="AL67">
        <f t="shared" si="24"/>
        <v>2020.3846153846164</v>
      </c>
      <c r="AO67">
        <f t="shared" si="4"/>
        <v>2020.7499999999957</v>
      </c>
      <c r="AP67" s="107">
        <f t="shared" si="35"/>
        <v>-0.70960957905091415</v>
      </c>
      <c r="AQ67" s="107">
        <f t="shared" si="36"/>
        <v>-0.39414763910441142</v>
      </c>
      <c r="AW67" s="981"/>
      <c r="AX67" s="943" t="s">
        <v>860</v>
      </c>
      <c r="AY67" s="160">
        <v>17036</v>
      </c>
      <c r="AZ67" s="161">
        <f>INDEX($BK$16:$BL$19,MATCH($AX67,$BK$16:$BK$19,0),2)</f>
        <v>110</v>
      </c>
      <c r="BA67" s="162">
        <f>AY67/2*AZ67*$BS$13/10^3</f>
        <v>2933.0395647076261</v>
      </c>
      <c r="BB67" s="163">
        <f>SUM(AY66:AY67)</f>
        <v>33083</v>
      </c>
      <c r="BC67" s="163">
        <f>SUM(BA66:BA67)</f>
        <v>6198.1269552240865</v>
      </c>
      <c r="BD67" s="1037"/>
      <c r="BE67" s="178">
        <f t="shared" ref="BE67:BE76" si="40">(AY67-AY56)/AY56</f>
        <v>0.1120830341406097</v>
      </c>
      <c r="BF67" s="181"/>
      <c r="BG67" s="182">
        <f t="shared" si="37"/>
        <v>0.11208303414060973</v>
      </c>
      <c r="BH67" s="183">
        <f t="shared" si="38"/>
        <v>0.44259364234945275</v>
      </c>
      <c r="BI67" s="183">
        <f t="shared" si="39"/>
        <v>0.48044980952630179</v>
      </c>
    </row>
    <row r="68" spans="1:71" ht="13.8" x14ac:dyDescent="0.25">
      <c r="A68" s="981"/>
      <c r="B68" s="159" t="s">
        <v>735</v>
      </c>
      <c r="C68" s="160">
        <v>16411</v>
      </c>
      <c r="D68" s="161">
        <v>4055</v>
      </c>
      <c r="E68" s="162">
        <v>40</v>
      </c>
      <c r="F68" s="161">
        <v>2603</v>
      </c>
      <c r="G68" s="163">
        <f>SUM(C63:C68)</f>
        <v>83030</v>
      </c>
      <c r="H68" s="163">
        <f>SUM(D63:D68)</f>
        <v>19330</v>
      </c>
      <c r="I68" s="163">
        <f>SUM(E63:E68)</f>
        <v>237</v>
      </c>
      <c r="J68" s="163">
        <f>SUM(F63:F68)</f>
        <v>31532</v>
      </c>
      <c r="K68" s="984"/>
      <c r="L68" s="180">
        <f t="shared" si="26"/>
        <v>-0.50502186698838791</v>
      </c>
      <c r="M68" s="181">
        <f t="shared" si="27"/>
        <v>-0.34775615248512143</v>
      </c>
      <c r="N68" s="182">
        <f t="shared" si="28"/>
        <v>-8.4668192219679694E-2</v>
      </c>
      <c r="O68" s="183">
        <f t="shared" si="29"/>
        <v>-0.76946240368435037</v>
      </c>
      <c r="P68" s="183">
        <f t="shared" si="30"/>
        <v>-0.51655632995045042</v>
      </c>
      <c r="Q68" s="183">
        <f t="shared" si="31"/>
        <v>-0.41770092782262924</v>
      </c>
      <c r="R68" s="183">
        <f t="shared" si="32"/>
        <v>-0.23965351299326274</v>
      </c>
      <c r="S68" s="183">
        <f t="shared" si="33"/>
        <v>-0.43733047822983584</v>
      </c>
      <c r="AL68">
        <f t="shared" si="24"/>
        <v>2020.4615384615395</v>
      </c>
      <c r="AO68">
        <f t="shared" si="4"/>
        <v>2020.8333333333289</v>
      </c>
      <c r="AP68" s="107">
        <f t="shared" si="35"/>
        <v>-0.70383869716944547</v>
      </c>
      <c r="AQ68" s="107">
        <f t="shared" si="36"/>
        <v>-0.56636831079794325</v>
      </c>
      <c r="AW68" s="981"/>
      <c r="AX68" s="943" t="s">
        <v>862</v>
      </c>
      <c r="AY68" s="160">
        <v>13614</v>
      </c>
      <c r="AZ68" s="217">
        <f>INDEX($BK$16:$BL$19,MATCH($AX68,$BK$16:$BK$19,0),2)</f>
        <v>3.5</v>
      </c>
      <c r="BA68" s="162">
        <f>AY68/2*AZ68*$BS$13/10^3</f>
        <v>74.578113843813995</v>
      </c>
      <c r="BB68" s="163">
        <f>SUM(AY66:AY68)</f>
        <v>46697</v>
      </c>
      <c r="BC68" s="163">
        <f>SUM(BA66:BA68)</f>
        <v>6272.7050690679007</v>
      </c>
      <c r="BD68" s="1037"/>
      <c r="BE68" s="178">
        <f t="shared" si="40"/>
        <v>-0.15775798069784708</v>
      </c>
      <c r="BF68" s="181"/>
      <c r="BG68" s="182">
        <f t="shared" si="37"/>
        <v>-0.15775798069784716</v>
      </c>
      <c r="BH68" s="183">
        <f t="shared" si="38"/>
        <v>0.19438831623909764</v>
      </c>
      <c r="BI68" s="183">
        <f t="shared" si="39"/>
        <v>0.46723136580701197</v>
      </c>
      <c r="BQ68" t="s">
        <v>873</v>
      </c>
      <c r="BR68" t="s">
        <v>874</v>
      </c>
    </row>
    <row r="69" spans="1:71" ht="13.8" x14ac:dyDescent="0.25">
      <c r="A69" s="981"/>
      <c r="B69" s="159" t="s">
        <v>740</v>
      </c>
      <c r="C69" s="160">
        <v>20360</v>
      </c>
      <c r="D69" s="161">
        <v>5720</v>
      </c>
      <c r="E69" s="162">
        <v>43.8</v>
      </c>
      <c r="F69" s="161">
        <v>3221</v>
      </c>
      <c r="G69" s="163">
        <f>SUM(C63:C69)</f>
        <v>103390</v>
      </c>
      <c r="H69" s="163">
        <f>SUM(D63:D69)</f>
        <v>25050</v>
      </c>
      <c r="I69" s="163">
        <f>SUM(E63:E69)</f>
        <v>280.8</v>
      </c>
      <c r="J69" s="163">
        <f>SUM(F63:F69)</f>
        <v>34753</v>
      </c>
      <c r="K69" s="984"/>
      <c r="L69" s="180">
        <f t="shared" si="26"/>
        <v>-0.44959584763861482</v>
      </c>
      <c r="M69" s="181">
        <f t="shared" si="27"/>
        <v>-8.2451074751363485E-2</v>
      </c>
      <c r="N69" s="182">
        <f t="shared" si="28"/>
        <v>-0.26386554621848746</v>
      </c>
      <c r="O69" s="183">
        <f t="shared" si="29"/>
        <v>-0.7386400519311912</v>
      </c>
      <c r="P69" s="183">
        <f t="shared" si="30"/>
        <v>-0.50469008996924369</v>
      </c>
      <c r="Q69" s="183">
        <f t="shared" si="31"/>
        <v>-0.36469693127060615</v>
      </c>
      <c r="R69" s="183">
        <f t="shared" si="32"/>
        <v>-0.24353448275862064</v>
      </c>
      <c r="S69" s="183">
        <f t="shared" si="33"/>
        <v>-0.49164765081036804</v>
      </c>
      <c r="AL69">
        <f t="shared" si="24"/>
        <v>2020.5384615384626</v>
      </c>
      <c r="AO69">
        <f t="shared" si="4"/>
        <v>2020.9166666666622</v>
      </c>
      <c r="AP69" s="107">
        <f t="shared" si="35"/>
        <v>-0.43484646807729382</v>
      </c>
      <c r="AQ69" s="107">
        <f t="shared" si="36"/>
        <v>-0.11342506507995537</v>
      </c>
      <c r="AW69" s="981"/>
      <c r="AX69" s="943" t="s">
        <v>864</v>
      </c>
      <c r="AY69" s="160">
        <f>SUM(AY66:AY68)</f>
        <v>46697</v>
      </c>
      <c r="AZ69" s="161"/>
      <c r="BA69" s="162">
        <f>SUM(BA66:BA68)</f>
        <v>6272.7050690679007</v>
      </c>
      <c r="BB69" s="163">
        <f>SUM(AY66:AY68)</f>
        <v>46697</v>
      </c>
      <c r="BC69" s="163">
        <f>SUM(BA66:BA68)</f>
        <v>6272.7050690679007</v>
      </c>
      <c r="BD69" s="1037"/>
      <c r="BE69" s="178">
        <f t="shared" si="40"/>
        <v>0.19438831623909764</v>
      </c>
      <c r="BF69" s="181"/>
      <c r="BG69" s="182">
        <f t="shared" si="37"/>
        <v>0.46723136580701197</v>
      </c>
      <c r="BH69" s="183">
        <f t="shared" si="38"/>
        <v>0.19438831623909764</v>
      </c>
      <c r="BI69" s="183">
        <f t="shared" si="39"/>
        <v>0.46723136580701197</v>
      </c>
      <c r="BO69">
        <f>AY62/2*AZ62</f>
        <v>526695</v>
      </c>
      <c r="BQ69">
        <f>SUMPRODUCT(AY62:AY64,AZ62:AZ64)/2/1000</f>
        <v>1451.152</v>
      </c>
      <c r="BR69">
        <f>BQ69*BR12/1000000</f>
        <v>6.4373102720000006E-2</v>
      </c>
      <c r="BS69">
        <f>BR69*BQ12</f>
        <v>4543.1932913141345</v>
      </c>
    </row>
    <row r="70" spans="1:71" ht="13.8" x14ac:dyDescent="0.25">
      <c r="A70" s="981"/>
      <c r="B70" s="159" t="s">
        <v>752</v>
      </c>
      <c r="C70" s="160">
        <v>16896</v>
      </c>
      <c r="D70" s="161">
        <v>4588</v>
      </c>
      <c r="E70" s="162">
        <v>40.299999999999997</v>
      </c>
      <c r="F70" s="161">
        <v>3754</v>
      </c>
      <c r="G70" s="163">
        <f>SUM(C63:C70)</f>
        <v>120286</v>
      </c>
      <c r="H70" s="163">
        <f>SUM(D63:D70)</f>
        <v>29638</v>
      </c>
      <c r="I70" s="163">
        <f>SUM(E63:E70)</f>
        <v>321.10000000000002</v>
      </c>
      <c r="J70" s="163">
        <f>SUM(F63:F70)</f>
        <v>38507</v>
      </c>
      <c r="K70" s="984"/>
      <c r="L70" s="180">
        <f t="shared" si="26"/>
        <v>-0.56351236146632566</v>
      </c>
      <c r="M70" s="181">
        <f t="shared" si="27"/>
        <v>-0.26497917334187759</v>
      </c>
      <c r="N70" s="182">
        <f t="shared" si="28"/>
        <v>-0.39031770045385777</v>
      </c>
      <c r="O70" s="183">
        <f t="shared" si="29"/>
        <v>-0.7046187740970965</v>
      </c>
      <c r="P70" s="183">
        <f t="shared" si="30"/>
        <v>-0.51389186371222928</v>
      </c>
      <c r="Q70" s="183">
        <f t="shared" si="31"/>
        <v>-0.35106848835172533</v>
      </c>
      <c r="R70" s="183">
        <f t="shared" si="32"/>
        <v>-0.26572147267322194</v>
      </c>
      <c r="S70" s="183">
        <f t="shared" si="33"/>
        <v>-0.52503299495516387</v>
      </c>
      <c r="AL70">
        <f t="shared" si="24"/>
        <v>2020.6153846153857</v>
      </c>
      <c r="AO70">
        <f t="shared" si="4"/>
        <v>2020.9999999999955</v>
      </c>
      <c r="AP70" s="107">
        <f t="shared" ref="AP70:AP81" si="41">L76</f>
        <v>-0.32486290638464549</v>
      </c>
      <c r="AQ70" s="107">
        <f t="shared" ref="AQ70:AQ81" si="42">M76</f>
        <v>-6.7964872088583428E-2</v>
      </c>
      <c r="AW70" s="981"/>
      <c r="AX70" s="943" t="s">
        <v>857</v>
      </c>
      <c r="AY70" s="160">
        <v>882</v>
      </c>
      <c r="AZ70" s="161">
        <f>INDEX($BK$16:$BL$19,MATCH($AX70,$BK$16:$BK$19,0),2)</f>
        <v>130</v>
      </c>
      <c r="BA70" s="162">
        <f>AY70/2*AZ70*$BS$13/10^3</f>
        <v>179.46077637162821</v>
      </c>
      <c r="BB70" s="163">
        <f>SUM(AY70)</f>
        <v>882</v>
      </c>
      <c r="BC70" s="163">
        <f>SUM(BA70)</f>
        <v>179.46077637162821</v>
      </c>
      <c r="BD70" s="1037"/>
      <c r="BE70" s="178">
        <f t="shared" si="40"/>
        <v>0.80368098159509205</v>
      </c>
      <c r="BF70" s="181"/>
      <c r="BG70" s="182">
        <f t="shared" si="37"/>
        <v>0.80368098159509205</v>
      </c>
      <c r="BH70" s="183">
        <f t="shared" si="38"/>
        <v>0.80368098159509205</v>
      </c>
      <c r="BI70" s="183">
        <f t="shared" si="39"/>
        <v>0.80368098159509205</v>
      </c>
      <c r="BO70">
        <f>BO69*3.13/1000</f>
        <v>1648.5553499999999</v>
      </c>
      <c r="BQ70">
        <f>BQ69*3.13/1000</f>
        <v>4.5421057600000001</v>
      </c>
    </row>
    <row r="71" spans="1:71" ht="13.8" x14ac:dyDescent="0.25">
      <c r="A71" s="981"/>
      <c r="B71" s="159" t="s">
        <v>754</v>
      </c>
      <c r="C71" s="160">
        <v>15416</v>
      </c>
      <c r="D71" s="161">
        <v>3529</v>
      </c>
      <c r="E71" s="162">
        <v>36.4</v>
      </c>
      <c r="F71" s="161">
        <v>4138</v>
      </c>
      <c r="G71" s="163">
        <f>SUM(C63:C71)</f>
        <v>135702</v>
      </c>
      <c r="H71" s="163">
        <f>SUM(D63:D71)</f>
        <v>33167</v>
      </c>
      <c r="I71" s="163">
        <f>SUM(E63:E71)</f>
        <v>357.5</v>
      </c>
      <c r="J71" s="163">
        <f>SUM(F63:F71)</f>
        <v>42645</v>
      </c>
      <c r="K71" s="984"/>
      <c r="L71" s="180">
        <f t="shared" si="26"/>
        <v>-0.51708799298311559</v>
      </c>
      <c r="M71" s="181">
        <f t="shared" si="27"/>
        <v>-0.22183020948180815</v>
      </c>
      <c r="N71" s="182">
        <f t="shared" si="28"/>
        <v>-0.3296500920810313</v>
      </c>
      <c r="O71" s="183">
        <f t="shared" si="29"/>
        <v>-0.63573943661971832</v>
      </c>
      <c r="P71" s="183">
        <f t="shared" si="30"/>
        <v>-0.51425707842645951</v>
      </c>
      <c r="Q71" s="183">
        <f t="shared" si="31"/>
        <v>-0.33939490509291531</v>
      </c>
      <c r="R71" s="183">
        <f t="shared" si="32"/>
        <v>-0.27278275020341736</v>
      </c>
      <c r="S71" s="183">
        <f t="shared" si="33"/>
        <v>-0.53863879783194313</v>
      </c>
      <c r="AL71">
        <f t="shared" si="24"/>
        <v>2020.6923076923088</v>
      </c>
      <c r="AO71">
        <f t="shared" si="4"/>
        <v>2021.0833333333287</v>
      </c>
      <c r="AP71" s="107">
        <f t="shared" si="41"/>
        <v>-0.24728643444298107</v>
      </c>
      <c r="AQ71" s="107">
        <f t="shared" si="42"/>
        <v>-0.20123022847100175</v>
      </c>
      <c r="AW71" s="981"/>
      <c r="AX71" s="943" t="s">
        <v>860</v>
      </c>
      <c r="AY71" s="160">
        <v>1433</v>
      </c>
      <c r="AZ71" s="161">
        <f>INDEX($BK$16:$BL$19,MATCH($AX71,$BK$16:$BK$19,0),2)</f>
        <v>110</v>
      </c>
      <c r="BA71" s="162">
        <f>AY71/2*AZ71*$BS$13/10^3</f>
        <v>246.71552572352829</v>
      </c>
      <c r="BB71" s="163">
        <f>SUM(AY70:AY71)</f>
        <v>2315</v>
      </c>
      <c r="BC71" s="163">
        <f>SUM(BA70:BA71)</f>
        <v>426.17630209515653</v>
      </c>
      <c r="BD71" s="1037"/>
      <c r="BE71" s="178">
        <f t="shared" si="40"/>
        <v>0.46974358974358976</v>
      </c>
      <c r="BF71" s="181"/>
      <c r="BG71" s="182">
        <f t="shared" si="37"/>
        <v>0.46974358974358982</v>
      </c>
      <c r="BH71" s="183">
        <f t="shared" si="38"/>
        <v>0.58128415300546443</v>
      </c>
      <c r="BI71" s="183">
        <f t="shared" si="39"/>
        <v>0.59401709401709402</v>
      </c>
      <c r="BO71">
        <f>AY63/2*AZ63</f>
        <v>896170</v>
      </c>
    </row>
    <row r="72" spans="1:71" ht="13.8" x14ac:dyDescent="0.25">
      <c r="A72" s="981"/>
      <c r="B72" s="159" t="s">
        <v>755</v>
      </c>
      <c r="C72" s="160">
        <v>8561</v>
      </c>
      <c r="D72" s="161">
        <v>2733</v>
      </c>
      <c r="E72" s="162">
        <v>38</v>
      </c>
      <c r="F72" s="161">
        <v>4862</v>
      </c>
      <c r="G72" s="163">
        <f>SUM(C63:C72)</f>
        <v>144263</v>
      </c>
      <c r="H72" s="163">
        <f>SUM(D63:D72)</f>
        <v>35900</v>
      </c>
      <c r="I72" s="163">
        <f>SUM(E63:E72)</f>
        <v>395.5</v>
      </c>
      <c r="J72" s="163">
        <f>SUM(F63:F72)</f>
        <v>47507</v>
      </c>
      <c r="K72" s="984"/>
      <c r="L72" s="180">
        <f t="shared" si="26"/>
        <v>-0.70960957905091415</v>
      </c>
      <c r="M72" s="181">
        <f t="shared" si="27"/>
        <v>-0.39414763910441142</v>
      </c>
      <c r="N72" s="182">
        <f t="shared" si="28"/>
        <v>-0.29629629629629628</v>
      </c>
      <c r="O72" s="183">
        <f t="shared" si="29"/>
        <v>-0.58768656716417911</v>
      </c>
      <c r="P72" s="183">
        <f t="shared" si="30"/>
        <v>-0.53290421594879089</v>
      </c>
      <c r="Q72" s="183">
        <f t="shared" si="31"/>
        <v>-0.34390876859534342</v>
      </c>
      <c r="R72" s="183">
        <f t="shared" si="32"/>
        <v>-0.27510997067448667</v>
      </c>
      <c r="S72" s="183">
        <f t="shared" si="33"/>
        <v>-0.54418805468937392</v>
      </c>
      <c r="U72" t="s">
        <v>875</v>
      </c>
      <c r="V72">
        <v>474519</v>
      </c>
      <c r="W72">
        <v>3132</v>
      </c>
      <c r="AL72">
        <f t="shared" si="24"/>
        <v>2020.7692307692319</v>
      </c>
      <c r="AO72">
        <f t="shared" si="4"/>
        <v>2021.166666666662</v>
      </c>
      <c r="AP72" s="107">
        <f t="shared" si="41"/>
        <v>0.50326222417711308</v>
      </c>
      <c r="AQ72" s="107">
        <f t="shared" si="42"/>
        <v>0.10519377801212761</v>
      </c>
      <c r="AW72" s="981"/>
      <c r="AX72" s="943" t="s">
        <v>868</v>
      </c>
      <c r="AY72" s="160">
        <f>AY71+AY70</f>
        <v>2315</v>
      </c>
      <c r="AZ72" s="161"/>
      <c r="BA72" s="162">
        <f>SUM(BA70:BA71)</f>
        <v>426.17630209515653</v>
      </c>
      <c r="BB72" s="163">
        <f>SUM(AY72)</f>
        <v>2315</v>
      </c>
      <c r="BC72" s="163">
        <f>SUM(BA72)</f>
        <v>426.17630209515653</v>
      </c>
      <c r="BD72" s="1037"/>
      <c r="BE72" s="178">
        <f t="shared" si="40"/>
        <v>0.58128415300546443</v>
      </c>
      <c r="BF72" s="181"/>
      <c r="BG72" s="182">
        <f t="shared" si="37"/>
        <v>0.59401709401709402</v>
      </c>
      <c r="BH72" s="183">
        <f t="shared" si="38"/>
        <v>0.58128415300546443</v>
      </c>
      <c r="BI72" s="183">
        <f t="shared" si="39"/>
        <v>0.59401709401709402</v>
      </c>
      <c r="BO72">
        <f>BO71*3.13/1000</f>
        <v>2805.0120999999999</v>
      </c>
    </row>
    <row r="73" spans="1:71" ht="13.8" x14ac:dyDescent="0.25">
      <c r="A73" s="981"/>
      <c r="B73" s="159" t="s">
        <v>756</v>
      </c>
      <c r="C73" s="160">
        <v>7638</v>
      </c>
      <c r="D73" s="161">
        <v>2277</v>
      </c>
      <c r="E73" s="162">
        <v>34</v>
      </c>
      <c r="F73" s="161">
        <v>4020</v>
      </c>
      <c r="G73" s="163">
        <f>SUM(C63:C73)</f>
        <v>151901</v>
      </c>
      <c r="H73" s="163">
        <f>SUM(D63:D73)</f>
        <v>38177</v>
      </c>
      <c r="I73" s="163">
        <f>SUM(E63:E73)</f>
        <v>429.5</v>
      </c>
      <c r="J73" s="163">
        <f>SUM(F63:F73)</f>
        <v>51527</v>
      </c>
      <c r="K73" s="984"/>
      <c r="L73" s="180">
        <f t="shared" si="26"/>
        <v>-0.70383869716944547</v>
      </c>
      <c r="M73" s="181">
        <f t="shared" si="27"/>
        <v>-0.56636831079794325</v>
      </c>
      <c r="N73" s="182">
        <f t="shared" si="28"/>
        <v>-0.32</v>
      </c>
      <c r="O73" s="183">
        <f t="shared" si="29"/>
        <v>-0.6154214101214962</v>
      </c>
      <c r="P73" s="183">
        <f t="shared" si="30"/>
        <v>-0.54607773703760154</v>
      </c>
      <c r="Q73" s="183">
        <f t="shared" si="31"/>
        <v>-0.36338775033767445</v>
      </c>
      <c r="R73" s="183">
        <f t="shared" si="32"/>
        <v>-0.27887844190732025</v>
      </c>
      <c r="S73" s="183">
        <f t="shared" si="33"/>
        <v>-0.55068103733933271</v>
      </c>
      <c r="V73">
        <v>6946</v>
      </c>
      <c r="W73">
        <v>706</v>
      </c>
      <c r="AL73">
        <f t="shared" si="24"/>
        <v>2020.8461538461549</v>
      </c>
      <c r="AO73">
        <f t="shared" si="4"/>
        <v>2021.2499999999952</v>
      </c>
      <c r="AP73" s="107">
        <f t="shared" si="41"/>
        <v>4.610868835961087</v>
      </c>
      <c r="AQ73" s="107">
        <f t="shared" si="42"/>
        <v>2.0095057034220534</v>
      </c>
      <c r="AW73" s="981"/>
      <c r="AX73" s="948" t="s">
        <v>857</v>
      </c>
      <c r="AY73" s="239">
        <f>AY66+AY70</f>
        <v>16929</v>
      </c>
      <c r="AZ73" s="161">
        <f>INDEX($BK$16:$BL$19,MATCH($AX73,$BK$16:$BK$19,0),2)</f>
        <v>130</v>
      </c>
      <c r="BA73" s="162">
        <f>AY73/2*AZ73*$BS$13/10^3</f>
        <v>3444.5481668880884</v>
      </c>
      <c r="BB73" s="163">
        <f>SUM(AY73)</f>
        <v>16929</v>
      </c>
      <c r="BC73" s="163">
        <f>SUM(BA73)</f>
        <v>3444.5481668880884</v>
      </c>
      <c r="BD73" s="1037"/>
      <c r="BE73" s="178">
        <f t="shared" si="40"/>
        <v>1.0892262125138839</v>
      </c>
      <c r="BF73" s="181"/>
      <c r="BG73" s="182">
        <f t="shared" si="37"/>
        <v>1.0892262125138834</v>
      </c>
      <c r="BH73" s="183">
        <f t="shared" si="38"/>
        <v>1.0892262125138839</v>
      </c>
      <c r="BI73" s="183">
        <f t="shared" si="39"/>
        <v>1.0892262125138834</v>
      </c>
    </row>
    <row r="74" spans="1:71" ht="14.4" thickBot="1" x14ac:dyDescent="0.3">
      <c r="A74" s="987"/>
      <c r="B74" s="167" t="s">
        <v>758</v>
      </c>
      <c r="C74" s="168">
        <v>12313</v>
      </c>
      <c r="D74" s="169">
        <v>2384</v>
      </c>
      <c r="E74" s="170">
        <v>51</v>
      </c>
      <c r="F74" s="171">
        <v>4389</v>
      </c>
      <c r="G74" s="163">
        <f>SUM(C63:C74)</f>
        <v>164214</v>
      </c>
      <c r="H74" s="163">
        <f>SUM(D63:D74)</f>
        <v>40561</v>
      </c>
      <c r="I74" s="163">
        <f>SUM(E63:E74)</f>
        <v>480.5</v>
      </c>
      <c r="J74" s="163">
        <f>SUM(F63:F74)</f>
        <v>55916</v>
      </c>
      <c r="K74" s="984"/>
      <c r="L74" s="184">
        <f t="shared" si="26"/>
        <v>-0.43484646807729382</v>
      </c>
      <c r="M74" s="185">
        <f t="shared" si="27"/>
        <v>-0.11342506507995537</v>
      </c>
      <c r="N74" s="186">
        <f t="shared" si="28"/>
        <v>-0.1206896551724138</v>
      </c>
      <c r="O74" s="187">
        <f t="shared" si="29"/>
        <v>-0.53682988602785986</v>
      </c>
      <c r="P74" s="187">
        <f t="shared" si="30"/>
        <v>-0.53927862008596406</v>
      </c>
      <c r="Q74" s="187">
        <f t="shared" si="31"/>
        <v>-0.35266047432091674</v>
      </c>
      <c r="R74" s="187">
        <f t="shared" si="32"/>
        <v>-0.26484088127294969</v>
      </c>
      <c r="S74" s="187">
        <f t="shared" si="33"/>
        <v>-0.54962385424553373</v>
      </c>
      <c r="AL74">
        <f t="shared" si="24"/>
        <v>2020.923076923078</v>
      </c>
      <c r="AO74">
        <f t="shared" si="4"/>
        <v>2021.3333333333285</v>
      </c>
      <c r="AP74" s="107">
        <f t="shared" si="41"/>
        <v>2.2781307916335716</v>
      </c>
      <c r="AQ74" s="107">
        <f t="shared" si="42"/>
        <v>1.0617411521570654</v>
      </c>
      <c r="AW74" s="981"/>
      <c r="AX74" s="948" t="s">
        <v>860</v>
      </c>
      <c r="AY74" s="239">
        <f>AY67+AY71</f>
        <v>18469</v>
      </c>
      <c r="AZ74" s="161">
        <f>INDEX($BK$16:$BL$19,MATCH($AX74,$BK$16:$BK$19,0),2)</f>
        <v>110</v>
      </c>
      <c r="BA74" s="162">
        <f>AY74/2*AZ74*$BS$13/10^3</f>
        <v>3179.7550904311543</v>
      </c>
      <c r="BB74" s="163">
        <f>SUM(AY73:AY74)</f>
        <v>35398</v>
      </c>
      <c r="BC74" s="163">
        <f>SUM(BA73:BA74)</f>
        <v>6624.3032573192431</v>
      </c>
      <c r="BD74" s="1037"/>
      <c r="BE74" s="178">
        <f t="shared" si="40"/>
        <v>0.13348471830121517</v>
      </c>
      <c r="BF74" s="181"/>
      <c r="BG74" s="182">
        <f t="shared" si="37"/>
        <v>0.13348471830121514</v>
      </c>
      <c r="BH74" s="183">
        <f t="shared" si="38"/>
        <v>0.45091609624134116</v>
      </c>
      <c r="BI74" s="183">
        <f t="shared" si="39"/>
        <v>0.48726688758244813</v>
      </c>
    </row>
    <row r="75" spans="1:71" ht="14.4" thickBot="1" x14ac:dyDescent="0.3">
      <c r="A75" s="172" t="s">
        <v>3</v>
      </c>
      <c r="B75" s="188">
        <v>2020</v>
      </c>
      <c r="C75" s="174">
        <f>SUM(C63:C74)</f>
        <v>164214</v>
      </c>
      <c r="D75" s="174">
        <f>SUM(D63:D74)</f>
        <v>40561</v>
      </c>
      <c r="E75" s="174">
        <f>SUM(E63:E74)</f>
        <v>480.5</v>
      </c>
      <c r="F75" s="174">
        <f>SUM(F63:F74)</f>
        <v>55916</v>
      </c>
      <c r="G75" s="175">
        <f>G67</f>
        <v>66619</v>
      </c>
      <c r="H75" s="175">
        <f>H67</f>
        <v>15275</v>
      </c>
      <c r="I75" s="175">
        <f>I67</f>
        <v>197</v>
      </c>
      <c r="J75" s="175">
        <f>J67</f>
        <v>28929</v>
      </c>
      <c r="K75" s="985"/>
      <c r="L75" s="189">
        <f t="shared" si="26"/>
        <v>-0.53927862008596406</v>
      </c>
      <c r="M75" s="189">
        <f t="shared" si="27"/>
        <v>-0.35266047432091674</v>
      </c>
      <c r="N75" s="190">
        <f t="shared" si="28"/>
        <v>-0.26484088127294969</v>
      </c>
      <c r="O75" s="191">
        <f t="shared" si="29"/>
        <v>-0.54962385424553373</v>
      </c>
      <c r="P75" s="191">
        <f t="shared" si="30"/>
        <v>-0.51931568921727089</v>
      </c>
      <c r="Q75" s="191">
        <f t="shared" si="31"/>
        <v>-0.43381889617850922</v>
      </c>
      <c r="R75" s="191">
        <f t="shared" si="32"/>
        <v>-0.26492537313432835</v>
      </c>
      <c r="S75" s="191">
        <f t="shared" si="33"/>
        <v>-0.35352745312744421</v>
      </c>
      <c r="AL75">
        <f t="shared" si="24"/>
        <v>2021.0000000000011</v>
      </c>
      <c r="AO75">
        <f t="shared" si="4"/>
        <v>2021.4166666666617</v>
      </c>
      <c r="AP75" s="107">
        <f t="shared" si="41"/>
        <v>0.85265980135275121</v>
      </c>
      <c r="AQ75" s="107">
        <f t="shared" si="42"/>
        <v>0.20394574599260173</v>
      </c>
      <c r="AW75" s="982"/>
      <c r="AX75" s="948" t="s">
        <v>862</v>
      </c>
      <c r="AY75" s="239">
        <f>AY68</f>
        <v>13614</v>
      </c>
      <c r="AZ75" s="217">
        <f>INDEX($BK$16:$BL$19,MATCH($AX75,$BK$16:$BK$19,0),2)</f>
        <v>3.5</v>
      </c>
      <c r="BA75" s="162">
        <f>AY75/2*AZ75*$BS$13/10^3</f>
        <v>74.578113843813995</v>
      </c>
      <c r="BB75" s="163">
        <f>SUM(AY73:AY75)</f>
        <v>49012</v>
      </c>
      <c r="BC75" s="163">
        <f>SUM(BA73:BA75)</f>
        <v>6698.8813711630573</v>
      </c>
      <c r="BD75" s="1037"/>
      <c r="BE75" s="178">
        <f t="shared" si="40"/>
        <v>-0.15775798069784708</v>
      </c>
      <c r="BF75" s="181"/>
      <c r="BG75" s="182">
        <f t="shared" si="37"/>
        <v>-0.15775798069784716</v>
      </c>
      <c r="BH75" s="183">
        <f t="shared" si="38"/>
        <v>0.20835285126106359</v>
      </c>
      <c r="BI75" s="183">
        <f t="shared" si="39"/>
        <v>0.47469355381104134</v>
      </c>
    </row>
    <row r="76" spans="1:71" ht="14.4" thickBot="1" x14ac:dyDescent="0.3">
      <c r="A76" s="981">
        <v>2021</v>
      </c>
      <c r="B76" s="151" t="s">
        <v>710</v>
      </c>
      <c r="C76" s="152">
        <v>13789</v>
      </c>
      <c r="D76" s="153">
        <v>2441</v>
      </c>
      <c r="E76" s="154">
        <v>31</v>
      </c>
      <c r="F76" s="153">
        <v>3737</v>
      </c>
      <c r="G76" s="155">
        <f>C76</f>
        <v>13789</v>
      </c>
      <c r="H76" s="155">
        <f>D76</f>
        <v>2441</v>
      </c>
      <c r="I76" s="155">
        <f>E76</f>
        <v>31</v>
      </c>
      <c r="J76" s="155">
        <f>F76</f>
        <v>3737</v>
      </c>
      <c r="K76" s="983" t="s">
        <v>829</v>
      </c>
      <c r="L76" s="178">
        <f t="shared" si="26"/>
        <v>-0.32486290638464549</v>
      </c>
      <c r="M76" s="178">
        <f t="shared" si="27"/>
        <v>-6.7964872088583428E-2</v>
      </c>
      <c r="N76" s="178">
        <f t="shared" si="28"/>
        <v>-0.27906976744186046</v>
      </c>
      <c r="O76" s="179">
        <f t="shared" si="29"/>
        <v>-0.58988147497805088</v>
      </c>
      <c r="P76" s="179">
        <f t="shared" si="30"/>
        <v>-0.32486290638464549</v>
      </c>
      <c r="Q76" s="179">
        <f t="shared" si="31"/>
        <v>-6.7964872088583428E-2</v>
      </c>
      <c r="R76" s="179">
        <f t="shared" si="32"/>
        <v>-0.27906976744186046</v>
      </c>
      <c r="S76" s="179">
        <f t="shared" si="33"/>
        <v>-0.58988147497805088</v>
      </c>
      <c r="Y76" s="116"/>
      <c r="AO76">
        <f t="shared" ref="AO76:AO136" si="43">AO75+$AO$2</f>
        <v>2021.499999999995</v>
      </c>
      <c r="AP76" s="107">
        <f t="shared" si="41"/>
        <v>0.6864440078585462</v>
      </c>
      <c r="AQ76" s="107">
        <f t="shared" si="42"/>
        <v>-0.21713286713286714</v>
      </c>
      <c r="AW76" s="172" t="s">
        <v>3</v>
      </c>
      <c r="AX76" s="188">
        <f>AW66</f>
        <v>2021</v>
      </c>
      <c r="AY76" s="174">
        <f>SUM(AY73:AY75)</f>
        <v>49012</v>
      </c>
      <c r="AZ76" s="174"/>
      <c r="BA76" s="174">
        <f>SUM(BA73:BA75)</f>
        <v>6698.8813711630573</v>
      </c>
      <c r="BB76" s="175">
        <f>BB75</f>
        <v>49012</v>
      </c>
      <c r="BC76" s="175">
        <f>BC75</f>
        <v>6698.8813711630573</v>
      </c>
      <c r="BD76" s="1038"/>
      <c r="BE76" s="189">
        <f t="shared" si="40"/>
        <v>0.20835285126106359</v>
      </c>
      <c r="BF76" s="189"/>
      <c r="BG76" s="190">
        <f t="shared" si="37"/>
        <v>0.47469355381104134</v>
      </c>
      <c r="BH76" s="191">
        <f t="shared" si="38"/>
        <v>0.20835285126106359</v>
      </c>
      <c r="BI76" s="191">
        <f t="shared" si="39"/>
        <v>0.47469355381104134</v>
      </c>
    </row>
    <row r="77" spans="1:71" ht="13.8" x14ac:dyDescent="0.25">
      <c r="A77" s="981"/>
      <c r="B77" s="159" t="s">
        <v>715</v>
      </c>
      <c r="C77" s="160">
        <v>16574</v>
      </c>
      <c r="D77" s="161">
        <v>2727</v>
      </c>
      <c r="E77" s="162">
        <v>36</v>
      </c>
      <c r="F77" s="161">
        <v>3586</v>
      </c>
      <c r="G77" s="163">
        <f>SUM(C76:C77)</f>
        <v>30363</v>
      </c>
      <c r="H77" s="163">
        <f>SUM(D76:D77)</f>
        <v>5168</v>
      </c>
      <c r="I77" s="163">
        <f>SUM(E76:E77)</f>
        <v>67</v>
      </c>
      <c r="J77" s="163">
        <f>SUM(F76:F77)</f>
        <v>7323</v>
      </c>
      <c r="K77" s="984"/>
      <c r="L77" s="180">
        <f t="shared" si="26"/>
        <v>-0.24728643444298107</v>
      </c>
      <c r="M77" s="181">
        <f t="shared" si="27"/>
        <v>-0.20123022847100175</v>
      </c>
      <c r="N77" s="182">
        <f t="shared" si="28"/>
        <v>-0.2</v>
      </c>
      <c r="O77" s="183">
        <f t="shared" si="29"/>
        <v>-0.64032096288866602</v>
      </c>
      <c r="P77" s="183">
        <f t="shared" si="30"/>
        <v>-0.28461701576231652</v>
      </c>
      <c r="Q77" s="183">
        <f t="shared" si="31"/>
        <v>-0.1433780871871374</v>
      </c>
      <c r="R77" s="183">
        <f t="shared" si="32"/>
        <v>-0.23863636363636365</v>
      </c>
      <c r="S77" s="183">
        <f t="shared" si="33"/>
        <v>-0.61623519547217276</v>
      </c>
      <c r="Y77" s="23"/>
      <c r="AO77">
        <f t="shared" si="43"/>
        <v>2021.5833333333283</v>
      </c>
      <c r="AP77" s="107">
        <f t="shared" si="41"/>
        <v>0.94483901515151514</v>
      </c>
      <c r="AQ77" s="107">
        <f t="shared" si="42"/>
        <v>5.2964254577157803E-2</v>
      </c>
      <c r="AW77" s="986">
        <v>2022</v>
      </c>
      <c r="AX77" s="939" t="s">
        <v>857</v>
      </c>
      <c r="AY77" s="152">
        <v>15385</v>
      </c>
      <c r="AZ77" s="153">
        <f>INDEX($BK$16:$BL$19,MATCH($AX77,$BK$16:$BK$19,0),2)</f>
        <v>130</v>
      </c>
      <c r="BA77" s="154">
        <f>AY77/2*AZ77*$BS$13/10^3</f>
        <v>3130.3900731037415</v>
      </c>
      <c r="BB77" s="155">
        <f>AY77</f>
        <v>15385</v>
      </c>
      <c r="BC77" s="155">
        <f>BA77</f>
        <v>3130.3900731037415</v>
      </c>
      <c r="BD77" s="1075" t="str">
        <f>"Milli áranna "&amp; AW66&amp;" og "&amp; AW77</f>
        <v>Milli áranna 2021 og 2022</v>
      </c>
      <c r="BE77" s="178">
        <f t="shared" ref="BE77:BE87" si="44">(AY77-AY66)/AY66</f>
        <v>-4.1253816912818597E-2</v>
      </c>
      <c r="BF77" s="178"/>
      <c r="BG77" s="178">
        <f t="shared" ref="BG77:BG87" si="45">(BA77-BA66)/BA66</f>
        <v>-4.1253816912818632E-2</v>
      </c>
      <c r="BH77" s="179">
        <f>(BB77-BB66)/BB66</f>
        <v>-4.1253816912818597E-2</v>
      </c>
      <c r="BI77" s="179">
        <f>(BC77-BC66)/BC66</f>
        <v>-4.1253816912818632E-2</v>
      </c>
      <c r="BM77">
        <f>BC76/3.13</f>
        <v>2140.2176904674307</v>
      </c>
    </row>
    <row r="78" spans="1:71" ht="13.8" x14ac:dyDescent="0.25">
      <c r="A78" s="981"/>
      <c r="B78" s="159" t="s">
        <v>718</v>
      </c>
      <c r="C78" s="160">
        <v>20506</v>
      </c>
      <c r="D78" s="161">
        <v>4192</v>
      </c>
      <c r="E78" s="162">
        <v>36</v>
      </c>
      <c r="F78" s="161">
        <v>4334</v>
      </c>
      <c r="G78" s="163">
        <f>SUM(C76:C78)</f>
        <v>50869</v>
      </c>
      <c r="H78" s="163">
        <f>SUM(D76:D78)</f>
        <v>9360</v>
      </c>
      <c r="I78" s="163">
        <f>SUM(E76:E78)</f>
        <v>103</v>
      </c>
      <c r="J78" s="163">
        <f>SUM(F76:F78)</f>
        <v>11657</v>
      </c>
      <c r="K78" s="984"/>
      <c r="L78" s="180">
        <f t="shared" si="26"/>
        <v>0.50326222417711308</v>
      </c>
      <c r="M78" s="181">
        <f t="shared" si="27"/>
        <v>0.10519377801212761</v>
      </c>
      <c r="N78" s="182">
        <f t="shared" si="28"/>
        <v>-0.14285714285714285</v>
      </c>
      <c r="O78" s="183">
        <f t="shared" si="29"/>
        <v>-0.36628162011990056</v>
      </c>
      <c r="P78" s="183">
        <f t="shared" si="30"/>
        <v>-9.2985521717423858E-2</v>
      </c>
      <c r="Q78" s="183">
        <f t="shared" si="31"/>
        <v>-4.7425198453083656E-2</v>
      </c>
      <c r="R78" s="183">
        <f t="shared" si="32"/>
        <v>-0.2076923076923077</v>
      </c>
      <c r="S78" s="183">
        <f t="shared" si="33"/>
        <v>-0.55028741175108986</v>
      </c>
      <c r="V78" s="192" t="s">
        <v>844</v>
      </c>
      <c r="W78" s="116"/>
      <c r="X78" s="116"/>
      <c r="Y78" s="23"/>
      <c r="AO78">
        <f t="shared" si="43"/>
        <v>2021.6666666666615</v>
      </c>
      <c r="AP78" s="107">
        <f t="shared" si="41"/>
        <v>0.84451219512195119</v>
      </c>
      <c r="AQ78" s="107">
        <f t="shared" si="42"/>
        <v>9.3794275998866528E-2</v>
      </c>
      <c r="AW78" s="981"/>
      <c r="AX78" s="943" t="s">
        <v>860</v>
      </c>
      <c r="AY78" s="160">
        <v>12461</v>
      </c>
      <c r="AZ78" s="161">
        <f>INDEX($BK$16:$BL$19,MATCH($AX78,$BK$16:$BK$19,0),2)</f>
        <v>110</v>
      </c>
      <c r="BA78" s="162">
        <f>AY78/2*AZ78*$BS$13/10^3</f>
        <v>2145.3748541806599</v>
      </c>
      <c r="BB78" s="163">
        <f>SUM(AY77:AY78)</f>
        <v>27846</v>
      </c>
      <c r="BC78" s="163">
        <f>SUM(BA77:BA78)</f>
        <v>5275.764927284401</v>
      </c>
      <c r="BD78" s="1037"/>
      <c r="BE78" s="178">
        <f t="shared" si="44"/>
        <v>-0.26854895515379196</v>
      </c>
      <c r="BF78" s="181"/>
      <c r="BG78" s="182">
        <f>(BA78-BA67)/BA67</f>
        <v>-0.26854895515379212</v>
      </c>
      <c r="BH78" s="183">
        <f t="shared" ref="BH78:BH87" si="46">(BB78-BB67)/BB67</f>
        <v>-0.15829882416951305</v>
      </c>
      <c r="BI78" s="183">
        <f t="shared" ref="BI78:BI87" si="47">(BC78-BC67)/BC67</f>
        <v>-0.14881302603236829</v>
      </c>
    </row>
    <row r="79" spans="1:71" ht="13.8" x14ac:dyDescent="0.25">
      <c r="A79" s="981"/>
      <c r="B79" s="159" t="s">
        <v>725</v>
      </c>
      <c r="C79" s="160">
        <v>16726</v>
      </c>
      <c r="D79" s="161">
        <v>4749</v>
      </c>
      <c r="E79" s="162">
        <v>41.2</v>
      </c>
      <c r="F79" s="161">
        <v>4571</v>
      </c>
      <c r="G79" s="163">
        <f>SUM(C76:C79)</f>
        <v>67595</v>
      </c>
      <c r="H79" s="163">
        <f>SUM(D76:D79)</f>
        <v>14109</v>
      </c>
      <c r="I79" s="163">
        <f>SUM(E76:E79)</f>
        <v>144.19999999999999</v>
      </c>
      <c r="J79" s="163">
        <f>SUM(F76:F79)</f>
        <v>16228</v>
      </c>
      <c r="K79" s="984"/>
      <c r="L79" s="180">
        <f t="shared" si="26"/>
        <v>4.610868835961087</v>
      </c>
      <c r="M79" s="181">
        <f t="shared" si="27"/>
        <v>2.0095057034220534</v>
      </c>
      <c r="N79" s="182">
        <f t="shared" si="28"/>
        <v>0.36423841059602663</v>
      </c>
      <c r="O79" s="183">
        <f t="shared" si="29"/>
        <v>2.5297297297297296</v>
      </c>
      <c r="P79" s="183">
        <f t="shared" si="30"/>
        <v>0.14441716752730044</v>
      </c>
      <c r="Q79" s="183">
        <f t="shared" si="31"/>
        <v>0.23719747457032619</v>
      </c>
      <c r="R79" s="183">
        <f t="shared" si="32"/>
        <v>-9.9875156054931344E-2</v>
      </c>
      <c r="S79" s="183">
        <f t="shared" si="33"/>
        <v>-0.4037330981775426</v>
      </c>
      <c r="U79">
        <v>2016</v>
      </c>
      <c r="V79" s="23">
        <f t="shared" ref="V79:V85" si="48">INDEX($C$9:$F$101,MATCH($U79,$B$9:$B$101,0),MATCH(V$78,$C$9:$F$9,0))</f>
        <v>63732</v>
      </c>
      <c r="W79" s="23"/>
      <c r="X79" s="23"/>
      <c r="Y79" s="23"/>
      <c r="AO79">
        <f t="shared" si="43"/>
        <v>2021.7499999999948</v>
      </c>
      <c r="AP79" s="107">
        <f t="shared" si="41"/>
        <v>2.7363625744655997</v>
      </c>
      <c r="AQ79" s="107">
        <f t="shared" si="42"/>
        <v>0.70106110501280638</v>
      </c>
      <c r="AW79" s="981"/>
      <c r="AX79" s="943" t="s">
        <v>862</v>
      </c>
      <c r="AY79" s="160">
        <v>11658</v>
      </c>
      <c r="AZ79" s="217">
        <f>INDEX($BK$16:$BL$19,MATCH($AX79,$BK$16:$BK$19,0),2)</f>
        <v>3.5</v>
      </c>
      <c r="BA79" s="162">
        <f>AY79/2*AZ79*$BS$13/10^3</f>
        <v>63.863056500013478</v>
      </c>
      <c r="BB79" s="163">
        <f>SUM(AY77:AY79)</f>
        <v>39504</v>
      </c>
      <c r="BC79" s="163">
        <f>SUM(BA77:BA79)</f>
        <v>5339.627983784414</v>
      </c>
      <c r="BD79" s="1037"/>
      <c r="BE79" s="178">
        <f t="shared" si="44"/>
        <v>-0.14367562802996914</v>
      </c>
      <c r="BF79" s="181"/>
      <c r="BG79" s="182">
        <f t="shared" si="45"/>
        <v>-0.14367562802996922</v>
      </c>
      <c r="BH79" s="183">
        <f t="shared" si="46"/>
        <v>-0.15403559115146584</v>
      </c>
      <c r="BI79" s="183">
        <f t="shared" si="47"/>
        <v>-0.14875194593233734</v>
      </c>
    </row>
    <row r="80" spans="1:71" ht="13.8" x14ac:dyDescent="0.25">
      <c r="A80" s="981"/>
      <c r="B80" s="159" t="s">
        <v>730</v>
      </c>
      <c r="C80" s="160">
        <v>24763</v>
      </c>
      <c r="D80" s="161">
        <v>7981</v>
      </c>
      <c r="E80" s="162">
        <v>48.5</v>
      </c>
      <c r="F80" s="161">
        <v>4788</v>
      </c>
      <c r="G80" s="163">
        <f>SUM(C76:C80)</f>
        <v>92358</v>
      </c>
      <c r="H80" s="163">
        <f>SUM(D76:D80)</f>
        <v>22090</v>
      </c>
      <c r="I80" s="163">
        <f>SUM(E76:E80)</f>
        <v>192.7</v>
      </c>
      <c r="J80" s="163">
        <f>SUM(F76:F80)</f>
        <v>21016</v>
      </c>
      <c r="K80" s="984"/>
      <c r="L80" s="180">
        <f t="shared" si="26"/>
        <v>2.2781307916335716</v>
      </c>
      <c r="M80" s="181">
        <f t="shared" si="27"/>
        <v>1.0617411521570654</v>
      </c>
      <c r="N80" s="182">
        <f t="shared" si="28"/>
        <v>0.31793478260869573</v>
      </c>
      <c r="O80" s="183">
        <f t="shared" si="29"/>
        <v>1.7950963222416814</v>
      </c>
      <c r="P80" s="183">
        <f t="shared" si="30"/>
        <v>0.38636124829252916</v>
      </c>
      <c r="Q80" s="183">
        <f t="shared" si="31"/>
        <v>0.44615384615384618</v>
      </c>
      <c r="R80" s="183">
        <f t="shared" si="32"/>
        <v>-2.1827411167512748E-2</v>
      </c>
      <c r="S80" s="183">
        <f t="shared" si="33"/>
        <v>-0.27353175014691139</v>
      </c>
      <c r="U80">
        <v>2017</v>
      </c>
      <c r="V80" s="23">
        <f t="shared" si="48"/>
        <v>64656</v>
      </c>
      <c r="W80" s="23"/>
      <c r="X80" s="23"/>
      <c r="Y80" s="23"/>
      <c r="AO80">
        <f t="shared" si="43"/>
        <v>2021.833333333328</v>
      </c>
      <c r="AP80" s="107">
        <f t="shared" si="41"/>
        <v>2.0759361089290391</v>
      </c>
      <c r="AQ80" s="107">
        <f t="shared" si="42"/>
        <v>0.35265700483091789</v>
      </c>
      <c r="AW80" s="981"/>
      <c r="AX80" s="943" t="s">
        <v>864</v>
      </c>
      <c r="AY80" s="160">
        <f>SUM(AY77:AY79)</f>
        <v>39504</v>
      </c>
      <c r="AZ80" s="161"/>
      <c r="BA80" s="162">
        <f>SUM(BA77:BA79)</f>
        <v>5339.627983784414</v>
      </c>
      <c r="BB80" s="163">
        <f>SUM(AY77:AY79)</f>
        <v>39504</v>
      </c>
      <c r="BC80" s="163">
        <f>SUM(BA77:BA79)</f>
        <v>5339.627983784414</v>
      </c>
      <c r="BD80" s="1037"/>
      <c r="BE80" s="178">
        <f>(AY80-AY69)/AY69</f>
        <v>-0.15403559115146584</v>
      </c>
      <c r="BF80" s="181"/>
      <c r="BG80" s="182">
        <f t="shared" si="45"/>
        <v>-0.14875194593233734</v>
      </c>
      <c r="BH80" s="183">
        <f t="shared" si="46"/>
        <v>-0.15403559115146584</v>
      </c>
      <c r="BI80" s="183">
        <f t="shared" si="47"/>
        <v>-0.14875194593233734</v>
      </c>
    </row>
    <row r="81" spans="1:61" ht="13.8" x14ac:dyDescent="0.25">
      <c r="A81" s="981"/>
      <c r="B81" s="159" t="s">
        <v>735</v>
      </c>
      <c r="C81" s="160">
        <v>30404</v>
      </c>
      <c r="D81" s="161">
        <v>4882</v>
      </c>
      <c r="E81" s="162">
        <v>57.7</v>
      </c>
      <c r="F81" s="161">
        <v>5526</v>
      </c>
      <c r="G81" s="163">
        <f>SUM(C76:C81)</f>
        <v>122762</v>
      </c>
      <c r="H81" s="163">
        <f>SUM(D76:D81)</f>
        <v>26972</v>
      </c>
      <c r="I81" s="163">
        <f>SUM(E76:E81)</f>
        <v>250.39999999999998</v>
      </c>
      <c r="J81" s="163">
        <f>SUM(F76:F81)</f>
        <v>26542</v>
      </c>
      <c r="K81" s="984"/>
      <c r="L81" s="180">
        <f t="shared" si="26"/>
        <v>0.85265980135275121</v>
      </c>
      <c r="M81" s="181">
        <f t="shared" si="27"/>
        <v>0.20394574599260173</v>
      </c>
      <c r="N81" s="182">
        <f t="shared" si="28"/>
        <v>0.44250000000000006</v>
      </c>
      <c r="O81" s="183">
        <f t="shared" si="29"/>
        <v>1.1229350749135614</v>
      </c>
      <c r="P81" s="183">
        <f t="shared" si="30"/>
        <v>0.47852583403589066</v>
      </c>
      <c r="Q81" s="183">
        <f t="shared" si="31"/>
        <v>0.39534402483186759</v>
      </c>
      <c r="R81" s="183">
        <f t="shared" si="32"/>
        <v>5.6540084388185557E-2</v>
      </c>
      <c r="S81" s="183">
        <f t="shared" si="33"/>
        <v>-0.1582519345426868</v>
      </c>
      <c r="U81">
        <v>2018</v>
      </c>
      <c r="V81" s="23">
        <f t="shared" si="48"/>
        <v>61220</v>
      </c>
      <c r="W81" s="23"/>
      <c r="X81" s="23"/>
      <c r="Y81" s="23"/>
      <c r="AO81">
        <f t="shared" si="43"/>
        <v>2021.9166666666613</v>
      </c>
      <c r="AP81" s="107">
        <f t="shared" si="41"/>
        <v>0.86290912044180945</v>
      </c>
      <c r="AQ81" s="107">
        <f t="shared" si="42"/>
        <v>0.15184563758389261</v>
      </c>
      <c r="AW81" s="981"/>
      <c r="AX81" s="943" t="s">
        <v>857</v>
      </c>
      <c r="AY81" s="160">
        <v>1179</v>
      </c>
      <c r="AZ81" s="161">
        <f>INDEX($BK$16:$BL$19,MATCH($AX81,$BK$16:$BK$19,0),2)</f>
        <v>130</v>
      </c>
      <c r="BA81" s="162">
        <f>AY81/2*AZ81*$BS$13/10^3</f>
        <v>239.89144596615608</v>
      </c>
      <c r="BB81" s="163">
        <f>SUM(AY81)</f>
        <v>1179</v>
      </c>
      <c r="BC81" s="163">
        <f>SUM(BA81)</f>
        <v>239.89144596615608</v>
      </c>
      <c r="BD81" s="1037"/>
      <c r="BE81" s="178">
        <f t="shared" si="44"/>
        <v>0.33673469387755101</v>
      </c>
      <c r="BF81" s="181"/>
      <c r="BG81" s="182">
        <f t="shared" si="45"/>
        <v>0.33673469387755106</v>
      </c>
      <c r="BH81" s="183">
        <f t="shared" si="46"/>
        <v>0.33673469387755101</v>
      </c>
      <c r="BI81" s="183">
        <f>(BC81-BC70)/BC70</f>
        <v>0.33673469387755106</v>
      </c>
    </row>
    <row r="82" spans="1:61" ht="13.8" x14ac:dyDescent="0.25">
      <c r="A82" s="981"/>
      <c r="B82" s="159" t="s">
        <v>740</v>
      </c>
      <c r="C82" s="160">
        <v>34336</v>
      </c>
      <c r="D82" s="161">
        <v>4478</v>
      </c>
      <c r="E82" s="162">
        <v>67.900000000000006</v>
      </c>
      <c r="F82" s="161">
        <v>6279</v>
      </c>
      <c r="G82" s="163">
        <f>SUM(C76:C82)</f>
        <v>157098</v>
      </c>
      <c r="H82" s="163">
        <f>SUM(D76:D82)</f>
        <v>31450</v>
      </c>
      <c r="I82" s="163">
        <f>SUM(E76:E82)</f>
        <v>318.29999999999995</v>
      </c>
      <c r="J82" s="163">
        <f>SUM(F76:F82)</f>
        <v>32821</v>
      </c>
      <c r="K82" s="984"/>
      <c r="L82" s="180">
        <f t="shared" si="26"/>
        <v>0.6864440078585462</v>
      </c>
      <c r="M82" s="181">
        <f t="shared" si="27"/>
        <v>-0.21713286713286714</v>
      </c>
      <c r="N82" s="182">
        <f t="shared" si="28"/>
        <v>0.55022831050228338</v>
      </c>
      <c r="O82" s="183">
        <f t="shared" si="29"/>
        <v>0.94939459795094694</v>
      </c>
      <c r="P82" s="183">
        <f t="shared" si="30"/>
        <v>0.51946996808201951</v>
      </c>
      <c r="Q82" s="183">
        <f t="shared" si="31"/>
        <v>0.2554890219560878</v>
      </c>
      <c r="R82" s="183">
        <f t="shared" si="32"/>
        <v>0.13354700854700835</v>
      </c>
      <c r="S82" s="183">
        <f t="shared" si="33"/>
        <v>-5.559232296492389E-2</v>
      </c>
      <c r="U82">
        <v>2019</v>
      </c>
      <c r="V82" s="23">
        <f t="shared" si="48"/>
        <v>62658</v>
      </c>
      <c r="W82" s="23"/>
      <c r="X82" s="23"/>
      <c r="Y82" s="23"/>
      <c r="AO82">
        <f t="shared" si="43"/>
        <v>2021.9999999999945</v>
      </c>
      <c r="AP82" s="107">
        <f t="shared" ref="AP82:AP93" si="49">L89</f>
        <v>7.2158967292769605E-2</v>
      </c>
      <c r="AQ82" s="107">
        <f t="shared" ref="AQ82:AQ93" si="50">M89</f>
        <v>-0.24252355591970504</v>
      </c>
      <c r="AW82" s="981"/>
      <c r="AX82" s="943" t="s">
        <v>860</v>
      </c>
      <c r="AY82" s="160">
        <v>2089</v>
      </c>
      <c r="AZ82" s="161">
        <f>INDEX($BK$16:$BL$19,MATCH($AX82,$BK$16:$BK$19,0),2)</f>
        <v>110</v>
      </c>
      <c r="BA82" s="162">
        <f>AY82/2*AZ82*$BS$13/10^3</f>
        <v>359.65717601985392</v>
      </c>
      <c r="BB82" s="163">
        <f>SUM(AY81:AY82)</f>
        <v>3268</v>
      </c>
      <c r="BC82" s="163">
        <f>SUM(BA81:BA82)</f>
        <v>599.54862198600995</v>
      </c>
      <c r="BD82" s="1037"/>
      <c r="BE82" s="178">
        <f>(AY82-AY71)/AY71</f>
        <v>0.45778087927424982</v>
      </c>
      <c r="BF82" s="181"/>
      <c r="BG82" s="182">
        <f t="shared" si="45"/>
        <v>0.45778087927425004</v>
      </c>
      <c r="BH82" s="183">
        <f t="shared" si="46"/>
        <v>0.41166306695464361</v>
      </c>
      <c r="BI82" s="183">
        <f t="shared" si="47"/>
        <v>0.40680891696353144</v>
      </c>
    </row>
    <row r="83" spans="1:61" ht="13.8" x14ac:dyDescent="0.25">
      <c r="A83" s="981"/>
      <c r="B83" s="159" t="s">
        <v>752</v>
      </c>
      <c r="C83" s="160">
        <v>32860</v>
      </c>
      <c r="D83" s="161">
        <v>4831</v>
      </c>
      <c r="E83" s="162">
        <v>36.5</v>
      </c>
      <c r="F83" s="161">
        <v>6600</v>
      </c>
      <c r="G83" s="163">
        <f>SUM(C76:C83)</f>
        <v>189958</v>
      </c>
      <c r="H83" s="163">
        <f>SUM(D76:D83)</f>
        <v>36281</v>
      </c>
      <c r="I83" s="163">
        <f>SUM(E76:E83)</f>
        <v>354.79999999999995</v>
      </c>
      <c r="J83" s="163">
        <f>SUM(F76:F83)</f>
        <v>39421</v>
      </c>
      <c r="K83" s="984"/>
      <c r="L83" s="180">
        <f t="shared" si="26"/>
        <v>0.94483901515151514</v>
      </c>
      <c r="M83" s="181">
        <f t="shared" si="27"/>
        <v>5.2964254577157803E-2</v>
      </c>
      <c r="N83" s="182">
        <f t="shared" si="28"/>
        <v>-9.4292803970223257E-2</v>
      </c>
      <c r="O83" s="183">
        <f t="shared" si="29"/>
        <v>0.75812466702184333</v>
      </c>
      <c r="P83" s="183">
        <f t="shared" si="30"/>
        <v>0.57921952679447319</v>
      </c>
      <c r="Q83" s="183">
        <f t="shared" si="31"/>
        <v>0.22413793103448276</v>
      </c>
      <c r="R83" s="183">
        <f t="shared" si="32"/>
        <v>0.10495172843350958</v>
      </c>
      <c r="S83" s="183">
        <f t="shared" si="33"/>
        <v>2.3735944114057186E-2</v>
      </c>
      <c r="U83">
        <v>2020</v>
      </c>
      <c r="V83" s="23">
        <f t="shared" si="48"/>
        <v>40561</v>
      </c>
      <c r="W83" s="23"/>
      <c r="X83" s="23"/>
      <c r="AO83">
        <f t="shared" si="43"/>
        <v>2022.0833333333278</v>
      </c>
      <c r="AP83" s="107">
        <f t="shared" si="49"/>
        <v>0.16574152286714131</v>
      </c>
      <c r="AQ83" s="107">
        <f t="shared" si="50"/>
        <v>-7.4807480748074806E-2</v>
      </c>
      <c r="AW83" s="981"/>
      <c r="AX83" s="943" t="s">
        <v>868</v>
      </c>
      <c r="AY83" s="160">
        <f>AY82+AY81</f>
        <v>3268</v>
      </c>
      <c r="AZ83" s="161"/>
      <c r="BA83" s="162">
        <f>SUM(BA81:BA82)</f>
        <v>599.54862198600995</v>
      </c>
      <c r="BB83" s="163">
        <f>SUM(AY83)</f>
        <v>3268</v>
      </c>
      <c r="BC83" s="163">
        <f>SUM(BA83)</f>
        <v>599.54862198600995</v>
      </c>
      <c r="BD83" s="1037"/>
      <c r="BE83" s="178">
        <f t="shared" si="44"/>
        <v>0.41166306695464361</v>
      </c>
      <c r="BF83" s="181"/>
      <c r="BG83" s="182">
        <f t="shared" si="45"/>
        <v>0.40680891696353144</v>
      </c>
      <c r="BH83" s="183">
        <f t="shared" si="46"/>
        <v>0.41166306695464361</v>
      </c>
      <c r="BI83" s="183">
        <f t="shared" si="47"/>
        <v>0.40680891696353144</v>
      </c>
    </row>
    <row r="84" spans="1:61" ht="13.8" x14ac:dyDescent="0.25">
      <c r="A84" s="981"/>
      <c r="B84" s="159" t="s">
        <v>754</v>
      </c>
      <c r="C84" s="160">
        <v>28435</v>
      </c>
      <c r="D84" s="161">
        <v>3860</v>
      </c>
      <c r="E84" s="162">
        <v>52.3</v>
      </c>
      <c r="F84" s="161">
        <v>7497</v>
      </c>
      <c r="G84" s="163">
        <f>SUM(C76:C84)</f>
        <v>218393</v>
      </c>
      <c r="H84" s="163">
        <f>SUM(D76:D84)</f>
        <v>40141</v>
      </c>
      <c r="I84" s="163">
        <f>SUM(E76:E84)</f>
        <v>407.09999999999997</v>
      </c>
      <c r="J84" s="163">
        <f>SUM(F76:F84)</f>
        <v>46918</v>
      </c>
      <c r="K84" s="984"/>
      <c r="L84" s="180">
        <f t="shared" si="26"/>
        <v>0.84451219512195119</v>
      </c>
      <c r="M84" s="181">
        <f t="shared" si="27"/>
        <v>9.3794275998866528E-2</v>
      </c>
      <c r="N84" s="182">
        <f t="shared" si="28"/>
        <v>0.43681318681318682</v>
      </c>
      <c r="O84" s="183">
        <f t="shared" si="29"/>
        <v>0.81174480425326245</v>
      </c>
      <c r="P84" s="183">
        <f t="shared" si="30"/>
        <v>0.60935726813164137</v>
      </c>
      <c r="Q84" s="183">
        <f t="shared" si="31"/>
        <v>0.21026924352519069</v>
      </c>
      <c r="R84" s="183">
        <f t="shared" si="32"/>
        <v>0.13874125874125864</v>
      </c>
      <c r="S84" s="183">
        <f t="shared" si="33"/>
        <v>0.10019931996717082</v>
      </c>
      <c r="U84">
        <v>2021</v>
      </c>
      <c r="V84" s="23">
        <f t="shared" si="48"/>
        <v>50616</v>
      </c>
      <c r="W84" s="23"/>
      <c r="X84" s="23"/>
      <c r="AO84">
        <f t="shared" si="43"/>
        <v>2022.1666666666611</v>
      </c>
      <c r="AP84" s="107">
        <f t="shared" si="49"/>
        <v>0.33302448063981271</v>
      </c>
      <c r="AQ84" s="107">
        <f t="shared" si="50"/>
        <v>-0.44036259541984735</v>
      </c>
      <c r="AW84" s="981"/>
      <c r="AX84" s="948" t="s">
        <v>857</v>
      </c>
      <c r="AY84" s="239">
        <f>AY77+AY81</f>
        <v>16564</v>
      </c>
      <c r="AZ84" s="161">
        <f>INDEX($BK$16:$BL$19,MATCH($AX84,$BK$16:$BK$19,0),2)</f>
        <v>130</v>
      </c>
      <c r="BA84" s="162">
        <f>AY84/2*AZ84*$BS$13/10^3</f>
        <v>3370.2815190698975</v>
      </c>
      <c r="BB84" s="163">
        <f>SUM(AY84)</f>
        <v>16564</v>
      </c>
      <c r="BC84" s="163">
        <f>SUM(BA84)</f>
        <v>3370.2815190698975</v>
      </c>
      <c r="BD84" s="1037"/>
      <c r="BE84" s="178">
        <f t="shared" si="44"/>
        <v>-2.1560635595723316E-2</v>
      </c>
      <c r="BF84" s="181"/>
      <c r="BG84" s="182">
        <f t="shared" si="45"/>
        <v>-2.156063559572334E-2</v>
      </c>
      <c r="BH84" s="183">
        <f t="shared" si="46"/>
        <v>-2.1560635595723316E-2</v>
      </c>
      <c r="BI84" s="183">
        <f>(BC84-BC73)/BC73</f>
        <v>-2.156063559572334E-2</v>
      </c>
    </row>
    <row r="85" spans="1:61" ht="13.8" x14ac:dyDescent="0.25">
      <c r="A85" s="981"/>
      <c r="B85" s="159" t="s">
        <v>755</v>
      </c>
      <c r="C85" s="160">
        <v>31987</v>
      </c>
      <c r="D85" s="161">
        <v>4649</v>
      </c>
      <c r="E85" s="162">
        <v>56.6</v>
      </c>
      <c r="F85" s="161">
        <v>7466</v>
      </c>
      <c r="G85" s="163">
        <f>SUM(C76:C85)</f>
        <v>250380</v>
      </c>
      <c r="H85" s="163">
        <f>SUM(D76:D85)</f>
        <v>44790</v>
      </c>
      <c r="I85" s="163">
        <f>SUM(E76:E85)</f>
        <v>463.7</v>
      </c>
      <c r="J85" s="163">
        <f>SUM(F76:F85)</f>
        <v>54384</v>
      </c>
      <c r="K85" s="984"/>
      <c r="L85" s="180">
        <f t="shared" si="26"/>
        <v>2.7363625744655997</v>
      </c>
      <c r="M85" s="181">
        <f t="shared" si="27"/>
        <v>0.70106110501280638</v>
      </c>
      <c r="N85" s="182">
        <f t="shared" si="28"/>
        <v>0.48947368421052634</v>
      </c>
      <c r="O85" s="183">
        <f t="shared" si="29"/>
        <v>0.53558206499382965</v>
      </c>
      <c r="P85" s="183">
        <f t="shared" si="30"/>
        <v>0.7355801556878756</v>
      </c>
      <c r="Q85" s="183">
        <f t="shared" si="31"/>
        <v>0.24763231197771587</v>
      </c>
      <c r="R85" s="183">
        <f t="shared" si="32"/>
        <v>0.17243994943109983</v>
      </c>
      <c r="S85" s="183">
        <f t="shared" si="33"/>
        <v>0.14475761466731218</v>
      </c>
      <c r="U85">
        <v>2022</v>
      </c>
      <c r="V85" s="23">
        <f t="shared" si="48"/>
        <v>42731</v>
      </c>
      <c r="AO85">
        <f t="shared" si="43"/>
        <v>2022.2499999999943</v>
      </c>
      <c r="AP85" s="107">
        <f t="shared" si="49"/>
        <v>0.64474470883654189</v>
      </c>
      <c r="AQ85" s="107">
        <f t="shared" si="50"/>
        <v>-0.24552537376289746</v>
      </c>
      <c r="AW85" s="981"/>
      <c r="AX85" s="948" t="s">
        <v>860</v>
      </c>
      <c r="AY85" s="239">
        <f>AY78+AY82</f>
        <v>14550</v>
      </c>
      <c r="AZ85" s="161">
        <f>INDEX($BK$16:$BL$19,MATCH($AX85,$BK$16:$BK$19,0),2)</f>
        <v>110</v>
      </c>
      <c r="BA85" s="162">
        <f>AY85/2*AZ85*$BS$13/10^3</f>
        <v>2505.0320302005139</v>
      </c>
      <c r="BB85" s="163">
        <f>SUM(AY84:AY85)</f>
        <v>31114</v>
      </c>
      <c r="BC85" s="163">
        <f>SUM(BA84:BA85)</f>
        <v>5875.3135492704114</v>
      </c>
      <c r="BD85" s="1037"/>
      <c r="BE85" s="178">
        <f t="shared" si="44"/>
        <v>-0.21219340516541232</v>
      </c>
      <c r="BF85" s="181"/>
      <c r="BG85" s="182">
        <f t="shared" si="45"/>
        <v>-0.21219340516541238</v>
      </c>
      <c r="BH85" s="183">
        <f t="shared" si="46"/>
        <v>-0.12102378665461326</v>
      </c>
      <c r="BI85" s="183">
        <f t="shared" si="47"/>
        <v>-0.11306694137549746</v>
      </c>
    </row>
    <row r="86" spans="1:61" ht="14.4" thickBot="1" x14ac:dyDescent="0.3">
      <c r="A86" s="981"/>
      <c r="B86" s="159" t="s">
        <v>756</v>
      </c>
      <c r="C86" s="160">
        <v>23494</v>
      </c>
      <c r="D86" s="161">
        <v>3080</v>
      </c>
      <c r="E86" s="162">
        <v>45.1</v>
      </c>
      <c r="F86" s="161">
        <v>7086</v>
      </c>
      <c r="G86" s="163">
        <f>SUM(C76:C86)</f>
        <v>273874</v>
      </c>
      <c r="H86" s="163">
        <f>SUM(D76:D86)</f>
        <v>47870</v>
      </c>
      <c r="I86" s="163">
        <f>SUM(E76:E86)</f>
        <v>508.8</v>
      </c>
      <c r="J86" s="163">
        <f>SUM(F76:F86)</f>
        <v>61470</v>
      </c>
      <c r="K86" s="984"/>
      <c r="L86" s="180">
        <f t="shared" si="26"/>
        <v>2.0759361089290391</v>
      </c>
      <c r="M86" s="181">
        <f t="shared" si="27"/>
        <v>0.35265700483091789</v>
      </c>
      <c r="N86" s="182">
        <f t="shared" si="28"/>
        <v>0.32647058823529418</v>
      </c>
      <c r="O86" s="183">
        <f t="shared" si="29"/>
        <v>0.76268656716417915</v>
      </c>
      <c r="P86" s="183">
        <f t="shared" si="30"/>
        <v>0.80297693892732769</v>
      </c>
      <c r="Q86" s="183">
        <f t="shared" si="31"/>
        <v>0.25389632501244203</v>
      </c>
      <c r="R86" s="183">
        <f t="shared" si="32"/>
        <v>0.18463329452852156</v>
      </c>
      <c r="S86" s="183">
        <f t="shared" si="33"/>
        <v>0.1929667941079434</v>
      </c>
      <c r="AO86">
        <f t="shared" si="43"/>
        <v>2022.3333333333276</v>
      </c>
      <c r="AP86" s="107">
        <f t="shared" si="49"/>
        <v>0.32092234381940798</v>
      </c>
      <c r="AQ86" s="107">
        <f t="shared" si="50"/>
        <v>-0.5524370379651673</v>
      </c>
      <c r="AW86" s="982"/>
      <c r="AX86" s="948" t="s">
        <v>862</v>
      </c>
      <c r="AY86" s="239">
        <f>AY79</f>
        <v>11658</v>
      </c>
      <c r="AZ86" s="217">
        <f>INDEX($BK$16:$BL$19,MATCH($AX86,$BK$16:$BK$19,0),2)</f>
        <v>3.5</v>
      </c>
      <c r="BA86" s="162">
        <f>AY86/2*AZ86*$BS$13/10^3</f>
        <v>63.863056500013478</v>
      </c>
      <c r="BB86" s="163">
        <f>SUM(AY84:AY86)</f>
        <v>42772</v>
      </c>
      <c r="BC86" s="163">
        <f>SUM(BA84:BA86)</f>
        <v>5939.1766057704244</v>
      </c>
      <c r="BD86" s="1037"/>
      <c r="BE86" s="178">
        <f t="shared" si="44"/>
        <v>-0.14367562802996914</v>
      </c>
      <c r="BF86" s="181"/>
      <c r="BG86" s="182">
        <f t="shared" si="45"/>
        <v>-0.14367562802996922</v>
      </c>
      <c r="BH86" s="183">
        <f t="shared" si="46"/>
        <v>-0.12731575940585979</v>
      </c>
      <c r="BI86" s="183">
        <f t="shared" si="47"/>
        <v>-0.11340770545108686</v>
      </c>
    </row>
    <row r="87" spans="1:61" ht="14.4" thickBot="1" x14ac:dyDescent="0.3">
      <c r="A87" s="987"/>
      <c r="B87" s="167" t="s">
        <v>758</v>
      </c>
      <c r="C87" s="168">
        <v>22938</v>
      </c>
      <c r="D87" s="169">
        <v>2746</v>
      </c>
      <c r="E87" s="170">
        <v>74</v>
      </c>
      <c r="F87" s="171">
        <v>7745</v>
      </c>
      <c r="G87" s="163">
        <f>SUM(C76:C87)</f>
        <v>296812</v>
      </c>
      <c r="H87" s="163">
        <f>SUM(D76:D87)</f>
        <v>50616</v>
      </c>
      <c r="I87" s="163">
        <f>SUM(E76:E87)</f>
        <v>582.79999999999995</v>
      </c>
      <c r="J87" s="163">
        <f>SUM(F76:F87)</f>
        <v>69215</v>
      </c>
      <c r="K87" s="984"/>
      <c r="L87" s="184">
        <f t="shared" si="26"/>
        <v>0.86290912044180945</v>
      </c>
      <c r="M87" s="185">
        <f t="shared" si="27"/>
        <v>0.15184563758389261</v>
      </c>
      <c r="N87" s="186">
        <f t="shared" si="28"/>
        <v>0.45098039215686275</v>
      </c>
      <c r="O87" s="187">
        <f t="shared" si="29"/>
        <v>0.76463886990202778</v>
      </c>
      <c r="P87" s="187">
        <f t="shared" si="30"/>
        <v>0.80747073940102554</v>
      </c>
      <c r="Q87" s="187">
        <f t="shared" si="31"/>
        <v>0.24789822736125836</v>
      </c>
      <c r="R87" s="187">
        <f t="shared" si="32"/>
        <v>0.21290322580645152</v>
      </c>
      <c r="S87" s="187">
        <f t="shared" si="33"/>
        <v>0.23783890120895629</v>
      </c>
      <c r="AO87">
        <f t="shared" si="43"/>
        <v>2022.4166666666608</v>
      </c>
      <c r="AP87" s="107">
        <f t="shared" si="49"/>
        <v>7.485857124062624E-2</v>
      </c>
      <c r="AQ87" s="107">
        <f t="shared" si="50"/>
        <v>-0.28000819336337568</v>
      </c>
      <c r="AW87" s="172" t="s">
        <v>3</v>
      </c>
      <c r="AX87" s="188">
        <f>AW77</f>
        <v>2022</v>
      </c>
      <c r="AY87" s="174">
        <f>SUM(AY84:AY86)</f>
        <v>42772</v>
      </c>
      <c r="AZ87" s="174"/>
      <c r="BA87" s="174">
        <f>SUM(BA84:BA86)</f>
        <v>5939.1766057704244</v>
      </c>
      <c r="BB87" s="175">
        <f>BB86</f>
        <v>42772</v>
      </c>
      <c r="BC87" s="175">
        <f>BC86</f>
        <v>5939.1766057704244</v>
      </c>
      <c r="BD87" s="1038"/>
      <c r="BE87" s="189">
        <f t="shared" si="44"/>
        <v>-0.12731575940585979</v>
      </c>
      <c r="BF87" s="189"/>
      <c r="BG87" s="190">
        <f t="shared" si="45"/>
        <v>-0.11340770545108686</v>
      </c>
      <c r="BH87" s="191">
        <f t="shared" si="46"/>
        <v>-0.12731575940585979</v>
      </c>
      <c r="BI87" s="191">
        <f t="shared" si="47"/>
        <v>-0.11340770545108686</v>
      </c>
    </row>
    <row r="88" spans="1:61" ht="14.4" thickBot="1" x14ac:dyDescent="0.3">
      <c r="A88" s="172" t="s">
        <v>3</v>
      </c>
      <c r="B88" s="188">
        <v>2021</v>
      </c>
      <c r="C88" s="174">
        <f>SUM(C76:C87)</f>
        <v>296812</v>
      </c>
      <c r="D88" s="174">
        <f>SUM(D76:D87)</f>
        <v>50616</v>
      </c>
      <c r="E88" s="174">
        <f>SUM(E76:E87)</f>
        <v>582.79999999999995</v>
      </c>
      <c r="F88" s="174">
        <f>SUM(F76:F87)</f>
        <v>69215</v>
      </c>
      <c r="G88" s="175">
        <f>G80</f>
        <v>92358</v>
      </c>
      <c r="H88" s="175">
        <f>H80</f>
        <v>22090</v>
      </c>
      <c r="I88" s="175">
        <f>I80</f>
        <v>192.7</v>
      </c>
      <c r="J88" s="175">
        <f>J80</f>
        <v>21016</v>
      </c>
      <c r="K88" s="985"/>
      <c r="L88" s="189">
        <f t="shared" ref="L88:L100" si="51">(C88-C75)/C75</f>
        <v>0.80747073940102554</v>
      </c>
      <c r="M88" s="189">
        <f t="shared" ref="M88:M100" si="52">(D88-D75)/D75</f>
        <v>0.24789822736125836</v>
      </c>
      <c r="N88" s="190">
        <f t="shared" ref="N88:N100" si="53">(E88-E75)/E75</f>
        <v>0.21290322580645152</v>
      </c>
      <c r="O88" s="191">
        <f t="shared" ref="O88:O100" si="54">(F88-F75)/F75</f>
        <v>0.23783890120895629</v>
      </c>
      <c r="P88" s="191">
        <f t="shared" ref="P88:P100" si="55">(G88-G75)/G75</f>
        <v>0.38636124829252916</v>
      </c>
      <c r="Q88" s="191">
        <f t="shared" ref="Q88:Q100" si="56">(H88-H75)/H75</f>
        <v>0.44615384615384618</v>
      </c>
      <c r="R88" s="191">
        <f t="shared" ref="R88:R100" si="57">(I88-I75)/I75</f>
        <v>-2.1827411167512748E-2</v>
      </c>
      <c r="S88" s="191">
        <f t="shared" ref="S88:S100" si="58">(J88-J75)/J75</f>
        <v>-0.27353175014691139</v>
      </c>
      <c r="AO88">
        <f t="shared" si="43"/>
        <v>2022.4999999999941</v>
      </c>
      <c r="AP88" s="107">
        <f t="shared" si="49"/>
        <v>3.1017008387698042E-2</v>
      </c>
      <c r="AQ88" s="107">
        <f t="shared" si="50"/>
        <v>-3.9973202322465387E-2</v>
      </c>
      <c r="AW88" s="986">
        <v>2023</v>
      </c>
      <c r="AX88" s="939" t="s">
        <v>857</v>
      </c>
      <c r="AY88" s="152">
        <v>17959</v>
      </c>
      <c r="AZ88" s="153">
        <f>INDEX($BK$16:$BL$19,MATCH($AX88,$BK$16:$BK$19,0),2)</f>
        <v>130</v>
      </c>
      <c r="BA88" s="154">
        <f>AY88/2*AZ88*$BS$13/10^3</f>
        <v>3654.122542922983</v>
      </c>
      <c r="BB88" s="155">
        <f>AY88</f>
        <v>17959</v>
      </c>
      <c r="BC88" s="155">
        <f>BA88</f>
        <v>3654.122542922983</v>
      </c>
      <c r="BD88" s="1075" t="str">
        <f>"Milli áranna "&amp; AW77&amp;" og "&amp; AW88</f>
        <v>Milli áranna 2022 og 2023</v>
      </c>
      <c r="BE88" s="178">
        <f t="shared" ref="BE88:BE93" si="59">(AY88-AY77)/AY77</f>
        <v>0.16730581735456612</v>
      </c>
      <c r="BF88" s="178"/>
      <c r="BG88" s="178">
        <f>(BA88-BA77)/BA77</f>
        <v>0.16730581735456612</v>
      </c>
      <c r="BH88" s="179">
        <f>(BB88-BB77)/BB77</f>
        <v>0.16730581735456612</v>
      </c>
      <c r="BI88" s="179">
        <f>(BC88-BC77)/BC77</f>
        <v>0.16730581735456612</v>
      </c>
    </row>
    <row r="89" spans="1:61" ht="13.8" x14ac:dyDescent="0.25">
      <c r="A89" s="981">
        <v>2022</v>
      </c>
      <c r="B89" s="151" t="s">
        <v>710</v>
      </c>
      <c r="C89" s="152">
        <v>14784</v>
      </c>
      <c r="D89" s="153">
        <v>1849</v>
      </c>
      <c r="E89" s="154">
        <v>40</v>
      </c>
      <c r="F89" s="153">
        <v>7387</v>
      </c>
      <c r="G89" s="155">
        <f>C89</f>
        <v>14784</v>
      </c>
      <c r="H89" s="155">
        <f>D89</f>
        <v>1849</v>
      </c>
      <c r="I89" s="155">
        <f>E89</f>
        <v>40</v>
      </c>
      <c r="J89" s="155">
        <f>F89</f>
        <v>7387</v>
      </c>
      <c r="K89" s="983" t="str">
        <f>"Milli áranna "&amp; A76&amp;" og "&amp; A89</f>
        <v>Milli áranna 2021 og 2022</v>
      </c>
      <c r="L89" s="178">
        <f>(C89-C76)/C76</f>
        <v>7.2158967292769605E-2</v>
      </c>
      <c r="M89" s="178">
        <f>(D89-D76)/D76</f>
        <v>-0.24252355591970504</v>
      </c>
      <c r="N89" s="178">
        <f>(E89-E76)/E76</f>
        <v>0.29032258064516131</v>
      </c>
      <c r="O89" s="179">
        <f>(F89-F76)/F76</f>
        <v>0.97671929355097675</v>
      </c>
      <c r="P89" s="179">
        <f t="shared" si="55"/>
        <v>7.2158967292769605E-2</v>
      </c>
      <c r="Q89" s="179">
        <f>(H89-H76)/H76</f>
        <v>-0.24252355591970504</v>
      </c>
      <c r="R89" s="179">
        <f>(I89-I76)/I76</f>
        <v>0.29032258064516131</v>
      </c>
      <c r="S89" s="179">
        <f>(J89-J76)/J76</f>
        <v>0.97671929355097675</v>
      </c>
      <c r="U89" s="870">
        <f t="shared" ref="U89:U102" si="60">C89/D89</f>
        <v>7.9956733369388857</v>
      </c>
      <c r="AO89">
        <f t="shared" si="43"/>
        <v>2022.5833333333273</v>
      </c>
      <c r="AP89" s="107">
        <f t="shared" si="49"/>
        <v>0.28600121728545341</v>
      </c>
      <c r="AQ89" s="107">
        <f t="shared" si="50"/>
        <v>0.24197888635893189</v>
      </c>
      <c r="AW89" s="981"/>
      <c r="AX89" s="943" t="s">
        <v>860</v>
      </c>
      <c r="AY89" s="160">
        <v>12894</v>
      </c>
      <c r="AZ89" s="161">
        <f>INDEX($BK$16:$BL$19,MATCH($AX89,$BK$16:$BK$19,0),2)</f>
        <v>110</v>
      </c>
      <c r="BA89" s="162">
        <f>AY89/2*AZ89*$BS$13/10^3</f>
        <v>2219.9232300622289</v>
      </c>
      <c r="BB89" s="163">
        <f>SUM(AY88:AY89)</f>
        <v>30853</v>
      </c>
      <c r="BC89" s="163">
        <f>SUM(BA88:BA89)</f>
        <v>5874.0457729852114</v>
      </c>
      <c r="BD89" s="1037"/>
      <c r="BE89" s="178">
        <f t="shared" si="59"/>
        <v>3.4748415054971511E-2</v>
      </c>
      <c r="BF89" s="181"/>
      <c r="BG89" s="182">
        <f>(BA89-BA78)/BA78</f>
        <v>3.4748415054971706E-2</v>
      </c>
      <c r="BH89" s="183">
        <f t="shared" ref="BH89:BH98" si="61">(BB89-BB78)/BB78</f>
        <v>0.1079867844573727</v>
      </c>
      <c r="BI89" s="183">
        <f t="shared" ref="BI89:BI109" si="62">(BC89-BC78)/BC78</f>
        <v>0.11340172542690678</v>
      </c>
    </row>
    <row r="90" spans="1:61" ht="13.8" x14ac:dyDescent="0.25">
      <c r="A90" s="981"/>
      <c r="B90" s="159" t="s">
        <v>715</v>
      </c>
      <c r="C90" s="160">
        <v>19321</v>
      </c>
      <c r="D90" s="161">
        <v>2523</v>
      </c>
      <c r="E90" s="162">
        <v>39</v>
      </c>
      <c r="F90" s="161">
        <v>6970</v>
      </c>
      <c r="G90" s="163">
        <f>SUM(C89:C90)</f>
        <v>34105</v>
      </c>
      <c r="H90" s="163">
        <f>SUM(D89:D90)</f>
        <v>4372</v>
      </c>
      <c r="I90" s="163">
        <f>SUM(E89:E90)</f>
        <v>79</v>
      </c>
      <c r="J90" s="163">
        <f>SUM(F89:F90)</f>
        <v>14357</v>
      </c>
      <c r="K90" s="984"/>
      <c r="L90" s="180">
        <f t="shared" si="51"/>
        <v>0.16574152286714131</v>
      </c>
      <c r="M90" s="181">
        <f t="shared" si="52"/>
        <v>-7.4807480748074806E-2</v>
      </c>
      <c r="N90" s="182">
        <f t="shared" si="53"/>
        <v>8.3333333333333329E-2</v>
      </c>
      <c r="O90" s="183">
        <f t="shared" si="54"/>
        <v>0.94366982710540992</v>
      </c>
      <c r="P90" s="183">
        <f t="shared" si="55"/>
        <v>0.12324210387642855</v>
      </c>
      <c r="Q90" s="183">
        <f t="shared" si="56"/>
        <v>-0.15402476780185759</v>
      </c>
      <c r="R90" s="183">
        <f t="shared" si="57"/>
        <v>0.17910447761194029</v>
      </c>
      <c r="S90" s="183">
        <f t="shared" si="58"/>
        <v>0.96053529974054352</v>
      </c>
      <c r="U90" s="870">
        <f t="shared" si="60"/>
        <v>7.6579468886246529</v>
      </c>
      <c r="AO90">
        <f t="shared" si="43"/>
        <v>2022.6666666666606</v>
      </c>
      <c r="AP90" s="107">
        <f t="shared" si="49"/>
        <v>0.17538245120450149</v>
      </c>
      <c r="AQ90" s="107">
        <f t="shared" si="50"/>
        <v>0.32953367875647671</v>
      </c>
      <c r="AW90" s="981"/>
      <c r="AX90" s="943" t="s">
        <v>862</v>
      </c>
      <c r="AY90" s="160">
        <v>11111</v>
      </c>
      <c r="AZ90" s="217">
        <f>INDEX($BK$16:$BL$19,MATCH($AX90,$BK$16:$BK$19,0),2)</f>
        <v>3.5</v>
      </c>
      <c r="BA90" s="162">
        <f>AY90/2*AZ90*$BS$13/10^3</f>
        <v>60.866565514809551</v>
      </c>
      <c r="BB90" s="163">
        <f>SUM(AY88:AY90)</f>
        <v>41964</v>
      </c>
      <c r="BC90" s="163">
        <f>SUM(BA88:BA90)</f>
        <v>5934.9123385000212</v>
      </c>
      <c r="BD90" s="1037"/>
      <c r="BE90" s="178">
        <f t="shared" si="59"/>
        <v>-4.6920569565963285E-2</v>
      </c>
      <c r="BF90" s="181"/>
      <c r="BG90" s="182">
        <f t="shared" ref="BG90:BG99" si="63">(BA90-BA79)/BA79</f>
        <v>-4.6920569565963299E-2</v>
      </c>
      <c r="BH90" s="183">
        <f t="shared" si="61"/>
        <v>6.2272174969623333E-2</v>
      </c>
      <c r="BI90" s="183">
        <f t="shared" si="62"/>
        <v>0.11148423757673556</v>
      </c>
    </row>
    <row r="91" spans="1:61" ht="13.8" x14ac:dyDescent="0.25">
      <c r="A91" s="981"/>
      <c r="B91" s="159" t="s">
        <v>718</v>
      </c>
      <c r="C91" s="160">
        <v>27335</v>
      </c>
      <c r="D91" s="161">
        <v>2346</v>
      </c>
      <c r="E91" s="162">
        <v>49</v>
      </c>
      <c r="F91" s="161">
        <v>7191</v>
      </c>
      <c r="G91" s="163">
        <f>SUM(C89:C91)</f>
        <v>61440</v>
      </c>
      <c r="H91" s="163">
        <f>SUM(D89:D91)</f>
        <v>6718</v>
      </c>
      <c r="I91" s="163">
        <f>SUM(E89:E91)</f>
        <v>128</v>
      </c>
      <c r="J91" s="163">
        <f>SUM(F89:F91)</f>
        <v>21548</v>
      </c>
      <c r="K91" s="984"/>
      <c r="L91" s="180">
        <f t="shared" si="51"/>
        <v>0.33302448063981271</v>
      </c>
      <c r="M91" s="181">
        <f t="shared" si="52"/>
        <v>-0.44036259541984735</v>
      </c>
      <c r="N91" s="182">
        <f t="shared" si="53"/>
        <v>0.3611111111111111</v>
      </c>
      <c r="O91" s="183">
        <f t="shared" si="54"/>
        <v>0.659206275957545</v>
      </c>
      <c r="P91" s="183">
        <f t="shared" si="55"/>
        <v>0.20780829188700387</v>
      </c>
      <c r="Q91" s="183">
        <f t="shared" si="56"/>
        <v>-0.28226495726495726</v>
      </c>
      <c r="R91" s="183">
        <f t="shared" si="57"/>
        <v>0.24271844660194175</v>
      </c>
      <c r="S91" s="183">
        <f t="shared" si="58"/>
        <v>0.84850304538045807</v>
      </c>
      <c r="U91" s="870">
        <f t="shared" si="60"/>
        <v>11.651747655583973</v>
      </c>
      <c r="AO91">
        <f t="shared" si="43"/>
        <v>2022.7499999999939</v>
      </c>
      <c r="AP91" s="107">
        <f t="shared" si="49"/>
        <v>-1.3224122299684248E-2</v>
      </c>
      <c r="AQ91" s="107">
        <f t="shared" si="50"/>
        <v>-5.2269305226930525E-2</v>
      </c>
      <c r="AW91" s="981"/>
      <c r="AX91" s="943" t="s">
        <v>864</v>
      </c>
      <c r="AY91" s="160">
        <f>SUM(AY88:AY90)</f>
        <v>41964</v>
      </c>
      <c r="AZ91" s="161"/>
      <c r="BA91" s="162">
        <f>SUM(BA88:BA90)</f>
        <v>5934.9123385000212</v>
      </c>
      <c r="BB91" s="163">
        <f>SUM(AY88:AY90)</f>
        <v>41964</v>
      </c>
      <c r="BC91" s="163">
        <f>SUM(BA88:BA90)</f>
        <v>5934.9123385000212</v>
      </c>
      <c r="BD91" s="1037"/>
      <c r="BE91" s="178">
        <f t="shared" si="59"/>
        <v>6.2272174969623333E-2</v>
      </c>
      <c r="BF91" s="181"/>
      <c r="BG91" s="182">
        <f t="shared" si="63"/>
        <v>0.11148423757673556</v>
      </c>
      <c r="BH91" s="183">
        <f t="shared" si="61"/>
        <v>6.2272174969623333E-2</v>
      </c>
      <c r="BI91" s="183">
        <f t="shared" si="62"/>
        <v>0.11148423757673556</v>
      </c>
    </row>
    <row r="92" spans="1:61" ht="13.8" x14ac:dyDescent="0.25">
      <c r="A92" s="981"/>
      <c r="B92" s="159" t="s">
        <v>725</v>
      </c>
      <c r="C92" s="160">
        <v>27510</v>
      </c>
      <c r="D92" s="161">
        <v>3583</v>
      </c>
      <c r="E92" s="162">
        <v>61.9</v>
      </c>
      <c r="F92" s="161">
        <v>7716</v>
      </c>
      <c r="G92" s="163">
        <f>SUM(C89:C92)</f>
        <v>88950</v>
      </c>
      <c r="H92" s="163">
        <f>SUM(D89:D92)</f>
        <v>10301</v>
      </c>
      <c r="I92" s="163">
        <f>SUM(E89:E92)</f>
        <v>189.9</v>
      </c>
      <c r="J92" s="163">
        <f>SUM(F89:F92)</f>
        <v>29264</v>
      </c>
      <c r="K92" s="984"/>
      <c r="L92" s="180">
        <f t="shared" si="51"/>
        <v>0.64474470883654189</v>
      </c>
      <c r="M92" s="181">
        <f t="shared" si="52"/>
        <v>-0.24552537376289746</v>
      </c>
      <c r="N92" s="182">
        <f t="shared" si="53"/>
        <v>0.50242718446601931</v>
      </c>
      <c r="O92" s="183">
        <f t="shared" si="54"/>
        <v>0.68803325311747976</v>
      </c>
      <c r="P92" s="183">
        <f t="shared" si="55"/>
        <v>0.31592573415193431</v>
      </c>
      <c r="Q92" s="183">
        <f t="shared" si="56"/>
        <v>-0.26989864625416399</v>
      </c>
      <c r="R92" s="183">
        <f t="shared" si="57"/>
        <v>0.3169209431345355</v>
      </c>
      <c r="S92" s="183">
        <f t="shared" si="58"/>
        <v>0.80330293320187329</v>
      </c>
      <c r="U92" s="870">
        <f t="shared" si="60"/>
        <v>7.6779235277700248</v>
      </c>
      <c r="AO92">
        <f t="shared" si="43"/>
        <v>2022.8333333333271</v>
      </c>
      <c r="AP92" s="107">
        <f t="shared" si="49"/>
        <v>0.16889418574955309</v>
      </c>
      <c r="AQ92" s="107">
        <f t="shared" si="50"/>
        <v>-0.13928571428571429</v>
      </c>
      <c r="AW92" s="981"/>
      <c r="AX92" s="943" t="s">
        <v>857</v>
      </c>
      <c r="AY92" s="160">
        <v>570</v>
      </c>
      <c r="AZ92" s="161">
        <f>INDEX($BK$16:$BL$19,MATCH($AX92,$BK$16:$BK$19,0),2)</f>
        <v>130</v>
      </c>
      <c r="BA92" s="162">
        <f>AY92/2*AZ92*$BS$13/10^3</f>
        <v>115.97805275717469</v>
      </c>
      <c r="BB92" s="163">
        <f>SUM(AY92)</f>
        <v>570</v>
      </c>
      <c r="BC92" s="163">
        <f>SUM(BA92)</f>
        <v>115.97805275717469</v>
      </c>
      <c r="BD92" s="1037"/>
      <c r="BE92" s="178">
        <f t="shared" si="59"/>
        <v>-0.51653944020356235</v>
      </c>
      <c r="BF92" s="181"/>
      <c r="BG92" s="182">
        <f t="shared" si="63"/>
        <v>-0.51653944020356235</v>
      </c>
      <c r="BH92" s="183">
        <f t="shared" si="61"/>
        <v>-0.51653944020356235</v>
      </c>
      <c r="BI92" s="183">
        <f t="shared" si="62"/>
        <v>-0.51653944020356235</v>
      </c>
    </row>
    <row r="93" spans="1:61" ht="13.8" x14ac:dyDescent="0.25">
      <c r="A93" s="981"/>
      <c r="B93" s="159" t="s">
        <v>730</v>
      </c>
      <c r="C93" s="160">
        <v>32710</v>
      </c>
      <c r="D93" s="161">
        <v>3572</v>
      </c>
      <c r="E93" s="162">
        <v>58.3</v>
      </c>
      <c r="F93" s="161">
        <v>8632</v>
      </c>
      <c r="G93" s="163">
        <f>SUM(C89:C93)</f>
        <v>121660</v>
      </c>
      <c r="H93" s="163">
        <f>SUM(D89:D93)</f>
        <v>13873</v>
      </c>
      <c r="I93" s="163">
        <f>SUM(E89:E93)</f>
        <v>248.2</v>
      </c>
      <c r="J93" s="163">
        <f>SUM(F89:F93)</f>
        <v>37896</v>
      </c>
      <c r="K93" s="984"/>
      <c r="L93" s="180">
        <f t="shared" si="51"/>
        <v>0.32092234381940798</v>
      </c>
      <c r="M93" s="181">
        <f t="shared" si="52"/>
        <v>-0.5524370379651673</v>
      </c>
      <c r="N93" s="182">
        <f t="shared" si="53"/>
        <v>0.20206185567010304</v>
      </c>
      <c r="O93" s="183">
        <f>(F93-F80)/F80</f>
        <v>0.8028404344193818</v>
      </c>
      <c r="P93" s="183">
        <f t="shared" si="55"/>
        <v>0.31726542367742916</v>
      </c>
      <c r="Q93" s="183">
        <f>(H93-H80)/H80</f>
        <v>-0.37197827071072881</v>
      </c>
      <c r="R93" s="183">
        <f t="shared" si="57"/>
        <v>0.28801245459263103</v>
      </c>
      <c r="S93" s="183">
        <f t="shared" si="58"/>
        <v>0.80319756376094409</v>
      </c>
      <c r="U93" s="870">
        <f t="shared" si="60"/>
        <v>9.1573348264277712</v>
      </c>
      <c r="AO93">
        <f t="shared" si="43"/>
        <v>2022.9166666666604</v>
      </c>
      <c r="AP93" s="107">
        <f t="shared" si="49"/>
        <v>6.2254773737902169E-2</v>
      </c>
      <c r="AQ93" s="107">
        <f t="shared" si="50"/>
        <v>3.9694100509832485E-2</v>
      </c>
      <c r="AW93" s="981"/>
      <c r="AX93" s="943" t="s">
        <v>860</v>
      </c>
      <c r="AY93" s="160">
        <v>2035</v>
      </c>
      <c r="AZ93" s="161">
        <f>INDEX($BK$16:$BL$19,MATCH($AX93,$BK$16:$BK$19,0),2)</f>
        <v>110</v>
      </c>
      <c r="BA93" s="162">
        <f>AY93/2*AZ93*$BS$13/10^3</f>
        <v>350.36014992838807</v>
      </c>
      <c r="BB93" s="163">
        <f>SUM(AY92:AY93)</f>
        <v>2605</v>
      </c>
      <c r="BC93" s="163">
        <f>SUM(BA92:BA93)</f>
        <v>466.33820268556275</v>
      </c>
      <c r="BD93" s="1037"/>
      <c r="BE93" s="178">
        <f t="shared" si="59"/>
        <v>-2.5849688846337961E-2</v>
      </c>
      <c r="BF93" s="181"/>
      <c r="BG93" s="182">
        <f t="shared" si="63"/>
        <v>-2.5849688846338034E-2</v>
      </c>
      <c r="BH93" s="183">
        <f t="shared" si="61"/>
        <v>-0.20287637698898409</v>
      </c>
      <c r="BI93" s="183">
        <f t="shared" si="62"/>
        <v>-0.222184514175325</v>
      </c>
    </row>
    <row r="94" spans="1:61" ht="13.8" x14ac:dyDescent="0.25">
      <c r="A94" s="981"/>
      <c r="B94" s="159" t="s">
        <v>735</v>
      </c>
      <c r="C94" s="160">
        <v>32680</v>
      </c>
      <c r="D94" s="161">
        <v>3515</v>
      </c>
      <c r="E94" s="162">
        <v>76.099999999999994</v>
      </c>
      <c r="F94" s="161">
        <v>9981</v>
      </c>
      <c r="G94" s="163">
        <f>SUM(C89:C94)</f>
        <v>154340</v>
      </c>
      <c r="H94" s="163">
        <f>SUM(D89:D94)</f>
        <v>17388</v>
      </c>
      <c r="I94" s="163">
        <f>SUM(E89:E94)</f>
        <v>324.29999999999995</v>
      </c>
      <c r="J94" s="163">
        <f>SUM(F89:F94)</f>
        <v>47877</v>
      </c>
      <c r="K94" s="984"/>
      <c r="L94" s="180">
        <f t="shared" si="51"/>
        <v>7.485857124062624E-2</v>
      </c>
      <c r="M94" s="181">
        <f t="shared" si="52"/>
        <v>-0.28000819336337568</v>
      </c>
      <c r="N94" s="182">
        <f t="shared" si="53"/>
        <v>0.31889081455805879</v>
      </c>
      <c r="O94" s="183">
        <f t="shared" si="54"/>
        <v>0.80618892508143325</v>
      </c>
      <c r="P94" s="183">
        <f>(G94-G81)/G81</f>
        <v>0.25722943581890162</v>
      </c>
      <c r="Q94" s="183">
        <f t="shared" si="56"/>
        <v>-0.35533145484205841</v>
      </c>
      <c r="R94" s="183">
        <f t="shared" si="57"/>
        <v>0.29512779552715651</v>
      </c>
      <c r="S94" s="183">
        <f t="shared" si="58"/>
        <v>0.80382036018385949</v>
      </c>
      <c r="U94" s="870">
        <f t="shared" si="60"/>
        <v>9.2972972972972965</v>
      </c>
      <c r="AO94">
        <f t="shared" si="43"/>
        <v>2022.9999999999936</v>
      </c>
      <c r="AP94" s="107">
        <f t="shared" ref="AP94:AP105" si="64">L102</f>
        <v>0.48721590909090912</v>
      </c>
      <c r="AQ94" s="107">
        <f t="shared" ref="AQ94:AQ105" si="65">M102</f>
        <v>0.53001622498647916</v>
      </c>
      <c r="AW94" s="981"/>
      <c r="AX94" s="943" t="s">
        <v>868</v>
      </c>
      <c r="AY94" s="160">
        <f>AY93+AY92</f>
        <v>2605</v>
      </c>
      <c r="AZ94" s="161"/>
      <c r="BA94" s="162">
        <f>SUM(BA92:BA93)</f>
        <v>466.33820268556275</v>
      </c>
      <c r="BB94" s="163">
        <f>SUM(AY94)</f>
        <v>2605</v>
      </c>
      <c r="BC94" s="163">
        <f>SUM(BA94)</f>
        <v>466.33820268556275</v>
      </c>
      <c r="BD94" s="1037"/>
      <c r="BE94" s="178">
        <f t="shared" ref="BE94:BE101" si="66">(AY94-AY83)/AY83</f>
        <v>-0.20287637698898409</v>
      </c>
      <c r="BF94" s="181"/>
      <c r="BG94" s="182">
        <f t="shared" si="63"/>
        <v>-0.222184514175325</v>
      </c>
      <c r="BH94" s="183">
        <f t="shared" si="61"/>
        <v>-0.20287637698898409</v>
      </c>
      <c r="BI94" s="183">
        <f t="shared" si="62"/>
        <v>-0.222184514175325</v>
      </c>
    </row>
    <row r="95" spans="1:61" ht="13.8" x14ac:dyDescent="0.25">
      <c r="A95" s="981"/>
      <c r="B95" s="159" t="s">
        <v>740</v>
      </c>
      <c r="C95" s="160">
        <v>35401</v>
      </c>
      <c r="D95" s="161">
        <v>4299</v>
      </c>
      <c r="E95" s="162">
        <v>70.2</v>
      </c>
      <c r="F95" s="161">
        <v>10996</v>
      </c>
      <c r="G95" s="163">
        <f>SUM(C89:C95)</f>
        <v>189741</v>
      </c>
      <c r="H95" s="163">
        <f>SUM(D89:D95)</f>
        <v>21687</v>
      </c>
      <c r="I95" s="163">
        <f>SUM(E89:E95)</f>
        <v>394.49999999999994</v>
      </c>
      <c r="J95" s="163">
        <f>SUM(F89:F95)</f>
        <v>58873</v>
      </c>
      <c r="K95" s="984"/>
      <c r="L95" s="180">
        <f t="shared" si="51"/>
        <v>3.1017008387698042E-2</v>
      </c>
      <c r="M95" s="181">
        <f t="shared" si="52"/>
        <v>-3.9973202322465387E-2</v>
      </c>
      <c r="N95" s="182">
        <f>(E95-E82)/E82</f>
        <v>3.3873343151693623E-2</v>
      </c>
      <c r="O95" s="183">
        <f t="shared" si="54"/>
        <v>0.75123427297340339</v>
      </c>
      <c r="P95" s="183">
        <f t="shared" si="55"/>
        <v>0.20778749570331895</v>
      </c>
      <c r="Q95" s="183">
        <f t="shared" si="56"/>
        <v>-0.31042925278219397</v>
      </c>
      <c r="R95" s="183">
        <f t="shared" si="57"/>
        <v>0.23939679547596607</v>
      </c>
      <c r="S95" s="183">
        <f t="shared" si="58"/>
        <v>0.79376009262362512</v>
      </c>
      <c r="U95" s="870">
        <f t="shared" si="60"/>
        <v>8.2347057455222146</v>
      </c>
      <c r="AO95">
        <f t="shared" si="43"/>
        <v>2023.0833333333269</v>
      </c>
      <c r="AP95" s="107">
        <f t="shared" si="64"/>
        <v>0.15278712281972984</v>
      </c>
      <c r="AQ95" s="107">
        <f t="shared" si="65"/>
        <v>-0.25723345223939753</v>
      </c>
      <c r="AW95" s="981"/>
      <c r="AX95" s="948" t="s">
        <v>857</v>
      </c>
      <c r="AY95" s="239">
        <f>AY88+AY92</f>
        <v>18529</v>
      </c>
      <c r="AZ95" s="161">
        <f>INDEX($BK$16:$BL$19,MATCH($AX95,$BK$16:$BK$19,0),2)</f>
        <v>130</v>
      </c>
      <c r="BA95" s="162">
        <f>AY95/2*AZ95*$BS$13/10^3</f>
        <v>3770.1005956801578</v>
      </c>
      <c r="BB95" s="163">
        <f>SUM(AY95)</f>
        <v>18529</v>
      </c>
      <c r="BC95" s="163">
        <f>SUM(BA95)</f>
        <v>3770.1005956801578</v>
      </c>
      <c r="BD95" s="1037"/>
      <c r="BE95" s="178">
        <f t="shared" si="66"/>
        <v>0.11863076551557594</v>
      </c>
      <c r="BF95" s="181"/>
      <c r="BG95" s="182">
        <f t="shared" si="63"/>
        <v>0.11863076551557598</v>
      </c>
      <c r="BH95" s="183">
        <f t="shared" si="61"/>
        <v>0.11863076551557594</v>
      </c>
      <c r="BI95" s="183">
        <f t="shared" si="62"/>
        <v>0.11863076551557598</v>
      </c>
    </row>
    <row r="96" spans="1:61" ht="13.8" x14ac:dyDescent="0.25">
      <c r="A96" s="981"/>
      <c r="B96" s="159" t="s">
        <v>752</v>
      </c>
      <c r="C96" s="160">
        <v>42258</v>
      </c>
      <c r="D96" s="161">
        <v>6000</v>
      </c>
      <c r="E96" s="162">
        <v>65</v>
      </c>
      <c r="F96" s="161">
        <v>10954</v>
      </c>
      <c r="G96" s="163">
        <f>SUM(C89:C96)</f>
        <v>231999</v>
      </c>
      <c r="H96" s="163">
        <f>SUM(D89:D96)</f>
        <v>27687</v>
      </c>
      <c r="I96" s="163">
        <f>SUM(E89:E96)</f>
        <v>459.49999999999994</v>
      </c>
      <c r="J96" s="163">
        <f>SUM(F89:F96)</f>
        <v>69827</v>
      </c>
      <c r="K96" s="984"/>
      <c r="L96" s="180">
        <f t="shared" si="51"/>
        <v>0.28600121728545341</v>
      </c>
      <c r="M96" s="181">
        <f t="shared" si="52"/>
        <v>0.24197888635893189</v>
      </c>
      <c r="N96" s="182">
        <f t="shared" si="53"/>
        <v>0.78082191780821919</v>
      </c>
      <c r="O96" s="183">
        <f t="shared" si="54"/>
        <v>0.65969696969696967</v>
      </c>
      <c r="P96" s="183">
        <f t="shared" si="55"/>
        <v>0.22131734383390012</v>
      </c>
      <c r="Q96" s="183">
        <f t="shared" si="56"/>
        <v>-0.23687329456189191</v>
      </c>
      <c r="R96" s="183">
        <f t="shared" si="57"/>
        <v>0.29509582863585121</v>
      </c>
      <c r="S96" s="183">
        <f t="shared" si="58"/>
        <v>0.77131478146165744</v>
      </c>
      <c r="U96" s="870">
        <f t="shared" si="60"/>
        <v>7.0430000000000001</v>
      </c>
      <c r="AO96">
        <f t="shared" si="43"/>
        <v>2023.1666666666601</v>
      </c>
      <c r="AP96" s="107">
        <f t="shared" si="64"/>
        <v>8.1360892628498258E-2</v>
      </c>
      <c r="AQ96" s="107">
        <f t="shared" si="65"/>
        <v>0.7996589940323956</v>
      </c>
      <c r="AW96" s="981"/>
      <c r="AX96" s="948" t="s">
        <v>860</v>
      </c>
      <c r="AY96" s="239">
        <f>AY93+AY89</f>
        <v>14929</v>
      </c>
      <c r="AZ96" s="161">
        <f>INDEX($BK$16:$BL$19,MATCH($AX96,$BK$16:$BK$19,0),2)</f>
        <v>110</v>
      </c>
      <c r="BA96" s="162">
        <f>AY96/2*AZ96*$BS$13/10^3</f>
        <v>2570.2833799906166</v>
      </c>
      <c r="BB96" s="163">
        <f>SUM(AY95:AY96)</f>
        <v>33458</v>
      </c>
      <c r="BC96" s="163">
        <f>SUM(BA95:BA96)</f>
        <v>6340.3839756707748</v>
      </c>
      <c r="BD96" s="1037"/>
      <c r="BE96" s="178">
        <f t="shared" si="66"/>
        <v>2.6048109965635738E-2</v>
      </c>
      <c r="BF96" s="181"/>
      <c r="BG96" s="182">
        <f t="shared" si="63"/>
        <v>2.6048109965635734E-2</v>
      </c>
      <c r="BH96" s="183">
        <f t="shared" si="61"/>
        <v>7.5335861669987791E-2</v>
      </c>
      <c r="BI96" s="183">
        <f t="shared" si="62"/>
        <v>7.9156699042575399E-2</v>
      </c>
    </row>
    <row r="97" spans="1:61" ht="14.4" thickBot="1" x14ac:dyDescent="0.3">
      <c r="A97" s="981"/>
      <c r="B97" s="159" t="s">
        <v>754</v>
      </c>
      <c r="C97" s="160">
        <v>33422</v>
      </c>
      <c r="D97" s="161">
        <v>5132</v>
      </c>
      <c r="E97" s="162">
        <v>61.1</v>
      </c>
      <c r="F97" s="161">
        <v>10534</v>
      </c>
      <c r="G97" s="163">
        <f>SUM(C89:C97)</f>
        <v>265421</v>
      </c>
      <c r="H97" s="163">
        <f>SUM(D89:D97)</f>
        <v>32819</v>
      </c>
      <c r="I97" s="163">
        <f>SUM(E89:E97)</f>
        <v>520.59999999999991</v>
      </c>
      <c r="J97" s="163">
        <f>SUM(F89:F97)</f>
        <v>80361</v>
      </c>
      <c r="K97" s="984"/>
      <c r="L97" s="180">
        <f t="shared" si="51"/>
        <v>0.17538245120450149</v>
      </c>
      <c r="M97" s="181">
        <f t="shared" si="52"/>
        <v>0.32953367875647671</v>
      </c>
      <c r="N97" s="182">
        <f t="shared" si="53"/>
        <v>0.16826003824091787</v>
      </c>
      <c r="O97" s="183">
        <f t="shared" si="54"/>
        <v>0.40509537148192609</v>
      </c>
      <c r="P97" s="183">
        <f t="shared" si="55"/>
        <v>0.21533657214288004</v>
      </c>
      <c r="Q97" s="183">
        <f t="shared" si="56"/>
        <v>-0.18240701527116912</v>
      </c>
      <c r="R97" s="183">
        <f t="shared" si="57"/>
        <v>0.27880127732743787</v>
      </c>
      <c r="S97" s="183">
        <f t="shared" si="58"/>
        <v>0.71279679440726373</v>
      </c>
      <c r="U97" s="870">
        <f t="shared" si="60"/>
        <v>6.5124707716289949</v>
      </c>
      <c r="AO97">
        <f t="shared" si="43"/>
        <v>2023.2499999999934</v>
      </c>
      <c r="AP97" s="107">
        <f t="shared" si="64"/>
        <v>-4.3620501635768812E-2</v>
      </c>
      <c r="AQ97" s="107">
        <f t="shared" si="65"/>
        <v>-9.1543399385989391E-2</v>
      </c>
      <c r="AW97" s="982"/>
      <c r="AX97" s="948" t="s">
        <v>862</v>
      </c>
      <c r="AY97" s="239">
        <f>AY90</f>
        <v>11111</v>
      </c>
      <c r="AZ97" s="217">
        <f>INDEX($BK$16:$BL$19,MATCH($AX97,$BK$16:$BK$19,0),2)</f>
        <v>3.5</v>
      </c>
      <c r="BA97" s="162">
        <f>AY97/2*AZ97*$BS$13/10^3</f>
        <v>60.866565514809551</v>
      </c>
      <c r="BB97" s="163">
        <f>SUM(AY95:AY97)</f>
        <v>44569</v>
      </c>
      <c r="BC97" s="163">
        <f>SUM(BA95:BA97)</f>
        <v>6401.2505411855846</v>
      </c>
      <c r="BD97" s="1037"/>
      <c r="BE97" s="178">
        <f t="shared" si="66"/>
        <v>-4.6920569565963285E-2</v>
      </c>
      <c r="BF97" s="181"/>
      <c r="BG97" s="182">
        <f t="shared" si="63"/>
        <v>-4.6920569565963299E-2</v>
      </c>
      <c r="BH97" s="183">
        <f t="shared" si="61"/>
        <v>4.2013466753951186E-2</v>
      </c>
      <c r="BI97" s="183">
        <f t="shared" si="62"/>
        <v>7.780100948104747E-2</v>
      </c>
    </row>
    <row r="98" spans="1:61" ht="14.4" thickBot="1" x14ac:dyDescent="0.3">
      <c r="A98" s="981"/>
      <c r="B98" s="159" t="s">
        <v>755</v>
      </c>
      <c r="C98" s="160">
        <v>31564</v>
      </c>
      <c r="D98" s="161">
        <v>4406</v>
      </c>
      <c r="E98" s="162">
        <v>57.9</v>
      </c>
      <c r="F98" s="161">
        <v>10498</v>
      </c>
      <c r="G98" s="163">
        <f>SUM(C89:C98)</f>
        <v>296985</v>
      </c>
      <c r="H98" s="163">
        <f>SUM(D89:D98)</f>
        <v>37225</v>
      </c>
      <c r="I98" s="163">
        <f>SUM(E89:E98)</f>
        <v>578.49999999999989</v>
      </c>
      <c r="J98" s="163">
        <f>SUM(F89:F98)</f>
        <v>90859</v>
      </c>
      <c r="K98" s="984"/>
      <c r="L98" s="180">
        <f t="shared" si="51"/>
        <v>-1.3224122299684248E-2</v>
      </c>
      <c r="M98" s="181">
        <f>(D98-D85)/D85</f>
        <v>-5.2269305226930525E-2</v>
      </c>
      <c r="N98" s="182">
        <f t="shared" si="53"/>
        <v>2.2968197879858605E-2</v>
      </c>
      <c r="O98" s="183">
        <f t="shared" si="54"/>
        <v>0.40610768818644521</v>
      </c>
      <c r="P98" s="183">
        <f t="shared" si="55"/>
        <v>0.18613707165109034</v>
      </c>
      <c r="Q98" s="183">
        <f t="shared" si="56"/>
        <v>-0.16889930788122348</v>
      </c>
      <c r="R98" s="183">
        <f t="shared" si="57"/>
        <v>0.2475738624110414</v>
      </c>
      <c r="S98" s="183">
        <f t="shared" si="58"/>
        <v>0.67069358634892617</v>
      </c>
      <c r="U98" s="870">
        <f t="shared" si="60"/>
        <v>7.1638674534725375</v>
      </c>
      <c r="AO98">
        <f t="shared" si="43"/>
        <v>2023.3333333333267</v>
      </c>
      <c r="AP98" s="107">
        <f t="shared" si="64"/>
        <v>-0.15585447875267502</v>
      </c>
      <c r="AQ98" s="107">
        <f t="shared" si="65"/>
        <v>-0.32390817469204924</v>
      </c>
      <c r="AW98" s="172" t="s">
        <v>3</v>
      </c>
      <c r="AX98" s="188">
        <f>AW88</f>
        <v>2023</v>
      </c>
      <c r="AY98" s="174">
        <f>SUM(AY95:AY97)</f>
        <v>44569</v>
      </c>
      <c r="AZ98" s="174"/>
      <c r="BA98" s="174">
        <f>SUM(BA95:BA97)</f>
        <v>6401.2505411855846</v>
      </c>
      <c r="BB98" s="175">
        <f>BB97</f>
        <v>44569</v>
      </c>
      <c r="BC98" s="175">
        <f>BC97</f>
        <v>6401.2505411855846</v>
      </c>
      <c r="BD98" s="1038"/>
      <c r="BE98" s="189">
        <f t="shared" si="66"/>
        <v>4.2013466753951186E-2</v>
      </c>
      <c r="BF98" s="189"/>
      <c r="BG98" s="190">
        <f t="shared" si="63"/>
        <v>7.780100948104747E-2</v>
      </c>
      <c r="BH98" s="191">
        <f t="shared" si="61"/>
        <v>4.2013466753951186E-2</v>
      </c>
      <c r="BI98" s="191">
        <f t="shared" si="62"/>
        <v>7.780100948104747E-2</v>
      </c>
    </row>
    <row r="99" spans="1:61" ht="13.8" x14ac:dyDescent="0.25">
      <c r="A99" s="981"/>
      <c r="B99" s="159" t="s">
        <v>756</v>
      </c>
      <c r="C99" s="160">
        <v>27462</v>
      </c>
      <c r="D99" s="161">
        <v>2651</v>
      </c>
      <c r="E99" s="162">
        <v>62.5</v>
      </c>
      <c r="F99" s="161">
        <v>9535</v>
      </c>
      <c r="G99" s="163">
        <f>SUM(C89:C99)</f>
        <v>324447</v>
      </c>
      <c r="H99" s="163">
        <f>SUM(D89:D99)</f>
        <v>39876</v>
      </c>
      <c r="I99" s="163">
        <f>SUM(E89:E99)</f>
        <v>640.99999999999989</v>
      </c>
      <c r="J99" s="163">
        <f>SUM(F89:F99)</f>
        <v>100394</v>
      </c>
      <c r="K99" s="984"/>
      <c r="L99" s="180">
        <f t="shared" si="51"/>
        <v>0.16889418574955309</v>
      </c>
      <c r="M99" s="181">
        <f t="shared" si="52"/>
        <v>-0.13928571428571429</v>
      </c>
      <c r="N99" s="182">
        <f t="shared" si="53"/>
        <v>0.38580931263858087</v>
      </c>
      <c r="O99" s="183">
        <f t="shared" si="54"/>
        <v>0.3456110640699972</v>
      </c>
      <c r="P99" s="183">
        <f t="shared" si="55"/>
        <v>0.18465790838122639</v>
      </c>
      <c r="Q99" s="183">
        <f t="shared" si="56"/>
        <v>-0.16699394192604972</v>
      </c>
      <c r="R99" s="183">
        <f t="shared" si="57"/>
        <v>0.25982704402515699</v>
      </c>
      <c r="S99" s="183">
        <f t="shared" si="58"/>
        <v>0.63321945664551815</v>
      </c>
      <c r="U99" s="870">
        <f t="shared" si="60"/>
        <v>10.359109769898152</v>
      </c>
      <c r="AO99">
        <f t="shared" si="43"/>
        <v>2023.4166666666599</v>
      </c>
      <c r="AP99" s="107">
        <f t="shared" si="64"/>
        <v>-3.9228886168910647E-2</v>
      </c>
      <c r="AQ99" s="107">
        <f t="shared" si="65"/>
        <v>9.2745376955903278E-2</v>
      </c>
      <c r="AW99" s="986">
        <v>2024</v>
      </c>
      <c r="AX99" s="939" t="s">
        <v>857</v>
      </c>
      <c r="AY99" s="152">
        <v>19529</v>
      </c>
      <c r="AZ99" s="153">
        <f>INDEX($BK$16:$BL$19,MATCH($AX99,$BK$16:$BK$19,0),2)</f>
        <v>130</v>
      </c>
      <c r="BA99" s="154">
        <f>AY99/2*AZ99*$BS$13/10^3</f>
        <v>3973.5708636752015</v>
      </c>
      <c r="BB99" s="155">
        <f>AY99</f>
        <v>19529</v>
      </c>
      <c r="BC99" s="155">
        <f>BA99</f>
        <v>3973.5708636752015</v>
      </c>
      <c r="BD99" s="1075" t="str">
        <f>"Milli áranna "&amp; AW88&amp;" og "&amp; AW99</f>
        <v>Milli áranna 2023 og 2024</v>
      </c>
      <c r="BE99" s="178">
        <f t="shared" si="66"/>
        <v>8.7421348627429146E-2</v>
      </c>
      <c r="BF99" s="178"/>
      <c r="BG99" s="178">
        <f t="shared" si="63"/>
        <v>8.7421348627429271E-2</v>
      </c>
      <c r="BH99" s="179">
        <f>(BB99-BB88)/BB88</f>
        <v>8.7421348627429146E-2</v>
      </c>
      <c r="BI99" s="179">
        <f t="shared" si="62"/>
        <v>8.7421348627429271E-2</v>
      </c>
    </row>
    <row r="100" spans="1:61" ht="14.4" thickBot="1" x14ac:dyDescent="0.3">
      <c r="A100" s="987"/>
      <c r="B100" s="167" t="s">
        <v>758</v>
      </c>
      <c r="C100" s="168">
        <v>24366</v>
      </c>
      <c r="D100" s="169">
        <v>2855</v>
      </c>
      <c r="E100" s="170">
        <v>69</v>
      </c>
      <c r="F100" s="171">
        <v>8387</v>
      </c>
      <c r="G100" s="163">
        <f>SUM(C89:C100)</f>
        <v>348813</v>
      </c>
      <c r="H100" s="163">
        <f>SUM(D89:D100)</f>
        <v>42731</v>
      </c>
      <c r="I100" s="163">
        <f>SUM(E89:E100)</f>
        <v>709.99999999999989</v>
      </c>
      <c r="J100" s="163">
        <f>SUM(F89:F100)</f>
        <v>108781</v>
      </c>
      <c r="K100" s="984"/>
      <c r="L100" s="184">
        <f t="shared" si="51"/>
        <v>6.2254773737902169E-2</v>
      </c>
      <c r="M100" s="185">
        <f t="shared" si="52"/>
        <v>3.9694100509832485E-2</v>
      </c>
      <c r="N100" s="186">
        <f t="shared" si="53"/>
        <v>-6.7567567567567571E-2</v>
      </c>
      <c r="O100" s="187">
        <f t="shared" si="54"/>
        <v>8.2892188508715298E-2</v>
      </c>
      <c r="P100" s="187">
        <f t="shared" si="55"/>
        <v>0.17519844211150493</v>
      </c>
      <c r="Q100" s="187">
        <f t="shared" si="56"/>
        <v>-0.15578078078078078</v>
      </c>
      <c r="R100" s="187">
        <f t="shared" si="57"/>
        <v>0.21825669183253249</v>
      </c>
      <c r="S100" s="187">
        <f t="shared" si="58"/>
        <v>0.57163909557176917</v>
      </c>
      <c r="U100" s="870">
        <f t="shared" si="60"/>
        <v>8.5345008756567431</v>
      </c>
      <c r="AO100">
        <f t="shared" si="43"/>
        <v>2023.4999999999932</v>
      </c>
      <c r="AP100" s="107">
        <f t="shared" si="64"/>
        <v>0.29202564899296629</v>
      </c>
      <c r="AQ100" s="107">
        <f t="shared" si="65"/>
        <v>0.96720167480809494</v>
      </c>
      <c r="AW100" s="981"/>
      <c r="AX100" s="943" t="s">
        <v>860</v>
      </c>
      <c r="AY100" s="160">
        <v>10787</v>
      </c>
      <c r="AZ100" s="161">
        <f>INDEX($BK$16:$BL$19,MATCH($AX100,$BK$16:$BK$19,0),2)</f>
        <v>110</v>
      </c>
      <c r="BA100" s="162">
        <f>AY100/2*AZ100*$BS$13/10^3</f>
        <v>1857.1670453452198</v>
      </c>
      <c r="BB100" s="163">
        <f>SUM(AY99:AY100)</f>
        <v>30316</v>
      </c>
      <c r="BC100" s="163">
        <f>SUM(BA99:BA100)</f>
        <v>5830.7379090204213</v>
      </c>
      <c r="BD100" s="1037"/>
      <c r="BE100" s="178">
        <f t="shared" si="66"/>
        <v>-0.16340933767643864</v>
      </c>
      <c r="BF100" s="181"/>
      <c r="BG100" s="182">
        <f>(BA100-BA89)/BA89</f>
        <v>-0.16340933767643862</v>
      </c>
      <c r="BH100" s="183">
        <f t="shared" ref="BH100:BH109" si="67">(BB100-BB89)/BB89</f>
        <v>-1.7405114575568016E-2</v>
      </c>
      <c r="BI100" s="183">
        <f t="shared" si="62"/>
        <v>-7.3727488069574481E-3</v>
      </c>
    </row>
    <row r="101" spans="1:61" ht="14.4" thickBot="1" x14ac:dyDescent="0.3">
      <c r="A101" s="172" t="s">
        <v>3</v>
      </c>
      <c r="B101" s="188">
        <f>A89</f>
        <v>2022</v>
      </c>
      <c r="C101" s="174">
        <f>SUM(C89:C100)</f>
        <v>348813</v>
      </c>
      <c r="D101" s="174">
        <f>SUM(D89:D100)</f>
        <v>42731</v>
      </c>
      <c r="E101" s="174">
        <f>SUM(E89:E100)</f>
        <v>709.99999999999989</v>
      </c>
      <c r="F101" s="174">
        <f>SUM(F89:F100)</f>
        <v>108781</v>
      </c>
      <c r="G101" s="175">
        <f>G93</f>
        <v>121660</v>
      </c>
      <c r="H101" s="175">
        <f>H93</f>
        <v>13873</v>
      </c>
      <c r="I101" s="175">
        <f>I93</f>
        <v>248.2</v>
      </c>
      <c r="J101" s="175">
        <f>J93</f>
        <v>37896</v>
      </c>
      <c r="K101" s="985"/>
      <c r="L101" s="189">
        <f t="shared" ref="L101:O102" si="68">(C101-C88)/C88</f>
        <v>0.17519844211150493</v>
      </c>
      <c r="M101" s="189">
        <f t="shared" si="68"/>
        <v>-0.15578078078078078</v>
      </c>
      <c r="N101" s="190">
        <f t="shared" si="68"/>
        <v>0.21825669183253249</v>
      </c>
      <c r="O101" s="191">
        <f t="shared" si="68"/>
        <v>0.57163909557176917</v>
      </c>
      <c r="P101" s="191">
        <f t="shared" ref="P101:P106" si="69">(G101-G88)/G88</f>
        <v>0.31726542367742916</v>
      </c>
      <c r="Q101" s="191">
        <f t="shared" ref="Q101:S102" si="70">(H101-H88)/H88</f>
        <v>-0.37197827071072881</v>
      </c>
      <c r="R101" s="191">
        <f t="shared" si="70"/>
        <v>0.28801245459263103</v>
      </c>
      <c r="S101" s="191">
        <f t="shared" si="70"/>
        <v>0.80319756376094409</v>
      </c>
      <c r="U101" s="870">
        <f t="shared" si="60"/>
        <v>8.1629964194612814</v>
      </c>
      <c r="AO101">
        <f t="shared" si="43"/>
        <v>2023.5833333333264</v>
      </c>
      <c r="AP101" s="107">
        <f t="shared" si="64"/>
        <v>-5.4119929954091532E-2</v>
      </c>
      <c r="AQ101" s="107">
        <f t="shared" si="65"/>
        <v>-1.55E-2</v>
      </c>
      <c r="AW101" s="981"/>
      <c r="AX101" s="943" t="s">
        <v>862</v>
      </c>
      <c r="AY101" s="160">
        <v>8642</v>
      </c>
      <c r="AZ101" s="217">
        <f>INDEX($BK$16:$BL$19,MATCH($AX101,$BK$16:$BK$19,0),2)</f>
        <v>3.5</v>
      </c>
      <c r="BA101" s="162">
        <f>AY101/2*AZ101*$BS$13/10^3</f>
        <v>47.341270738815972</v>
      </c>
      <c r="BB101" s="163">
        <f>SUM(AY99:AY101)</f>
        <v>38958</v>
      </c>
      <c r="BC101" s="163">
        <f>SUM(BA99:BA101)</f>
        <v>5878.0791797592374</v>
      </c>
      <c r="BD101" s="1037"/>
      <c r="BE101" s="178">
        <f t="shared" si="66"/>
        <v>-0.22221222212222122</v>
      </c>
      <c r="BF101" s="181"/>
      <c r="BG101" s="182">
        <f t="shared" ref="BG101:BG110" si="71">(BA101-BA90)/BA90</f>
        <v>-0.22221222212222105</v>
      </c>
      <c r="BH101" s="183">
        <f t="shared" si="67"/>
        <v>-7.1632828138404353E-2</v>
      </c>
      <c r="BI101" s="183">
        <f t="shared" si="62"/>
        <v>-9.5760738321448748E-3</v>
      </c>
    </row>
    <row r="102" spans="1:61" ht="13.8" x14ac:dyDescent="0.25">
      <c r="A102" s="981">
        <v>2023</v>
      </c>
      <c r="B102" s="151" t="s">
        <v>710</v>
      </c>
      <c r="C102" s="152">
        <v>21987</v>
      </c>
      <c r="D102" s="153">
        <v>2829</v>
      </c>
      <c r="E102" s="154">
        <v>53</v>
      </c>
      <c r="F102" s="153">
        <v>9017</v>
      </c>
      <c r="G102" s="155">
        <f>C102</f>
        <v>21987</v>
      </c>
      <c r="H102" s="155">
        <f>D102</f>
        <v>2829</v>
      </c>
      <c r="I102" s="155">
        <f>E102</f>
        <v>53</v>
      </c>
      <c r="J102" s="155">
        <f>F102</f>
        <v>9017</v>
      </c>
      <c r="K102" s="983" t="str">
        <f>"Milli áranna "&amp; A89&amp;" og "&amp; A102</f>
        <v>Milli áranna 2022 og 2023</v>
      </c>
      <c r="L102" s="178">
        <f t="shared" si="68"/>
        <v>0.48721590909090912</v>
      </c>
      <c r="M102" s="178">
        <f t="shared" si="68"/>
        <v>0.53001622498647916</v>
      </c>
      <c r="N102" s="178">
        <f t="shared" si="68"/>
        <v>0.32500000000000001</v>
      </c>
      <c r="O102" s="179">
        <f t="shared" si="68"/>
        <v>0.22065791254907269</v>
      </c>
      <c r="P102" s="179">
        <f t="shared" si="69"/>
        <v>0.48721590909090912</v>
      </c>
      <c r="Q102" s="179">
        <f t="shared" si="70"/>
        <v>0.53001622498647916</v>
      </c>
      <c r="R102" s="179">
        <f t="shared" si="70"/>
        <v>0.32500000000000001</v>
      </c>
      <c r="S102" s="179">
        <f t="shared" si="70"/>
        <v>0.22065791254907269</v>
      </c>
      <c r="U102" s="870">
        <f t="shared" si="60"/>
        <v>7.7720042417815485</v>
      </c>
      <c r="AO102">
        <f t="shared" si="43"/>
        <v>2023.6666666666597</v>
      </c>
      <c r="AP102" s="107">
        <f t="shared" si="64"/>
        <v>-7.5788402848423198E-2</v>
      </c>
      <c r="AQ102" s="107">
        <f t="shared" si="65"/>
        <v>-0.30650818394388152</v>
      </c>
      <c r="AW102" s="981"/>
      <c r="AX102" s="943" t="s">
        <v>864</v>
      </c>
      <c r="AY102" s="160">
        <f>SUM(AY99:AY101)</f>
        <v>38958</v>
      </c>
      <c r="AZ102" s="161"/>
      <c r="BA102" s="162">
        <f>SUM(BA99:BA101)</f>
        <v>5878.0791797592374</v>
      </c>
      <c r="BB102" s="163">
        <f>SUM(AY99:AY101)</f>
        <v>38958</v>
      </c>
      <c r="BC102" s="163">
        <f>SUM(BA99:BA101)</f>
        <v>5878.0791797592374</v>
      </c>
      <c r="BD102" s="1037"/>
      <c r="BE102" s="178">
        <f t="shared" ref="BE102:BE110" si="72">(AY102-AY91)/AY91</f>
        <v>-7.1632828138404353E-2</v>
      </c>
      <c r="BF102" s="181"/>
      <c r="BG102" s="182">
        <f t="shared" si="71"/>
        <v>-9.5760738321448748E-3</v>
      </c>
      <c r="BH102" s="183">
        <f t="shared" si="67"/>
        <v>-7.1632828138404353E-2</v>
      </c>
      <c r="BI102" s="183">
        <f t="shared" si="62"/>
        <v>-9.5760738321448748E-3</v>
      </c>
    </row>
    <row r="103" spans="1:61" ht="13.8" x14ac:dyDescent="0.25">
      <c r="A103" s="981"/>
      <c r="B103" s="159" t="s">
        <v>715</v>
      </c>
      <c r="C103" s="160">
        <v>22273</v>
      </c>
      <c r="D103" s="161">
        <v>1874</v>
      </c>
      <c r="E103" s="162">
        <v>46</v>
      </c>
      <c r="F103" s="161">
        <v>8533</v>
      </c>
      <c r="G103" s="163">
        <f>SUM(C102:C103)</f>
        <v>44260</v>
      </c>
      <c r="H103" s="163">
        <f>SUM(D102:D103)</f>
        <v>4703</v>
      </c>
      <c r="I103" s="163">
        <f>SUM(E102:E103)</f>
        <v>99</v>
      </c>
      <c r="J103" s="163">
        <f>SUM(F102:F103)</f>
        <v>17550</v>
      </c>
      <c r="K103" s="984"/>
      <c r="L103" s="180">
        <f t="shared" ref="L103:L114" si="73">(C103-C90)/C90</f>
        <v>0.15278712281972984</v>
      </c>
      <c r="M103" s="181">
        <f t="shared" ref="M103:M110" si="74">(D103-D90)/D90</f>
        <v>-0.25723345223939753</v>
      </c>
      <c r="N103" s="182">
        <f t="shared" ref="N103:O106" si="75">(E103-E90)/E90</f>
        <v>0.17948717948717949</v>
      </c>
      <c r="O103" s="183">
        <f t="shared" si="75"/>
        <v>0.2242467718794835</v>
      </c>
      <c r="P103" s="183">
        <f t="shared" si="69"/>
        <v>0.29775692713678348</v>
      </c>
      <c r="Q103" s="183">
        <f>(H103-H90)/H90</f>
        <v>7.5709057639524249E-2</v>
      </c>
      <c r="R103" s="183">
        <f t="shared" ref="R103:R114" si="76">(I103-I90)/I90</f>
        <v>0.25316455696202533</v>
      </c>
      <c r="S103" s="183">
        <f t="shared" ref="S103:S114" si="77">(J103-J90)/J90</f>
        <v>0.22240022288778993</v>
      </c>
      <c r="U103" s="870">
        <f t="shared" ref="U103:U132" si="78">C103/D103</f>
        <v>11.885272145144077</v>
      </c>
      <c r="AO103">
        <f t="shared" si="43"/>
        <v>2023.749999999993</v>
      </c>
      <c r="AP103" s="107">
        <f t="shared" si="64"/>
        <v>-7.4958813838550242E-2</v>
      </c>
      <c r="AQ103" s="107">
        <f t="shared" si="65"/>
        <v>-0.33885610531093963</v>
      </c>
      <c r="AW103" s="981"/>
      <c r="AX103" s="943" t="s">
        <v>857</v>
      </c>
      <c r="AY103" s="160">
        <v>558</v>
      </c>
      <c r="AZ103" s="161">
        <f>INDEX($BK$16:$BL$19,MATCH($AX103,$BK$16:$BK$19,0),2)</f>
        <v>130</v>
      </c>
      <c r="BA103" s="162">
        <f>AY103/2*AZ103*$BS$13/10^3</f>
        <v>113.53640954123416</v>
      </c>
      <c r="BB103" s="163">
        <f>SUM(AY103)</f>
        <v>558</v>
      </c>
      <c r="BC103" s="163">
        <f>SUM(BA103)</f>
        <v>113.53640954123416</v>
      </c>
      <c r="BD103" s="1037"/>
      <c r="BE103" s="178">
        <f t="shared" si="72"/>
        <v>-2.1052631578947368E-2</v>
      </c>
      <c r="BF103" s="181"/>
      <c r="BG103" s="182">
        <f t="shared" si="71"/>
        <v>-2.1052631578947458E-2</v>
      </c>
      <c r="BH103" s="183">
        <f t="shared" si="67"/>
        <v>-2.1052631578947368E-2</v>
      </c>
      <c r="BI103" s="183">
        <f t="shared" si="62"/>
        <v>-2.1052631578947458E-2</v>
      </c>
    </row>
    <row r="104" spans="1:61" ht="13.8" x14ac:dyDescent="0.25">
      <c r="A104" s="981"/>
      <c r="B104" s="159" t="s">
        <v>718</v>
      </c>
      <c r="C104" s="160">
        <v>29559</v>
      </c>
      <c r="D104" s="161">
        <v>4222</v>
      </c>
      <c r="E104" s="162">
        <v>55</v>
      </c>
      <c r="F104" s="161">
        <v>9808</v>
      </c>
      <c r="G104" s="163">
        <f>SUM(C102:C104)</f>
        <v>73819</v>
      </c>
      <c r="H104" s="163">
        <f>SUM(D102:D104)</f>
        <v>8925</v>
      </c>
      <c r="I104" s="163">
        <f>SUM(E102:E104)</f>
        <v>154</v>
      </c>
      <c r="J104" s="163">
        <f>SUM(F102:F104)</f>
        <v>27358</v>
      </c>
      <c r="K104" s="984"/>
      <c r="L104" s="180">
        <f t="shared" si="73"/>
        <v>8.1360892628498258E-2</v>
      </c>
      <c r="M104" s="181">
        <f t="shared" si="74"/>
        <v>0.7996589940323956</v>
      </c>
      <c r="N104" s="182">
        <f t="shared" si="75"/>
        <v>0.12244897959183673</v>
      </c>
      <c r="O104" s="183">
        <f t="shared" si="75"/>
        <v>0.36392713113614239</v>
      </c>
      <c r="P104" s="183">
        <f t="shared" si="69"/>
        <v>0.20148111979166666</v>
      </c>
      <c r="Q104" s="183">
        <f>(H104-H91)/H91</f>
        <v>0.32852039297409941</v>
      </c>
      <c r="R104" s="183">
        <f t="shared" si="76"/>
        <v>0.203125</v>
      </c>
      <c r="S104" s="183">
        <f t="shared" si="77"/>
        <v>0.26963059216632634</v>
      </c>
      <c r="U104" s="870">
        <f t="shared" si="78"/>
        <v>7.0011842728564657</v>
      </c>
      <c r="AO104">
        <f t="shared" si="43"/>
        <v>2023.8333333333262</v>
      </c>
      <c r="AP104" s="107">
        <f t="shared" si="64"/>
        <v>-3.3063870075012748E-2</v>
      </c>
      <c r="AQ104" s="107">
        <f t="shared" si="65"/>
        <v>8.4119200301772917E-2</v>
      </c>
      <c r="AW104" s="981"/>
      <c r="AX104" s="943" t="s">
        <v>860</v>
      </c>
      <c r="AY104" s="160">
        <v>2021</v>
      </c>
      <c r="AZ104" s="161">
        <f>INDEX($BK$16:$BL$19,MATCH($AX104,$BK$16:$BK$19,0),2)</f>
        <v>110</v>
      </c>
      <c r="BA104" s="162">
        <f>AY104/2*AZ104*$BS$13/10^3</f>
        <v>347.94980983060066</v>
      </c>
      <c r="BB104" s="163">
        <f>SUM(AY103:AY104)</f>
        <v>2579</v>
      </c>
      <c r="BC104" s="163">
        <f>SUM(BA103:BA104)</f>
        <v>461.48621937183481</v>
      </c>
      <c r="BD104" s="1037"/>
      <c r="BE104" s="178">
        <f t="shared" si="72"/>
        <v>-6.8796068796068794E-3</v>
      </c>
      <c r="BF104" s="181"/>
      <c r="BG104" s="182">
        <f t="shared" si="71"/>
        <v>-6.8796068796068092E-3</v>
      </c>
      <c r="BH104" s="183">
        <f t="shared" si="67"/>
        <v>-9.9808061420345491E-3</v>
      </c>
      <c r="BI104" s="183">
        <f t="shared" si="62"/>
        <v>-1.0404430273535797E-2</v>
      </c>
    </row>
    <row r="105" spans="1:61" ht="13.8" x14ac:dyDescent="0.25">
      <c r="A105" s="981"/>
      <c r="B105" s="159" t="s">
        <v>725</v>
      </c>
      <c r="C105" s="160">
        <v>26310</v>
      </c>
      <c r="D105" s="161">
        <v>3255</v>
      </c>
      <c r="E105" s="162">
        <v>47</v>
      </c>
      <c r="F105" s="161">
        <v>9937</v>
      </c>
      <c r="G105" s="163">
        <f>SUM(C102:C105)</f>
        <v>100129</v>
      </c>
      <c r="H105" s="163">
        <f>SUM(D102:D105)</f>
        <v>12180</v>
      </c>
      <c r="I105" s="163">
        <f>SUM(E102:E105)</f>
        <v>201</v>
      </c>
      <c r="J105" s="163">
        <f>SUM(F102:F105)</f>
        <v>37295</v>
      </c>
      <c r="K105" s="984"/>
      <c r="L105" s="180">
        <f t="shared" si="73"/>
        <v>-4.3620501635768812E-2</v>
      </c>
      <c r="M105" s="181">
        <f t="shared" si="74"/>
        <v>-9.1543399385989391E-2</v>
      </c>
      <c r="N105" s="182">
        <f t="shared" si="75"/>
        <v>-0.2407108239095315</v>
      </c>
      <c r="O105" s="183">
        <f t="shared" si="75"/>
        <v>0.28784344219803004</v>
      </c>
      <c r="P105" s="183">
        <f t="shared" si="69"/>
        <v>0.12567734682405846</v>
      </c>
      <c r="Q105" s="183">
        <f>(H105-H92)/H92</f>
        <v>0.18240947480827105</v>
      </c>
      <c r="R105" s="183">
        <f t="shared" si="76"/>
        <v>5.8451816745655576E-2</v>
      </c>
      <c r="S105" s="183">
        <f t="shared" si="77"/>
        <v>0.27443275013668672</v>
      </c>
      <c r="U105" s="870">
        <f t="shared" si="78"/>
        <v>8.0829493087557598</v>
      </c>
      <c r="AO105">
        <f t="shared" si="43"/>
        <v>2023.9166666666595</v>
      </c>
      <c r="AP105" s="107">
        <f t="shared" si="64"/>
        <v>-5.1300993187228104E-2</v>
      </c>
      <c r="AQ105" s="107">
        <f t="shared" si="65"/>
        <v>-0.15131348511383538</v>
      </c>
      <c r="AW105" s="981"/>
      <c r="AX105" s="943" t="s">
        <v>868</v>
      </c>
      <c r="AY105" s="160">
        <f>AY104+AY103</f>
        <v>2579</v>
      </c>
      <c r="AZ105" s="161"/>
      <c r="BA105" s="162">
        <f>SUM(BA103:BA104)</f>
        <v>461.48621937183481</v>
      </c>
      <c r="BB105" s="163">
        <f>SUM(AY105)</f>
        <v>2579</v>
      </c>
      <c r="BC105" s="163">
        <f>SUM(BA105)</f>
        <v>461.48621937183481</v>
      </c>
      <c r="BD105" s="1037"/>
      <c r="BE105" s="178">
        <f t="shared" si="72"/>
        <v>-9.9808061420345491E-3</v>
      </c>
      <c r="BF105" s="181"/>
      <c r="BG105" s="182">
        <f t="shared" si="71"/>
        <v>-1.0404430273535797E-2</v>
      </c>
      <c r="BH105" s="183">
        <f t="shared" si="67"/>
        <v>-9.9808061420345491E-3</v>
      </c>
      <c r="BI105" s="183">
        <f t="shared" si="62"/>
        <v>-1.0404430273535797E-2</v>
      </c>
    </row>
    <row r="106" spans="1:61" ht="13.8" x14ac:dyDescent="0.25">
      <c r="A106" s="981"/>
      <c r="B106" s="159" t="s">
        <v>730</v>
      </c>
      <c r="C106" s="160">
        <v>27612</v>
      </c>
      <c r="D106" s="161">
        <v>2415</v>
      </c>
      <c r="E106" s="162">
        <v>59</v>
      </c>
      <c r="F106" s="161">
        <v>10445</v>
      </c>
      <c r="G106" s="163">
        <f>SUM(C102:C106)</f>
        <v>127741</v>
      </c>
      <c r="H106" s="163">
        <f>SUM(D102:D106)</f>
        <v>14595</v>
      </c>
      <c r="I106" s="163">
        <f>SUM(E102:E106)</f>
        <v>260</v>
      </c>
      <c r="J106" s="163">
        <f>SUM(F102:F106)</f>
        <v>47740</v>
      </c>
      <c r="K106" s="984"/>
      <c r="L106" s="180">
        <f t="shared" si="73"/>
        <v>-0.15585447875267502</v>
      </c>
      <c r="M106" s="181">
        <f t="shared" si="74"/>
        <v>-0.32390817469204924</v>
      </c>
      <c r="N106" s="182">
        <f t="shared" si="75"/>
        <v>1.2006861063464887E-2</v>
      </c>
      <c r="O106" s="183">
        <f t="shared" si="75"/>
        <v>0.210032437442076</v>
      </c>
      <c r="P106" s="183">
        <f t="shared" si="69"/>
        <v>4.9983560743054413E-2</v>
      </c>
      <c r="Q106" s="183">
        <f>(H106-H93)/H93</f>
        <v>5.2043537807251496E-2</v>
      </c>
      <c r="R106" s="183">
        <f t="shared" si="76"/>
        <v>4.7542304593070156E-2</v>
      </c>
      <c r="S106" s="183">
        <f t="shared" si="77"/>
        <v>0.25976356343677431</v>
      </c>
      <c r="U106" s="870">
        <f t="shared" si="78"/>
        <v>11.433540372670807</v>
      </c>
      <c r="AO106">
        <f t="shared" si="43"/>
        <v>2023.9999999999927</v>
      </c>
      <c r="AP106" s="107">
        <f t="shared" ref="AP106:AP117" si="79">L115</f>
        <v>2.0739527902851686E-2</v>
      </c>
      <c r="AQ106" s="107">
        <f t="shared" ref="AQ106:AQ117" si="80">M115</f>
        <v>-0.25344644750795337</v>
      </c>
      <c r="AW106" s="981"/>
      <c r="AX106" s="948" t="s">
        <v>857</v>
      </c>
      <c r="AY106" s="239">
        <f>AY103+AY99</f>
        <v>20087</v>
      </c>
      <c r="AZ106" s="161">
        <f>INDEX($BK$16:$BL$19,MATCH($AX106,$BK$16:$BK$19,0),2)</f>
        <v>130</v>
      </c>
      <c r="BA106" s="162">
        <f>AY106/2*AZ106*$BS$13/10^3</f>
        <v>4087.1072732164353</v>
      </c>
      <c r="BB106" s="163">
        <f>SUM(AY106)</f>
        <v>20087</v>
      </c>
      <c r="BC106" s="163">
        <f>SUM(BA106)</f>
        <v>4087.1072732164353</v>
      </c>
      <c r="BD106" s="1037"/>
      <c r="BE106" s="178">
        <f t="shared" si="72"/>
        <v>8.4084408224944687E-2</v>
      </c>
      <c r="BF106" s="181"/>
      <c r="BG106" s="182">
        <f t="shared" si="71"/>
        <v>8.4084408224944673E-2</v>
      </c>
      <c r="BH106" s="183">
        <f t="shared" si="67"/>
        <v>8.4084408224944687E-2</v>
      </c>
      <c r="BI106" s="183">
        <f t="shared" si="62"/>
        <v>8.4084408224944673E-2</v>
      </c>
    </row>
    <row r="107" spans="1:61" ht="13.8" x14ac:dyDescent="0.25">
      <c r="A107" s="981"/>
      <c r="B107" s="159" t="s">
        <v>735</v>
      </c>
      <c r="C107" s="160">
        <v>31398</v>
      </c>
      <c r="D107" s="161">
        <v>3841</v>
      </c>
      <c r="E107" s="162">
        <v>64.2</v>
      </c>
      <c r="F107" s="161">
        <v>11429</v>
      </c>
      <c r="G107" s="163">
        <f>SUM(C102:C107)</f>
        <v>159139</v>
      </c>
      <c r="H107" s="163">
        <f>SUM(D102:D107)</f>
        <v>18436</v>
      </c>
      <c r="I107" s="163">
        <f>SUM(E102:E107)</f>
        <v>324.2</v>
      </c>
      <c r="J107" s="163">
        <f>SUM(F102:F107)</f>
        <v>59169</v>
      </c>
      <c r="K107" s="984"/>
      <c r="L107" s="180">
        <f t="shared" si="73"/>
        <v>-3.9228886168910647E-2</v>
      </c>
      <c r="M107" s="181">
        <f t="shared" si="74"/>
        <v>9.2745376955903278E-2</v>
      </c>
      <c r="N107" s="182">
        <f>(E107-E94)/E94</f>
        <v>-0.15637319316688558</v>
      </c>
      <c r="O107" s="183">
        <f t="shared" ref="O107:O114" si="81">(F107-F94)/F94</f>
        <v>0.14507564372307383</v>
      </c>
      <c r="P107" s="183">
        <f>(G107-G94)/G94</f>
        <v>3.109368925748348E-2</v>
      </c>
      <c r="Q107" s="183">
        <f t="shared" ref="Q107:Q114" si="82">(H107-H94)/H94</f>
        <v>6.0271451575799405E-2</v>
      </c>
      <c r="R107" s="183">
        <f t="shared" si="76"/>
        <v>-3.0835646006773329E-4</v>
      </c>
      <c r="S107" s="183">
        <f t="shared" si="77"/>
        <v>0.23585437684065419</v>
      </c>
      <c r="U107" s="870">
        <f t="shared" si="78"/>
        <v>8.1744337412132264</v>
      </c>
      <c r="AO107">
        <f t="shared" si="43"/>
        <v>2024.083333333326</v>
      </c>
      <c r="AP107" s="107">
        <f t="shared" si="79"/>
        <v>0.18282225115610828</v>
      </c>
      <c r="AQ107" s="107">
        <f t="shared" si="80"/>
        <v>0.56776947705442904</v>
      </c>
      <c r="AW107" s="981"/>
      <c r="AX107" s="948" t="s">
        <v>860</v>
      </c>
      <c r="AY107" s="239">
        <f>AY104+AY100</f>
        <v>12808</v>
      </c>
      <c r="AZ107" s="161">
        <f>INDEX($BK$16:$BL$19,MATCH($AX107,$BK$16:$BK$19,0),2)</f>
        <v>110</v>
      </c>
      <c r="BA107" s="162">
        <f>AY107/2*AZ107*$BS$13/10^3</f>
        <v>2205.1168551758201</v>
      </c>
      <c r="BB107" s="163">
        <f>SUM(AY106:AY107)</f>
        <v>32895</v>
      </c>
      <c r="BC107" s="163">
        <f>SUM(BA106:BA107)</f>
        <v>6292.2241283922558</v>
      </c>
      <c r="BD107" s="1037"/>
      <c r="BE107" s="178">
        <f t="shared" si="72"/>
        <v>-0.14207247638823767</v>
      </c>
      <c r="BF107" s="181"/>
      <c r="BG107" s="182">
        <f t="shared" si="71"/>
        <v>-0.14207247638823764</v>
      </c>
      <c r="BH107" s="183">
        <f t="shared" si="67"/>
        <v>-1.6827066770279155E-2</v>
      </c>
      <c r="BI107" s="183">
        <f t="shared" si="62"/>
        <v>-7.5957303947706079E-3</v>
      </c>
    </row>
    <row r="108" spans="1:61" ht="14.4" thickBot="1" x14ac:dyDescent="0.3">
      <c r="A108" s="981"/>
      <c r="B108" s="159" t="s">
        <v>740</v>
      </c>
      <c r="C108" s="160">
        <v>45739</v>
      </c>
      <c r="D108" s="161">
        <v>8457</v>
      </c>
      <c r="E108" s="162">
        <v>61.2</v>
      </c>
      <c r="F108" s="161">
        <v>13081</v>
      </c>
      <c r="G108" s="163">
        <f>SUM(C102:C108)</f>
        <v>204878</v>
      </c>
      <c r="H108" s="163">
        <f>SUM(D102:D108)</f>
        <v>26893</v>
      </c>
      <c r="I108" s="163">
        <f>SUM(E102:E108)</f>
        <v>385.4</v>
      </c>
      <c r="J108" s="163">
        <f>SUM(F102:F108)</f>
        <v>72250</v>
      </c>
      <c r="K108" s="984"/>
      <c r="L108" s="180">
        <f t="shared" si="73"/>
        <v>0.29202564899296629</v>
      </c>
      <c r="M108" s="181">
        <f t="shared" si="74"/>
        <v>0.96720167480809494</v>
      </c>
      <c r="N108" s="182">
        <f>(E108-E95)/E95</f>
        <v>-0.12820512820512819</v>
      </c>
      <c r="O108" s="183">
        <f t="shared" si="81"/>
        <v>0.18961440523826847</v>
      </c>
      <c r="P108" s="183">
        <f t="shared" ref="P108:P119" si="83">(G108-G95)/G95</f>
        <v>7.977716993164366E-2</v>
      </c>
      <c r="Q108" s="183">
        <f t="shared" si="82"/>
        <v>0.24005164384193295</v>
      </c>
      <c r="R108" s="183">
        <f t="shared" si="76"/>
        <v>-2.3067173637515759E-2</v>
      </c>
      <c r="S108" s="183">
        <f t="shared" si="77"/>
        <v>0.22721790973791042</v>
      </c>
      <c r="U108" s="870">
        <f t="shared" si="78"/>
        <v>5.4084190611327898</v>
      </c>
      <c r="AO108">
        <f t="shared" si="43"/>
        <v>2024.1666666666592</v>
      </c>
      <c r="AP108" s="107">
        <f t="shared" si="79"/>
        <v>1.3126289793294766E-2</v>
      </c>
      <c r="AQ108" s="107">
        <f t="shared" si="80"/>
        <v>-0.1314542870677404</v>
      </c>
      <c r="AW108" s="982"/>
      <c r="AX108" s="948" t="s">
        <v>862</v>
      </c>
      <c r="AY108" s="239">
        <f>AY101</f>
        <v>8642</v>
      </c>
      <c r="AZ108" s="217">
        <f>INDEX($BK$16:$BL$19,MATCH($AX108,$BK$16:$BK$19,0),2)</f>
        <v>3.5</v>
      </c>
      <c r="BA108" s="162">
        <f>AY108/2*AZ108*$BS$13/10^3</f>
        <v>47.341270738815972</v>
      </c>
      <c r="BB108" s="163">
        <f>SUM(AY106:AY108)</f>
        <v>41537</v>
      </c>
      <c r="BC108" s="163">
        <f>SUM(BA106:BA108)</f>
        <v>6339.5653991310719</v>
      </c>
      <c r="BD108" s="1037"/>
      <c r="BE108" s="178">
        <f t="shared" si="72"/>
        <v>-0.22221222212222122</v>
      </c>
      <c r="BF108" s="181"/>
      <c r="BG108" s="182">
        <f t="shared" si="71"/>
        <v>-0.22221222212222105</v>
      </c>
      <c r="BH108" s="183">
        <f t="shared" si="67"/>
        <v>-6.8029347752922437E-2</v>
      </c>
      <c r="BI108" s="183">
        <f t="shared" si="62"/>
        <v>-9.6364205177771195E-3</v>
      </c>
    </row>
    <row r="109" spans="1:61" ht="14.4" thickBot="1" x14ac:dyDescent="0.3">
      <c r="A109" s="981"/>
      <c r="B109" s="159" t="s">
        <v>752</v>
      </c>
      <c r="C109" s="160">
        <v>39971</v>
      </c>
      <c r="D109" s="161">
        <v>5907</v>
      </c>
      <c r="E109" s="162">
        <v>57.6</v>
      </c>
      <c r="F109" s="161">
        <v>14010</v>
      </c>
      <c r="G109" s="163">
        <f>SUM(C102:C109)</f>
        <v>244849</v>
      </c>
      <c r="H109" s="163">
        <f>SUM(D102:D109)</f>
        <v>32800</v>
      </c>
      <c r="I109" s="163">
        <f>SUM(E102:E109)</f>
        <v>443</v>
      </c>
      <c r="J109" s="163">
        <f>SUM(F102:F109)</f>
        <v>86260</v>
      </c>
      <c r="K109" s="984"/>
      <c r="L109" s="180">
        <f t="shared" si="73"/>
        <v>-5.4119929954091532E-2</v>
      </c>
      <c r="M109" s="181">
        <f t="shared" si="74"/>
        <v>-1.55E-2</v>
      </c>
      <c r="N109" s="182">
        <f t="shared" ref="N109:N114" si="84">(E109-E96)/E96</f>
        <v>-0.11384615384615382</v>
      </c>
      <c r="O109" s="183">
        <f t="shared" si="81"/>
        <v>0.278984845718459</v>
      </c>
      <c r="P109" s="183">
        <f t="shared" si="83"/>
        <v>5.5388169776593867E-2</v>
      </c>
      <c r="Q109" s="183">
        <f t="shared" si="82"/>
        <v>0.18467150648318706</v>
      </c>
      <c r="R109" s="183">
        <f t="shared" si="76"/>
        <v>-3.590859630032632E-2</v>
      </c>
      <c r="S109" s="183">
        <f t="shared" si="77"/>
        <v>0.23533876580692281</v>
      </c>
      <c r="U109" s="870">
        <f t="shared" si="78"/>
        <v>6.7667174538682922</v>
      </c>
      <c r="AO109">
        <f t="shared" si="43"/>
        <v>2024.2499999999925</v>
      </c>
      <c r="AP109" s="107">
        <f t="shared" si="79"/>
        <v>0.16431014823261117</v>
      </c>
      <c r="AQ109" s="107">
        <f t="shared" si="80"/>
        <v>0.26912442396313363</v>
      </c>
      <c r="AW109" s="172" t="s">
        <v>3</v>
      </c>
      <c r="AX109" s="188">
        <f>AW99</f>
        <v>2024</v>
      </c>
      <c r="AY109" s="174">
        <f>SUM(AY106:AY108)</f>
        <v>41537</v>
      </c>
      <c r="AZ109" s="174"/>
      <c r="BA109" s="174">
        <f>SUM(BA106:BA108)</f>
        <v>6339.5653991310719</v>
      </c>
      <c r="BB109" s="175">
        <f>BB108</f>
        <v>41537</v>
      </c>
      <c r="BC109" s="175">
        <f>BC108</f>
        <v>6339.5653991310719</v>
      </c>
      <c r="BD109" s="1038"/>
      <c r="BE109" s="189">
        <f t="shared" si="72"/>
        <v>-6.8029347752922437E-2</v>
      </c>
      <c r="BF109" s="189"/>
      <c r="BG109" s="190">
        <f t="shared" si="71"/>
        <v>-9.6364205177771195E-3</v>
      </c>
      <c r="BH109" s="191">
        <f t="shared" si="67"/>
        <v>-6.8029347752922437E-2</v>
      </c>
      <c r="BI109" s="191">
        <f t="shared" si="62"/>
        <v>-9.6364205177771195E-3</v>
      </c>
    </row>
    <row r="110" spans="1:61" ht="13.8" x14ac:dyDescent="0.25">
      <c r="A110" s="981"/>
      <c r="B110" s="159" t="s">
        <v>754</v>
      </c>
      <c r="C110" s="160">
        <v>30889</v>
      </c>
      <c r="D110" s="161">
        <v>3559</v>
      </c>
      <c r="E110" s="162">
        <v>54.1</v>
      </c>
      <c r="F110" s="161">
        <v>12612</v>
      </c>
      <c r="G110" s="163">
        <f>SUM(C102:C110)</f>
        <v>275738</v>
      </c>
      <c r="H110" s="163">
        <f>SUM(D102:D110)</f>
        <v>36359</v>
      </c>
      <c r="I110" s="163">
        <f>SUM(E102:E110)</f>
        <v>497.1</v>
      </c>
      <c r="J110" s="163">
        <f>SUM(F102:F110)</f>
        <v>98872</v>
      </c>
      <c r="K110" s="984"/>
      <c r="L110" s="180">
        <f t="shared" si="73"/>
        <v>-7.5788402848423198E-2</v>
      </c>
      <c r="M110" s="181">
        <f t="shared" si="74"/>
        <v>-0.30650818394388152</v>
      </c>
      <c r="N110" s="182">
        <f t="shared" si="84"/>
        <v>-0.11456628477905073</v>
      </c>
      <c r="O110" s="183">
        <f t="shared" si="81"/>
        <v>0.19726599582304918</v>
      </c>
      <c r="P110" s="183">
        <f t="shared" si="83"/>
        <v>3.8870322996296447E-2</v>
      </c>
      <c r="Q110" s="183">
        <f t="shared" si="82"/>
        <v>0.10786434687223864</v>
      </c>
      <c r="R110" s="183">
        <f t="shared" si="76"/>
        <v>-4.5140222819823071E-2</v>
      </c>
      <c r="S110" s="183">
        <f t="shared" si="77"/>
        <v>0.23034805440449971</v>
      </c>
      <c r="U110" s="870">
        <f t="shared" si="78"/>
        <v>8.6791233492554092</v>
      </c>
      <c r="AO110">
        <f t="shared" si="43"/>
        <v>2024.3333333333258</v>
      </c>
      <c r="AP110" s="107">
        <f t="shared" si="79"/>
        <v>6.0879327828480372E-2</v>
      </c>
      <c r="AQ110" s="107">
        <f t="shared" si="80"/>
        <v>0.36604554865424432</v>
      </c>
      <c r="AW110" s="986">
        <v>2025</v>
      </c>
      <c r="AX110" s="939" t="s">
        <v>857</v>
      </c>
      <c r="AY110" s="152">
        <v>14076</v>
      </c>
      <c r="AZ110" s="153">
        <f>INDEX($BK$16:$BL$19,MATCH($AX110,$BK$16:$BK$19,0),2)</f>
        <v>130</v>
      </c>
      <c r="BA110" s="154">
        <f>AY110/2*AZ110*$BS$13/10^3</f>
        <v>2864.0474922982303</v>
      </c>
      <c r="BB110" s="155">
        <f>AY110</f>
        <v>14076</v>
      </c>
      <c r="BC110" s="155">
        <f>BA110</f>
        <v>2864.0474922982303</v>
      </c>
      <c r="BD110" s="1075" t="str">
        <f>"Milli áranna "&amp; AW99&amp;" og "&amp; AW110</f>
        <v>Milli áranna 2024 og 2025</v>
      </c>
      <c r="BE110" s="178">
        <f t="shared" si="72"/>
        <v>-0.27922576680833633</v>
      </c>
      <c r="BF110" s="178"/>
      <c r="BG110" s="178">
        <f t="shared" si="71"/>
        <v>-0.27922576680833627</v>
      </c>
      <c r="BH110" s="179">
        <f>(BB110-BB99)/BB99</f>
        <v>-0.27922576680833633</v>
      </c>
      <c r="BI110" s="179">
        <f t="shared" ref="BI110:BI120" si="85">(BC110-BC99)/BC99</f>
        <v>-0.27922576680833627</v>
      </c>
    </row>
    <row r="111" spans="1:61" ht="13.8" x14ac:dyDescent="0.25">
      <c r="A111" s="981"/>
      <c r="B111" s="159" t="s">
        <v>755</v>
      </c>
      <c r="C111" s="160">
        <v>29198</v>
      </c>
      <c r="D111" s="161">
        <v>2913</v>
      </c>
      <c r="E111" s="162">
        <v>49</v>
      </c>
      <c r="F111" s="161">
        <v>10890</v>
      </c>
      <c r="G111" s="163">
        <f>SUM(C102:C111)</f>
        <v>304936</v>
      </c>
      <c r="H111" s="163">
        <f>SUM(D102:D111)</f>
        <v>39272</v>
      </c>
      <c r="I111" s="163">
        <f>SUM(E102:E111)</f>
        <v>546.1</v>
      </c>
      <c r="J111" s="163">
        <f>SUM(F102:F111)</f>
        <v>109762</v>
      </c>
      <c r="K111" s="984"/>
      <c r="L111" s="180">
        <f t="shared" si="73"/>
        <v>-7.4958813838550242E-2</v>
      </c>
      <c r="M111" s="181">
        <f>(D111-D98)/D98</f>
        <v>-0.33885610531093963</v>
      </c>
      <c r="N111" s="182">
        <f t="shared" si="84"/>
        <v>-0.15371329879101897</v>
      </c>
      <c r="O111" s="183">
        <f t="shared" si="81"/>
        <v>3.7340445799199845E-2</v>
      </c>
      <c r="P111" s="183">
        <f t="shared" si="83"/>
        <v>2.6772395912251459E-2</v>
      </c>
      <c r="Q111" s="183">
        <f t="shared" si="82"/>
        <v>5.4989926124916051E-2</v>
      </c>
      <c r="R111" s="183">
        <f t="shared" si="76"/>
        <v>-5.6006914433880499E-2</v>
      </c>
      <c r="S111" s="183">
        <f t="shared" si="77"/>
        <v>0.2080476342464698</v>
      </c>
      <c r="U111" s="870">
        <f t="shared" si="78"/>
        <v>10.023343631994507</v>
      </c>
      <c r="AO111">
        <f t="shared" si="43"/>
        <v>2024.416666666659</v>
      </c>
      <c r="AP111" s="107">
        <f t="shared" si="79"/>
        <v>6.6532900184725144E-2</v>
      </c>
      <c r="AQ111" s="107">
        <f t="shared" si="80"/>
        <v>7.8365009112210365E-2</v>
      </c>
      <c r="AW111" s="981"/>
      <c r="AX111" s="943" t="s">
        <v>860</v>
      </c>
      <c r="AY111" s="160">
        <v>9889</v>
      </c>
      <c r="AZ111" s="161">
        <f>INDEX($BK$16:$BL$19,MATCH($AX111,$BK$16:$BK$19,0),2)</f>
        <v>110</v>
      </c>
      <c r="BA111" s="162">
        <f>AY112/2*AZ111*$BS$13/10^3</f>
        <v>1620.0928800128413</v>
      </c>
      <c r="BB111" s="163">
        <f>SUM(AY110:AY112)</f>
        <v>33375</v>
      </c>
      <c r="BC111" s="163">
        <f>SUM(BA110:BA111)</f>
        <v>4484.1403723110716</v>
      </c>
      <c r="BD111" s="1037"/>
      <c r="BE111" s="178">
        <f>(AY112-AY100)/AY100</f>
        <v>-0.12765365717993882</v>
      </c>
      <c r="BF111" s="181"/>
      <c r="BG111" s="182">
        <f>(BA111-BA100)/BA100</f>
        <v>-0.12765365717993876</v>
      </c>
      <c r="BH111" s="183">
        <f t="shared" ref="BH111:BH120" si="86">(BB111-BB100)/BB100</f>
        <v>0.10090381316796411</v>
      </c>
      <c r="BI111" s="183">
        <f t="shared" si="85"/>
        <v>-0.23094804769497546</v>
      </c>
    </row>
    <row r="112" spans="1:61" ht="13.8" x14ac:dyDescent="0.25">
      <c r="A112" s="981"/>
      <c r="B112" s="159" t="s">
        <v>756</v>
      </c>
      <c r="C112" s="160">
        <v>26554</v>
      </c>
      <c r="D112" s="161">
        <v>2874</v>
      </c>
      <c r="E112" s="162">
        <v>56.2</v>
      </c>
      <c r="F112" s="161">
        <v>9424</v>
      </c>
      <c r="G112" s="163">
        <f>SUM(C102:C112)</f>
        <v>331490</v>
      </c>
      <c r="H112" s="163">
        <f>SUM(D102:D112)</f>
        <v>42146</v>
      </c>
      <c r="I112" s="163">
        <f>SUM(E102:E112)</f>
        <v>602.30000000000007</v>
      </c>
      <c r="J112" s="163">
        <f>SUM(F102:F112)</f>
        <v>119186</v>
      </c>
      <c r="K112" s="984"/>
      <c r="L112" s="180">
        <f t="shared" si="73"/>
        <v>-3.3063870075012748E-2</v>
      </c>
      <c r="M112" s="181">
        <f>(D112-D99)/D99</f>
        <v>8.4119200301772917E-2</v>
      </c>
      <c r="N112" s="182">
        <f t="shared" si="84"/>
        <v>-0.10079999999999996</v>
      </c>
      <c r="O112" s="183">
        <f t="shared" si="81"/>
        <v>-1.1641321447299423E-2</v>
      </c>
      <c r="P112" s="183">
        <f t="shared" si="83"/>
        <v>2.1707705726975439E-2</v>
      </c>
      <c r="Q112" s="183">
        <f t="shared" si="82"/>
        <v>5.692647206339653E-2</v>
      </c>
      <c r="R112" s="183">
        <f t="shared" si="76"/>
        <v>-6.0374414976598789E-2</v>
      </c>
      <c r="S112" s="183">
        <f t="shared" si="77"/>
        <v>0.1871825009462717</v>
      </c>
      <c r="U112" s="870">
        <f t="shared" si="78"/>
        <v>9.2393876130828119</v>
      </c>
      <c r="AO112">
        <f t="shared" si="43"/>
        <v>2024.4999999999923</v>
      </c>
      <c r="AP112" s="107">
        <f t="shared" si="79"/>
        <v>-0.30724327160628784</v>
      </c>
      <c r="AQ112" s="107">
        <f t="shared" si="80"/>
        <v>-0.59654723897363127</v>
      </c>
      <c r="AW112" s="981"/>
      <c r="AX112" s="943" t="s">
        <v>862</v>
      </c>
      <c r="AY112" s="160">
        <v>9410</v>
      </c>
      <c r="AZ112" s="217">
        <f>INDEX($BK$16:$BL$19,MATCH($AX112,$BK$16:$BK$19,0),2)</f>
        <v>3.5</v>
      </c>
      <c r="BA112" s="162">
        <f t="shared" ref="BA112:BA119" si="87">AY113/2*AZ112*$BS$13/10^3</f>
        <v>182.82977446285386</v>
      </c>
      <c r="BB112" s="163">
        <f>SUM(AY110:AY112)</f>
        <v>33375</v>
      </c>
      <c r="BC112" s="163">
        <f>SUM(BA110:BA112)</f>
        <v>4666.9701467739251</v>
      </c>
      <c r="BD112" s="1037"/>
      <c r="BE112" s="178" t="e">
        <f>(#REF!-AY101)/AY101</f>
        <v>#REF!</v>
      </c>
      <c r="BF112" s="181"/>
      <c r="BG112" s="182">
        <f t="shared" ref="BG112:BG120" si="88">(BA112-BA101)/BA101</f>
        <v>2.8619532515621384</v>
      </c>
      <c r="BH112" s="183">
        <f t="shared" si="86"/>
        <v>-0.14330817803788695</v>
      </c>
      <c r="BI112" s="183">
        <f t="shared" si="85"/>
        <v>-0.20603823050830672</v>
      </c>
    </row>
    <row r="113" spans="1:61" ht="14.4" thickBot="1" x14ac:dyDescent="0.3">
      <c r="A113" s="987"/>
      <c r="B113" s="167" t="s">
        <v>758</v>
      </c>
      <c r="C113" s="168">
        <v>23116</v>
      </c>
      <c r="D113" s="169">
        <v>2423</v>
      </c>
      <c r="E113" s="170">
        <v>53.5</v>
      </c>
      <c r="F113" s="171">
        <v>9347</v>
      </c>
      <c r="G113" s="163">
        <f>SUM(C102:C113)</f>
        <v>354606</v>
      </c>
      <c r="H113" s="163">
        <f>SUM(D102:D113)</f>
        <v>44569</v>
      </c>
      <c r="I113" s="163">
        <f>SUM(E102:E113)</f>
        <v>655.80000000000007</v>
      </c>
      <c r="J113" s="163">
        <f>SUM(F102:F113)</f>
        <v>128533</v>
      </c>
      <c r="K113" s="984"/>
      <c r="L113" s="184">
        <f t="shared" si="73"/>
        <v>-5.1300993187228104E-2</v>
      </c>
      <c r="M113" s="185">
        <f>(D113-D100)/D100</f>
        <v>-0.15131348511383538</v>
      </c>
      <c r="N113" s="186">
        <f t="shared" si="84"/>
        <v>-0.22463768115942029</v>
      </c>
      <c r="O113" s="187">
        <f t="shared" si="81"/>
        <v>0.11446285918683677</v>
      </c>
      <c r="P113" s="187">
        <f t="shared" si="83"/>
        <v>1.6607752578028916E-2</v>
      </c>
      <c r="Q113" s="187">
        <f t="shared" si="82"/>
        <v>4.3013269055252629E-2</v>
      </c>
      <c r="R113" s="187">
        <f t="shared" si="76"/>
        <v>-7.6338028169013847E-2</v>
      </c>
      <c r="S113" s="187">
        <f t="shared" si="77"/>
        <v>0.18157582666090585</v>
      </c>
      <c r="U113" s="870">
        <f t="shared" si="78"/>
        <v>9.5402393726784975</v>
      </c>
      <c r="AO113">
        <f t="shared" si="43"/>
        <v>2024.5833333333255</v>
      </c>
      <c r="AP113" s="107">
        <f t="shared" si="79"/>
        <v>-0.13644892547096646</v>
      </c>
      <c r="AQ113" s="107">
        <f t="shared" si="80"/>
        <v>-0.17267648552564754</v>
      </c>
      <c r="AW113" s="981"/>
      <c r="AX113" s="943" t="s">
        <v>864</v>
      </c>
      <c r="AY113" s="160">
        <f>SUM(AY110:AY112)</f>
        <v>33375</v>
      </c>
      <c r="AZ113" s="161"/>
      <c r="BA113" s="162">
        <f t="shared" si="87"/>
        <v>0</v>
      </c>
      <c r="BB113" s="163">
        <f>SUM(AY110:AY112)</f>
        <v>33375</v>
      </c>
      <c r="BC113" s="163">
        <f>SUM(BA110:BA112)</f>
        <v>4666.9701467739251</v>
      </c>
      <c r="BD113" s="1037"/>
      <c r="BE113" s="178">
        <f t="shared" ref="BE113:BE120" si="89">(AY113-AY102)/AY102</f>
        <v>-0.14330817803788695</v>
      </c>
      <c r="BF113" s="181"/>
      <c r="BG113" s="182">
        <f t="shared" si="88"/>
        <v>-1</v>
      </c>
      <c r="BH113" s="183">
        <f t="shared" si="86"/>
        <v>-0.14330817803788695</v>
      </c>
      <c r="BI113" s="183">
        <f t="shared" si="85"/>
        <v>-0.20603823050830672</v>
      </c>
    </row>
    <row r="114" spans="1:61" ht="14.4" thickBot="1" x14ac:dyDescent="0.3">
      <c r="A114" s="172" t="s">
        <v>3</v>
      </c>
      <c r="B114" s="188">
        <f>A102</f>
        <v>2023</v>
      </c>
      <c r="C114" s="174">
        <f>SUM(C102:C113)</f>
        <v>354606</v>
      </c>
      <c r="D114" s="174">
        <f>SUM(D102:D113)</f>
        <v>44569</v>
      </c>
      <c r="E114" s="174">
        <f>SUM(E102:E113)</f>
        <v>655.80000000000007</v>
      </c>
      <c r="F114" s="174">
        <f>SUM(F102:F113)</f>
        <v>128533</v>
      </c>
      <c r="G114" s="175">
        <f>G106</f>
        <v>127741</v>
      </c>
      <c r="H114" s="175">
        <f>H106</f>
        <v>14595</v>
      </c>
      <c r="I114" s="175">
        <f>I106</f>
        <v>260</v>
      </c>
      <c r="J114" s="175">
        <f>J106</f>
        <v>47740</v>
      </c>
      <c r="K114" s="985"/>
      <c r="L114" s="189">
        <f t="shared" si="73"/>
        <v>1.6607752578028916E-2</v>
      </c>
      <c r="M114" s="189">
        <f>(D114-D101)/D101</f>
        <v>4.3013269055252629E-2</v>
      </c>
      <c r="N114" s="190">
        <f t="shared" si="84"/>
        <v>-7.6338028169013847E-2</v>
      </c>
      <c r="O114" s="191">
        <f t="shared" si="81"/>
        <v>0.18157582666090585</v>
      </c>
      <c r="P114" s="191">
        <f t="shared" si="83"/>
        <v>4.9983560743054413E-2</v>
      </c>
      <c r="Q114" s="191">
        <f t="shared" si="82"/>
        <v>5.2043537807251496E-2</v>
      </c>
      <c r="R114" s="191">
        <f t="shared" si="76"/>
        <v>4.7542304593070156E-2</v>
      </c>
      <c r="S114" s="191">
        <f t="shared" si="77"/>
        <v>0.25976356343677431</v>
      </c>
      <c r="U114" s="870">
        <f t="shared" si="78"/>
        <v>7.9563373645358881</v>
      </c>
      <c r="AO114">
        <f t="shared" si="43"/>
        <v>2024.6666666666588</v>
      </c>
      <c r="AP114" s="107">
        <f t="shared" si="79"/>
        <v>4.6521415390592118E-2</v>
      </c>
      <c r="AQ114" s="107">
        <f t="shared" si="80"/>
        <v>0.10845743186288283</v>
      </c>
      <c r="AW114" s="981"/>
      <c r="AX114" s="943" t="s">
        <v>857</v>
      </c>
      <c r="AY114" s="160">
        <v>671</v>
      </c>
      <c r="AZ114" s="161">
        <f>INDEX($BK$16:$BL$19,MATCH($AX114,$BK$16:$BK$19,0),2)</f>
        <v>130</v>
      </c>
      <c r="BA114" s="162">
        <f t="shared" si="87"/>
        <v>410.19606027800734</v>
      </c>
      <c r="BB114" s="163">
        <f>SUM(AY114)</f>
        <v>671</v>
      </c>
      <c r="BC114" s="163">
        <f>SUM(BA114)</f>
        <v>410.19606027800734</v>
      </c>
      <c r="BD114" s="1037"/>
      <c r="BE114" s="178">
        <f t="shared" si="89"/>
        <v>0.2025089605734767</v>
      </c>
      <c r="BF114" s="181"/>
      <c r="BG114" s="182">
        <f t="shared" si="88"/>
        <v>2.612903225806452</v>
      </c>
      <c r="BH114" s="183">
        <f t="shared" si="86"/>
        <v>0.2025089605734767</v>
      </c>
      <c r="BI114" s="183">
        <f t="shared" si="85"/>
        <v>2.612903225806452</v>
      </c>
    </row>
    <row r="115" spans="1:61" ht="13.8" x14ac:dyDescent="0.25">
      <c r="A115" s="981">
        <v>2024</v>
      </c>
      <c r="B115" s="151" t="s">
        <v>710</v>
      </c>
      <c r="C115" s="152">
        <v>22443</v>
      </c>
      <c r="D115" s="153">
        <v>2112</v>
      </c>
      <c r="E115" s="154">
        <v>40</v>
      </c>
      <c r="F115" s="153">
        <v>9000</v>
      </c>
      <c r="G115" s="155">
        <f>C115</f>
        <v>22443</v>
      </c>
      <c r="H115" s="155">
        <f>D115</f>
        <v>2112</v>
      </c>
      <c r="I115" s="155">
        <f>E115</f>
        <v>40</v>
      </c>
      <c r="J115" s="155">
        <f>F115</f>
        <v>9000</v>
      </c>
      <c r="K115" s="983" t="str">
        <f>"Milli áranna "&amp; A102&amp;" og "&amp; A115</f>
        <v>Milli áranna 2023 og 2024</v>
      </c>
      <c r="L115" s="178">
        <f>(C115-C102)/C102</f>
        <v>2.0739527902851686E-2</v>
      </c>
      <c r="M115" s="178">
        <f>(D115-D102)/D102</f>
        <v>-0.25344644750795337</v>
      </c>
      <c r="N115" s="178">
        <f t="shared" ref="N115:O119" si="90">(E115-E102)/E102</f>
        <v>-0.24528301886792453</v>
      </c>
      <c r="O115" s="179">
        <f t="shared" si="90"/>
        <v>-1.8853277143174004E-3</v>
      </c>
      <c r="P115" s="179">
        <f t="shared" si="83"/>
        <v>2.0739527902851686E-2</v>
      </c>
      <c r="Q115" s="179">
        <f>(H115-H102)/H102</f>
        <v>-0.25344644750795337</v>
      </c>
      <c r="R115" s="179">
        <f>(I115-I102)/I102</f>
        <v>-0.24528301886792453</v>
      </c>
      <c r="S115" s="179">
        <f>(J115-J102)/J102</f>
        <v>-1.8853277143174004E-3</v>
      </c>
      <c r="U115" s="870">
        <f t="shared" si="78"/>
        <v>10.626420454545455</v>
      </c>
      <c r="AO115">
        <f t="shared" si="43"/>
        <v>2024.749999999992</v>
      </c>
      <c r="AP115" s="107">
        <f t="shared" si="79"/>
        <v>8.1135694225631896E-2</v>
      </c>
      <c r="AQ115" s="107">
        <f t="shared" si="80"/>
        <v>9.7837281153450056E-2</v>
      </c>
      <c r="AW115" s="981"/>
      <c r="AX115" s="943" t="s">
        <v>860</v>
      </c>
      <c r="AY115" s="160">
        <v>2016</v>
      </c>
      <c r="AZ115" s="161">
        <f>INDEX($BK$16:$BL$19,MATCH($AX115,$BK$16:$BK$19,0),2)</f>
        <v>110</v>
      </c>
      <c r="BA115" s="162">
        <f t="shared" si="87"/>
        <v>462.61313162534577</v>
      </c>
      <c r="BB115" s="163">
        <f>SUM(AY114:AY115)</f>
        <v>2687</v>
      </c>
      <c r="BC115" s="163">
        <f>SUM(BA114:BA115)</f>
        <v>872.80919190335317</v>
      </c>
      <c r="BD115" s="1037"/>
      <c r="BE115" s="178">
        <f t="shared" si="89"/>
        <v>-2.4740227610094011E-3</v>
      </c>
      <c r="BF115" s="181"/>
      <c r="BG115" s="182">
        <f t="shared" si="88"/>
        <v>0.32953983176645202</v>
      </c>
      <c r="BH115" s="183">
        <f t="shared" si="86"/>
        <v>4.1876696393951141E-2</v>
      </c>
      <c r="BI115" s="183">
        <f t="shared" si="85"/>
        <v>0.89130066135323049</v>
      </c>
    </row>
    <row r="116" spans="1:61" ht="13.8" x14ac:dyDescent="0.25">
      <c r="A116" s="981"/>
      <c r="B116" s="159" t="s">
        <v>715</v>
      </c>
      <c r="C116" s="160">
        <v>26345</v>
      </c>
      <c r="D116" s="161">
        <v>2938</v>
      </c>
      <c r="E116" s="162">
        <v>43.6</v>
      </c>
      <c r="F116" s="161">
        <v>8533</v>
      </c>
      <c r="G116" s="163">
        <f>SUM(C115:C116)</f>
        <v>48788</v>
      </c>
      <c r="H116" s="163">
        <f>SUM(D115:D116)</f>
        <v>5050</v>
      </c>
      <c r="I116" s="163">
        <f>SUM(E115:E116)</f>
        <v>83.6</v>
      </c>
      <c r="J116" s="163">
        <f>SUM(F115:F116)</f>
        <v>17533</v>
      </c>
      <c r="K116" s="984"/>
      <c r="L116" s="180">
        <f t="shared" ref="L116:L127" si="91">(C116-C103)/C103</f>
        <v>0.18282225115610828</v>
      </c>
      <c r="M116" s="181">
        <f t="shared" ref="M116:M123" si="92">(D116-D103)/D103</f>
        <v>0.56776947705442904</v>
      </c>
      <c r="N116" s="182">
        <f t="shared" si="90"/>
        <v>-5.217391304347823E-2</v>
      </c>
      <c r="O116" s="183">
        <f t="shared" si="90"/>
        <v>0</v>
      </c>
      <c r="P116" s="183">
        <f t="shared" si="83"/>
        <v>0.10230456394035246</v>
      </c>
      <c r="Q116" s="183">
        <f>(H116-H103)/H103</f>
        <v>7.3782691898788014E-2</v>
      </c>
      <c r="R116" s="183">
        <f t="shared" ref="R116:R127" si="93">(I116-I103)/I103</f>
        <v>-0.15555555555555561</v>
      </c>
      <c r="S116" s="183">
        <f t="shared" ref="S116:S127" si="94">(J116-J103)/J103</f>
        <v>-9.686609686609687E-4</v>
      </c>
      <c r="U116" s="870">
        <f t="shared" si="78"/>
        <v>8.9669843430905374</v>
      </c>
      <c r="AO116">
        <f t="shared" si="43"/>
        <v>2024.8333333333253</v>
      </c>
      <c r="AP116" s="107">
        <f t="shared" si="79"/>
        <v>-1.7888077125856744E-2</v>
      </c>
      <c r="AQ116" s="107">
        <f t="shared" si="80"/>
        <v>0.16771050800278359</v>
      </c>
      <c r="AW116" s="981"/>
      <c r="AX116" s="943" t="s">
        <v>868</v>
      </c>
      <c r="AY116" s="160">
        <f>AY115+AY114</f>
        <v>2687</v>
      </c>
      <c r="AZ116" s="161"/>
      <c r="BA116" s="162">
        <f t="shared" si="87"/>
        <v>0</v>
      </c>
      <c r="BB116" s="163">
        <f>SUM(AY116)</f>
        <v>2687</v>
      </c>
      <c r="BC116" s="163">
        <f>SUM(BA116)</f>
        <v>0</v>
      </c>
      <c r="BD116" s="1037"/>
      <c r="BE116" s="178">
        <f t="shared" si="89"/>
        <v>4.1876696393951141E-2</v>
      </c>
      <c r="BF116" s="181"/>
      <c r="BG116" s="182">
        <f t="shared" si="88"/>
        <v>-1</v>
      </c>
      <c r="BH116" s="183">
        <f t="shared" si="86"/>
        <v>4.1876696393951141E-2</v>
      </c>
      <c r="BI116" s="183">
        <f t="shared" si="85"/>
        <v>-1</v>
      </c>
    </row>
    <row r="117" spans="1:61" ht="13.8" x14ac:dyDescent="0.25">
      <c r="A117" s="981"/>
      <c r="B117" s="159" t="s">
        <v>718</v>
      </c>
      <c r="C117" s="160">
        <v>29947</v>
      </c>
      <c r="D117" s="161">
        <v>3667</v>
      </c>
      <c r="E117" s="162">
        <v>42.8</v>
      </c>
      <c r="F117" s="161">
        <v>8210</v>
      </c>
      <c r="G117" s="163">
        <f>SUM(C115:C117)</f>
        <v>78735</v>
      </c>
      <c r="H117" s="163">
        <f>SUM(D115:D117)</f>
        <v>8717</v>
      </c>
      <c r="I117" s="163">
        <f>SUM(E115:E117)</f>
        <v>126.39999999999999</v>
      </c>
      <c r="J117" s="163">
        <f>SUM(F115:F117)</f>
        <v>25743</v>
      </c>
      <c r="K117" s="984"/>
      <c r="L117" s="180">
        <f t="shared" si="91"/>
        <v>1.3126289793294766E-2</v>
      </c>
      <c r="M117" s="181">
        <f t="shared" si="92"/>
        <v>-0.1314542870677404</v>
      </c>
      <c r="N117" s="182">
        <f t="shared" si="90"/>
        <v>-0.22181818181818186</v>
      </c>
      <c r="O117" s="183">
        <f t="shared" si="90"/>
        <v>-0.16292822185970637</v>
      </c>
      <c r="P117" s="183">
        <f t="shared" si="83"/>
        <v>6.659532098782156E-2</v>
      </c>
      <c r="Q117" s="183">
        <f>(H117-H104)/H104</f>
        <v>-2.330532212885154E-2</v>
      </c>
      <c r="R117" s="183">
        <f t="shared" si="93"/>
        <v>-0.17922077922077928</v>
      </c>
      <c r="S117" s="183">
        <f t="shared" si="94"/>
        <v>-5.9032092989253597E-2</v>
      </c>
      <c r="U117" s="870">
        <f t="shared" si="78"/>
        <v>8.166621216253068</v>
      </c>
      <c r="AO117">
        <f t="shared" si="43"/>
        <v>2024.9166666666586</v>
      </c>
      <c r="AP117" s="107">
        <f t="shared" si="79"/>
        <v>7.0124589029243817E-2</v>
      </c>
      <c r="AQ117" s="107">
        <f t="shared" si="80"/>
        <v>9.9050763516302098E-3</v>
      </c>
      <c r="AW117" s="981"/>
      <c r="AX117" s="948" t="s">
        <v>857</v>
      </c>
      <c r="AY117" s="239">
        <f>AY114+AY110</f>
        <v>14747</v>
      </c>
      <c r="AZ117" s="161">
        <f>INDEX($BK$16:$BL$19,MATCH($AX117,$BK$16:$BK$19,0),2)</f>
        <v>130</v>
      </c>
      <c r="BA117" s="162">
        <f t="shared" si="87"/>
        <v>2422.3135404809909</v>
      </c>
      <c r="BB117" s="163">
        <f>SUM(AY117)</f>
        <v>14747</v>
      </c>
      <c r="BC117" s="163">
        <f>SUM(BA117)</f>
        <v>2422.3135404809909</v>
      </c>
      <c r="BD117" s="1037"/>
      <c r="BE117" s="178">
        <f t="shared" si="89"/>
        <v>-0.26584358042515061</v>
      </c>
      <c r="BF117" s="181"/>
      <c r="BG117" s="182">
        <f t="shared" si="88"/>
        <v>-0.40732812266640112</v>
      </c>
      <c r="BH117" s="183">
        <f t="shared" si="86"/>
        <v>-0.26584358042515061</v>
      </c>
      <c r="BI117" s="183">
        <f t="shared" si="85"/>
        <v>-0.40732812266640112</v>
      </c>
    </row>
    <row r="118" spans="1:61" ht="13.8" x14ac:dyDescent="0.25">
      <c r="A118" s="981"/>
      <c r="B118" s="159" t="s">
        <v>725</v>
      </c>
      <c r="C118" s="160">
        <v>30633</v>
      </c>
      <c r="D118" s="161">
        <v>4131</v>
      </c>
      <c r="E118" s="162">
        <v>42.2</v>
      </c>
      <c r="F118" s="161">
        <v>9808</v>
      </c>
      <c r="G118" s="163">
        <f>SUM(C115:C118)</f>
        <v>109368</v>
      </c>
      <c r="H118" s="163">
        <f>SUM(D115:D118)</f>
        <v>12848</v>
      </c>
      <c r="I118" s="163">
        <f>SUM(E115:E118)</f>
        <v>168.6</v>
      </c>
      <c r="J118" s="163">
        <f>SUM(F115:F118)</f>
        <v>35551</v>
      </c>
      <c r="K118" s="984"/>
      <c r="L118" s="180">
        <f t="shared" si="91"/>
        <v>0.16431014823261117</v>
      </c>
      <c r="M118" s="181">
        <f t="shared" si="92"/>
        <v>0.26912442396313363</v>
      </c>
      <c r="N118" s="182">
        <f t="shared" si="90"/>
        <v>-0.10212765957446802</v>
      </c>
      <c r="O118" s="183">
        <f t="shared" si="90"/>
        <v>-1.2981785247056456E-2</v>
      </c>
      <c r="P118" s="183">
        <f t="shared" si="83"/>
        <v>9.2270970448121922E-2</v>
      </c>
      <c r="Q118" s="183">
        <f>(H118-H105)/H105</f>
        <v>5.4844006568144497E-2</v>
      </c>
      <c r="R118" s="183">
        <f t="shared" si="93"/>
        <v>-0.1611940298507463</v>
      </c>
      <c r="S118" s="183">
        <f t="shared" si="94"/>
        <v>-4.6762300576484783E-2</v>
      </c>
      <c r="U118" s="870">
        <f t="shared" si="78"/>
        <v>7.4153957879448074</v>
      </c>
      <c r="AO118">
        <f t="shared" si="43"/>
        <v>2024.9999999999918</v>
      </c>
      <c r="AP118" s="107">
        <f t="shared" ref="AP118:AP128" si="95">L128</f>
        <v>-1.6486209508532728E-3</v>
      </c>
      <c r="AQ118" s="107">
        <f t="shared" ref="AQ118:AQ128" si="96">M128</f>
        <v>0.10227272727272728</v>
      </c>
      <c r="AW118" s="981"/>
      <c r="AX118" s="948" t="s">
        <v>860</v>
      </c>
      <c r="AY118" s="239">
        <f>AY115+AY111</f>
        <v>11905</v>
      </c>
      <c r="AZ118" s="161">
        <f>INDEX($BK$16:$BL$19,MATCH($AX118,$BK$16:$BK$19,0),2)</f>
        <v>110</v>
      </c>
      <c r="BA118" s="162">
        <f t="shared" si="87"/>
        <v>1620.0928800128413</v>
      </c>
      <c r="BB118" s="163">
        <f>SUM(AY117:AY118)</f>
        <v>26652</v>
      </c>
      <c r="BC118" s="163">
        <f>SUM(BA117:BA118)</f>
        <v>4042.4064204938322</v>
      </c>
      <c r="BD118" s="1037"/>
      <c r="BE118" s="178">
        <f t="shared" si="89"/>
        <v>-7.0502810743285446E-2</v>
      </c>
      <c r="BF118" s="181"/>
      <c r="BG118" s="182">
        <f t="shared" si="88"/>
        <v>-0.26530293566520907</v>
      </c>
      <c r="BH118" s="183">
        <f t="shared" si="86"/>
        <v>-0.18978568171454629</v>
      </c>
      <c r="BI118" s="183">
        <f t="shared" si="85"/>
        <v>-0.35755523992647109</v>
      </c>
    </row>
    <row r="119" spans="1:61" ht="14.4" thickBot="1" x14ac:dyDescent="0.3">
      <c r="A119" s="981"/>
      <c r="B119" s="159" t="s">
        <v>730</v>
      </c>
      <c r="C119" s="160">
        <v>29293</v>
      </c>
      <c r="D119" s="161">
        <v>3299</v>
      </c>
      <c r="E119" s="162">
        <v>53.7</v>
      </c>
      <c r="F119" s="161">
        <v>11043</v>
      </c>
      <c r="G119" s="163">
        <f>SUM(C115:C119)</f>
        <v>138661</v>
      </c>
      <c r="H119" s="163">
        <f>SUM(D115:D119)</f>
        <v>16147</v>
      </c>
      <c r="I119" s="163">
        <f>SUM(E115:E119)</f>
        <v>222.3</v>
      </c>
      <c r="J119" s="163">
        <f>SUM(F115:F119)</f>
        <v>46594</v>
      </c>
      <c r="K119" s="984"/>
      <c r="L119" s="180">
        <f t="shared" si="91"/>
        <v>6.0879327828480372E-2</v>
      </c>
      <c r="M119" s="181">
        <f t="shared" si="92"/>
        <v>0.36604554865424432</v>
      </c>
      <c r="N119" s="182">
        <f t="shared" si="90"/>
        <v>-8.9830508474576229E-2</v>
      </c>
      <c r="O119" s="183">
        <f t="shared" si="90"/>
        <v>5.7252273815222597E-2</v>
      </c>
      <c r="P119" s="183">
        <f t="shared" si="83"/>
        <v>8.5485474514838622E-2</v>
      </c>
      <c r="Q119" s="183">
        <f>(H119-H106)/H106</f>
        <v>0.10633778691332649</v>
      </c>
      <c r="R119" s="183">
        <f t="shared" si="93"/>
        <v>-0.14499999999999996</v>
      </c>
      <c r="S119" s="183">
        <f t="shared" si="94"/>
        <v>-2.4005027230833684E-2</v>
      </c>
      <c r="U119" s="870">
        <f t="shared" si="78"/>
        <v>8.879357381024553</v>
      </c>
      <c r="AO119">
        <f t="shared" si="43"/>
        <v>2025.0833333333251</v>
      </c>
      <c r="AP119" s="107">
        <f t="shared" si="95"/>
        <v>-0.17320174606187133</v>
      </c>
      <c r="AQ119" s="107">
        <f t="shared" si="96"/>
        <v>-0.47174948944860451</v>
      </c>
      <c r="AW119" s="982"/>
      <c r="AX119" s="948" t="s">
        <v>862</v>
      </c>
      <c r="AY119" s="239">
        <f>AY112</f>
        <v>9410</v>
      </c>
      <c r="AZ119" s="217">
        <f>INDEX($BK$16:$BL$19,MATCH($AX119,$BK$16:$BK$19,0),2)</f>
        <v>3.5</v>
      </c>
      <c r="BA119" s="162">
        <f t="shared" si="87"/>
        <v>197.54928319638759</v>
      </c>
      <c r="BB119" s="163">
        <f>SUM(AY117:AY119)</f>
        <v>36062</v>
      </c>
      <c r="BC119" s="163">
        <f>SUM(BA117:BA119)</f>
        <v>4239.9557036902197</v>
      </c>
      <c r="BD119" s="1037"/>
      <c r="BE119" s="178">
        <f t="shared" si="89"/>
        <v>8.8868317519092799E-2</v>
      </c>
      <c r="BF119" s="181"/>
      <c r="BG119" s="182">
        <f t="shared" si="88"/>
        <v>3.17287664892386</v>
      </c>
      <c r="BH119" s="183">
        <f t="shared" si="86"/>
        <v>-0.13181019332161686</v>
      </c>
      <c r="BI119" s="183">
        <f t="shared" si="85"/>
        <v>-0.33119142453024203</v>
      </c>
    </row>
    <row r="120" spans="1:61" ht="14.4" thickBot="1" x14ac:dyDescent="0.3">
      <c r="A120" s="981"/>
      <c r="B120" s="159" t="s">
        <v>735</v>
      </c>
      <c r="C120" s="160">
        <v>33487</v>
      </c>
      <c r="D120" s="161">
        <v>4142</v>
      </c>
      <c r="E120" s="162">
        <v>51</v>
      </c>
      <c r="F120" s="161">
        <v>12440</v>
      </c>
      <c r="G120" s="163">
        <f>SUM(C115:C120)</f>
        <v>172148</v>
      </c>
      <c r="H120" s="163">
        <f>SUM(D115:D120)</f>
        <v>20289</v>
      </c>
      <c r="I120" s="163">
        <f>SUM(E115:E120)</f>
        <v>273.3</v>
      </c>
      <c r="J120" s="163">
        <f>SUM(F115:F120)</f>
        <v>59034</v>
      </c>
      <c r="K120" s="984"/>
      <c r="L120" s="180">
        <f t="shared" si="91"/>
        <v>6.6532900184725144E-2</v>
      </c>
      <c r="M120" s="181">
        <f t="shared" si="92"/>
        <v>7.8365009112210365E-2</v>
      </c>
      <c r="N120" s="182">
        <f>(E120-E107)/E107</f>
        <v>-0.20560747663551404</v>
      </c>
      <c r="O120" s="183">
        <f t="shared" ref="O120:O132" si="97">(F120-F107)/F107</f>
        <v>8.8459182780645726E-2</v>
      </c>
      <c r="P120" s="183">
        <f>(G120-G107)/G107</f>
        <v>8.1746146450587226E-2</v>
      </c>
      <c r="Q120" s="183">
        <f t="shared" ref="Q120:Q127" si="98">(H120-H107)/H107</f>
        <v>0.10050987198958559</v>
      </c>
      <c r="R120" s="183">
        <f t="shared" si="93"/>
        <v>-0.15700185070943856</v>
      </c>
      <c r="S120" s="183">
        <f t="shared" si="94"/>
        <v>-2.2816001622471228E-3</v>
      </c>
      <c r="U120" s="870">
        <f t="shared" si="78"/>
        <v>8.0847416706904873</v>
      </c>
      <c r="AO120">
        <f t="shared" si="43"/>
        <v>2025.1666666666583</v>
      </c>
      <c r="AP120" s="107">
        <f t="shared" si="95"/>
        <v>-9.6871139012254984E-2</v>
      </c>
      <c r="AQ120" s="107">
        <f t="shared" si="96"/>
        <v>-0.24734115080447233</v>
      </c>
      <c r="AW120" s="172" t="s">
        <v>3</v>
      </c>
      <c r="AX120" s="188">
        <f>AW110</f>
        <v>2025</v>
      </c>
      <c r="AY120" s="174">
        <f>SUM(AY117:AY119)</f>
        <v>36062</v>
      </c>
      <c r="AZ120" s="174"/>
      <c r="BA120" s="174">
        <f>SUM(BA117:BA119)</f>
        <v>4239.9557036902197</v>
      </c>
      <c r="BB120" s="175">
        <f>BB119</f>
        <v>36062</v>
      </c>
      <c r="BC120" s="175">
        <f>BC119</f>
        <v>4239.9557036902197</v>
      </c>
      <c r="BD120" s="1038"/>
      <c r="BE120" s="189">
        <f t="shared" si="89"/>
        <v>-0.13181019332161686</v>
      </c>
      <c r="BF120" s="189"/>
      <c r="BG120" s="190">
        <f t="shared" si="88"/>
        <v>-0.33119142453024203</v>
      </c>
      <c r="BH120" s="191">
        <f t="shared" si="86"/>
        <v>-0.13181019332161686</v>
      </c>
      <c r="BI120" s="191">
        <f t="shared" si="85"/>
        <v>-0.33119142453024203</v>
      </c>
    </row>
    <row r="121" spans="1:61" ht="13.8" x14ac:dyDescent="0.25">
      <c r="A121" s="981"/>
      <c r="B121" s="159" t="s">
        <v>740</v>
      </c>
      <c r="C121" s="160">
        <v>31686</v>
      </c>
      <c r="D121" s="161">
        <v>3412</v>
      </c>
      <c r="E121" s="162">
        <v>61.8</v>
      </c>
      <c r="F121" s="161">
        <v>14308</v>
      </c>
      <c r="G121" s="163">
        <f>SUM(C115:C121)</f>
        <v>203834</v>
      </c>
      <c r="H121" s="163">
        <f>SUM(D115:D121)</f>
        <v>23701</v>
      </c>
      <c r="I121" s="163">
        <f>SUM(E115:E121)</f>
        <v>335.1</v>
      </c>
      <c r="J121" s="163">
        <f>SUM(F115:F121)</f>
        <v>73342</v>
      </c>
      <c r="K121" s="984"/>
      <c r="L121" s="180">
        <f t="shared" si="91"/>
        <v>-0.30724327160628784</v>
      </c>
      <c r="M121" s="181">
        <f t="shared" si="92"/>
        <v>-0.59654723897363127</v>
      </c>
      <c r="N121" s="182">
        <f>(E121-E108)/E108</f>
        <v>9.8039215686273572E-3</v>
      </c>
      <c r="O121" s="183">
        <f t="shared" si="97"/>
        <v>9.3800168182860633E-2</v>
      </c>
      <c r="P121" s="183">
        <f t="shared" ref="P121:P132" si="99">(G121-G108)/G108</f>
        <v>-5.0957154989798806E-3</v>
      </c>
      <c r="Q121" s="183">
        <f t="shared" si="98"/>
        <v>-0.11869259658647231</v>
      </c>
      <c r="R121" s="183">
        <f t="shared" si="93"/>
        <v>-0.13051375194602999</v>
      </c>
      <c r="S121" s="183">
        <f t="shared" si="94"/>
        <v>1.5114186851211072E-2</v>
      </c>
      <c r="U121" s="870">
        <f t="shared" si="78"/>
        <v>9.2866354044548647</v>
      </c>
      <c r="AO121">
        <f t="shared" si="43"/>
        <v>2025.2499999999916</v>
      </c>
      <c r="AP121" s="107">
        <f t="shared" si="95"/>
        <v>-0.13217771684131494</v>
      </c>
      <c r="AQ121" s="107">
        <f t="shared" si="96"/>
        <v>-0.24473493100944083</v>
      </c>
    </row>
    <row r="122" spans="1:61" ht="13.8" x14ac:dyDescent="0.25">
      <c r="A122" s="981"/>
      <c r="B122" s="159" t="s">
        <v>752</v>
      </c>
      <c r="C122" s="160">
        <v>34517</v>
      </c>
      <c r="D122" s="161">
        <v>4887</v>
      </c>
      <c r="E122" s="162">
        <v>55.3</v>
      </c>
      <c r="F122" s="161">
        <v>14894</v>
      </c>
      <c r="G122" s="163">
        <f>SUM(C115:C122)</f>
        <v>238351</v>
      </c>
      <c r="H122" s="163">
        <f>SUM(D115:D122)</f>
        <v>28588</v>
      </c>
      <c r="I122" s="163">
        <f>SUM(E115:E122)</f>
        <v>390.40000000000003</v>
      </c>
      <c r="J122" s="163">
        <f>SUM(F115:F122)</f>
        <v>88236</v>
      </c>
      <c r="K122" s="984"/>
      <c r="L122" s="180">
        <f t="shared" si="91"/>
        <v>-0.13644892547096646</v>
      </c>
      <c r="M122" s="181">
        <f t="shared" si="92"/>
        <v>-0.17267648552564754</v>
      </c>
      <c r="N122" s="182">
        <f t="shared" ref="N122:N132" si="100">(E122-E109)/E109</f>
        <v>-3.9930555555555629E-2</v>
      </c>
      <c r="O122" s="183">
        <f t="shared" si="97"/>
        <v>6.3097787294789431E-2</v>
      </c>
      <c r="P122" s="183">
        <f t="shared" si="99"/>
        <v>-2.6538805549542778E-2</v>
      </c>
      <c r="Q122" s="183">
        <f t="shared" si="98"/>
        <v>-0.12841463414634147</v>
      </c>
      <c r="R122" s="183">
        <f t="shared" si="93"/>
        <v>-0.11873589164785546</v>
      </c>
      <c r="S122" s="183">
        <f t="shared" si="94"/>
        <v>2.2907488986784141E-2</v>
      </c>
      <c r="U122" s="870">
        <f t="shared" si="78"/>
        <v>7.0630243503171677</v>
      </c>
      <c r="AO122">
        <f t="shared" si="43"/>
        <v>2025.3333333333248</v>
      </c>
      <c r="AP122" s="107">
        <f t="shared" si="95"/>
        <v>3.8439217560509338E-2</v>
      </c>
      <c r="AQ122" s="107">
        <f t="shared" si="96"/>
        <v>0.11821764170960897</v>
      </c>
    </row>
    <row r="123" spans="1:61" ht="13.8" x14ac:dyDescent="0.25">
      <c r="A123" s="981"/>
      <c r="B123" s="159" t="s">
        <v>754</v>
      </c>
      <c r="C123" s="160">
        <v>32326</v>
      </c>
      <c r="D123" s="161">
        <v>3945</v>
      </c>
      <c r="E123" s="162">
        <v>53.9</v>
      </c>
      <c r="F123" s="161">
        <v>12054</v>
      </c>
      <c r="G123" s="163">
        <f>SUM(C115:C123)</f>
        <v>270677</v>
      </c>
      <c r="H123" s="163">
        <f>SUM(D115:D123)</f>
        <v>32533</v>
      </c>
      <c r="I123" s="163">
        <f>SUM(E115:E123)</f>
        <v>444.3</v>
      </c>
      <c r="J123" s="163">
        <f>SUM(F115:F123)</f>
        <v>100290</v>
      </c>
      <c r="K123" s="984"/>
      <c r="L123" s="180">
        <f t="shared" si="91"/>
        <v>4.6521415390592118E-2</v>
      </c>
      <c r="M123" s="181">
        <f t="shared" si="92"/>
        <v>0.10845743186288283</v>
      </c>
      <c r="N123" s="182">
        <f t="shared" si="100"/>
        <v>-3.6968576709797197E-3</v>
      </c>
      <c r="O123" s="183">
        <f t="shared" si="97"/>
        <v>-4.4243577545195055E-2</v>
      </c>
      <c r="P123" s="183">
        <f t="shared" si="99"/>
        <v>-1.8354379882352088E-2</v>
      </c>
      <c r="Q123" s="183">
        <f t="shared" si="98"/>
        <v>-0.10522841662311945</v>
      </c>
      <c r="R123" s="183">
        <f t="shared" si="93"/>
        <v>-0.10621605310802658</v>
      </c>
      <c r="S123" s="183">
        <f t="shared" si="94"/>
        <v>1.4341775224532729E-2</v>
      </c>
      <c r="U123" s="870">
        <f t="shared" si="78"/>
        <v>8.1941698352344741</v>
      </c>
      <c r="AO123">
        <f t="shared" si="43"/>
        <v>2025.4166666666581</v>
      </c>
      <c r="AP123" s="107">
        <f t="shared" si="95"/>
        <v>-0.12357034072923821</v>
      </c>
      <c r="AQ123" s="107">
        <f t="shared" si="96"/>
        <v>-0.24770642201834864</v>
      </c>
    </row>
    <row r="124" spans="1:61" ht="13.8" x14ac:dyDescent="0.25">
      <c r="A124" s="981"/>
      <c r="B124" s="159" t="s">
        <v>755</v>
      </c>
      <c r="C124" s="160">
        <v>31567</v>
      </c>
      <c r="D124" s="161">
        <v>3198</v>
      </c>
      <c r="E124" s="162">
        <v>45.6</v>
      </c>
      <c r="F124" s="161">
        <v>11514</v>
      </c>
      <c r="G124" s="163">
        <f>SUM(C115:C124)</f>
        <v>302244</v>
      </c>
      <c r="H124" s="163">
        <f>SUM(D115:D124)</f>
        <v>35731</v>
      </c>
      <c r="I124" s="163">
        <f>SUM(E115:E124)</f>
        <v>489.90000000000003</v>
      </c>
      <c r="J124" s="163">
        <f>SUM(F115:F124)</f>
        <v>111804</v>
      </c>
      <c r="K124" s="984"/>
      <c r="L124" s="180">
        <f t="shared" si="91"/>
        <v>8.1135694225631896E-2</v>
      </c>
      <c r="M124" s="181">
        <f>(D124-D111)/D111</f>
        <v>9.7837281153450056E-2</v>
      </c>
      <c r="N124" s="182">
        <f t="shared" si="100"/>
        <v>-6.9387755102040788E-2</v>
      </c>
      <c r="O124" s="183">
        <f t="shared" si="97"/>
        <v>5.7300275482093661E-2</v>
      </c>
      <c r="P124" s="183">
        <f t="shared" si="99"/>
        <v>-8.8280819581813882E-3</v>
      </c>
      <c r="Q124" s="183">
        <f t="shared" si="98"/>
        <v>-9.016602159299246E-2</v>
      </c>
      <c r="R124" s="183">
        <f t="shared" si="93"/>
        <v>-0.10291155466031859</v>
      </c>
      <c r="S124" s="183">
        <f t="shared" si="94"/>
        <v>1.8603888413112005E-2</v>
      </c>
      <c r="U124" s="870">
        <f t="shared" si="78"/>
        <v>9.8708567854909326</v>
      </c>
      <c r="AO124">
        <f t="shared" si="43"/>
        <v>2025.4999999999914</v>
      </c>
      <c r="AP124" s="107">
        <f t="shared" si="95"/>
        <v>0.10569336615539986</v>
      </c>
      <c r="AQ124" s="107">
        <f t="shared" si="96"/>
        <v>0.24003516998827668</v>
      </c>
    </row>
    <row r="125" spans="1:61" ht="13.8" x14ac:dyDescent="0.25">
      <c r="A125" s="981"/>
      <c r="B125" s="159" t="s">
        <v>756</v>
      </c>
      <c r="C125" s="160">
        <v>26079</v>
      </c>
      <c r="D125" s="161">
        <v>3356</v>
      </c>
      <c r="E125" s="162">
        <v>42.8</v>
      </c>
      <c r="F125" s="161">
        <v>9352</v>
      </c>
      <c r="G125" s="163">
        <f>SUM(C115:C125)</f>
        <v>328323</v>
      </c>
      <c r="H125" s="163">
        <f>SUM(D115:D125)</f>
        <v>39087</v>
      </c>
      <c r="I125" s="163">
        <f>SUM(E115:E125)</f>
        <v>532.70000000000005</v>
      </c>
      <c r="J125" s="163">
        <f>SUM(F115:F125)</f>
        <v>121156</v>
      </c>
      <c r="K125" s="984"/>
      <c r="L125" s="180">
        <f t="shared" si="91"/>
        <v>-1.7888077125856744E-2</v>
      </c>
      <c r="M125" s="181">
        <f>(D125-D112)/D112</f>
        <v>0.16771050800278359</v>
      </c>
      <c r="N125" s="182">
        <f t="shared" si="100"/>
        <v>-0.23843416370106771</v>
      </c>
      <c r="O125" s="183">
        <f t="shared" si="97"/>
        <v>-7.6400679117147709E-3</v>
      </c>
      <c r="P125" s="183">
        <f t="shared" si="99"/>
        <v>-9.5538326948022573E-3</v>
      </c>
      <c r="Q125" s="183">
        <f t="shared" si="98"/>
        <v>-7.2581027855549762E-2</v>
      </c>
      <c r="R125" s="183">
        <f t="shared" si="93"/>
        <v>-0.11555703137971113</v>
      </c>
      <c r="S125" s="183">
        <f t="shared" si="94"/>
        <v>1.6528786938063197E-2</v>
      </c>
      <c r="U125" s="870">
        <f t="shared" si="78"/>
        <v>7.7708581644815258</v>
      </c>
      <c r="AO125">
        <f t="shared" si="43"/>
        <v>2025.5833333333246</v>
      </c>
      <c r="AP125" s="107">
        <f t="shared" si="95"/>
        <v>-2.0221919633803632E-2</v>
      </c>
      <c r="AQ125" s="107">
        <f t="shared" si="96"/>
        <v>-0.22488234090444034</v>
      </c>
    </row>
    <row r="126" spans="1:61" ht="14.4" thickBot="1" x14ac:dyDescent="0.3">
      <c r="A126" s="987"/>
      <c r="B126" s="167" t="s">
        <v>758</v>
      </c>
      <c r="C126" s="168">
        <v>24737</v>
      </c>
      <c r="D126" s="169">
        <v>2447</v>
      </c>
      <c r="E126" s="170">
        <v>59.5</v>
      </c>
      <c r="F126" s="171">
        <v>9654</v>
      </c>
      <c r="G126" s="163">
        <f>SUM(C115:C126)</f>
        <v>353060</v>
      </c>
      <c r="H126" s="163">
        <f>SUM(D115:D126)</f>
        <v>41534</v>
      </c>
      <c r="I126" s="163">
        <f>SUM(E115:E126)</f>
        <v>592.20000000000005</v>
      </c>
      <c r="J126" s="163">
        <f>SUM(F115:F126)</f>
        <v>130810</v>
      </c>
      <c r="K126" s="984"/>
      <c r="L126" s="184">
        <f t="shared" si="91"/>
        <v>7.0124589029243817E-2</v>
      </c>
      <c r="M126" s="185">
        <f>(D126-D113)/D113</f>
        <v>9.9050763516302098E-3</v>
      </c>
      <c r="N126" s="186">
        <f t="shared" si="100"/>
        <v>0.11214953271028037</v>
      </c>
      <c r="O126" s="187">
        <f t="shared" si="97"/>
        <v>3.2844763025569698E-2</v>
      </c>
      <c r="P126" s="187">
        <f t="shared" si="99"/>
        <v>-4.3597683062328333E-3</v>
      </c>
      <c r="Q126" s="187">
        <f t="shared" si="98"/>
        <v>-6.8096659112836272E-2</v>
      </c>
      <c r="R126" s="187">
        <f t="shared" si="93"/>
        <v>-9.698078682525163E-2</v>
      </c>
      <c r="S126" s="187">
        <f t="shared" si="94"/>
        <v>1.7715294904810438E-2</v>
      </c>
      <c r="U126" s="870">
        <f t="shared" si="78"/>
        <v>10.109113199836534</v>
      </c>
      <c r="AO126">
        <f t="shared" si="43"/>
        <v>2025.6666666666579</v>
      </c>
      <c r="AP126" s="107">
        <f t="shared" si="95"/>
        <v>-6.1962506960341522E-2</v>
      </c>
      <c r="AQ126" s="107">
        <f t="shared" si="96"/>
        <v>-0.21520912547528517</v>
      </c>
    </row>
    <row r="127" spans="1:61" ht="14.4" thickBot="1" x14ac:dyDescent="0.3">
      <c r="A127" s="172" t="s">
        <v>3</v>
      </c>
      <c r="B127" s="188">
        <f>A115</f>
        <v>2024</v>
      </c>
      <c r="C127" s="174">
        <f>SUM(C115:C126)</f>
        <v>353060</v>
      </c>
      <c r="D127" s="174">
        <f>SUM(D115:D126)</f>
        <v>41534</v>
      </c>
      <c r="E127" s="174">
        <f>SUM(E115:E126)</f>
        <v>592.20000000000005</v>
      </c>
      <c r="F127" s="174">
        <f>SUM(F115:F126)</f>
        <v>130810</v>
      </c>
      <c r="G127" s="175">
        <f>G119</f>
        <v>138661</v>
      </c>
      <c r="H127" s="175">
        <f>H119</f>
        <v>16147</v>
      </c>
      <c r="I127" s="175">
        <f>I119</f>
        <v>222.3</v>
      </c>
      <c r="J127" s="175">
        <f>J119</f>
        <v>46594</v>
      </c>
      <c r="K127" s="985"/>
      <c r="L127" s="189">
        <f t="shared" si="91"/>
        <v>-4.3597683062328333E-3</v>
      </c>
      <c r="M127" s="189">
        <f>(D127-D114)/D114</f>
        <v>-6.8096659112836272E-2</v>
      </c>
      <c r="N127" s="190">
        <f t="shared" si="100"/>
        <v>-9.698078682525163E-2</v>
      </c>
      <c r="O127" s="191">
        <f t="shared" si="97"/>
        <v>1.7715294904810438E-2</v>
      </c>
      <c r="P127" s="191">
        <f t="shared" si="99"/>
        <v>8.5485474514838622E-2</v>
      </c>
      <c r="Q127" s="191">
        <f t="shared" si="98"/>
        <v>0.10633778691332649</v>
      </c>
      <c r="R127" s="191">
        <f t="shared" si="93"/>
        <v>-0.14499999999999996</v>
      </c>
      <c r="S127" s="191">
        <f t="shared" si="94"/>
        <v>-2.4005027230833684E-2</v>
      </c>
      <c r="U127" s="870">
        <f>C127/D127</f>
        <v>8.5005056098618006</v>
      </c>
      <c r="AO127">
        <f t="shared" si="43"/>
        <v>2025.7499999999911</v>
      </c>
      <c r="AP127" s="107">
        <f t="shared" si="95"/>
        <v>-0.11068520923749485</v>
      </c>
      <c r="AQ127" s="107">
        <f t="shared" si="96"/>
        <v>-0.18699186991869918</v>
      </c>
    </row>
    <row r="128" spans="1:61" ht="13.8" x14ac:dyDescent="0.25">
      <c r="A128" s="981">
        <v>2025</v>
      </c>
      <c r="B128" s="151" t="s">
        <v>710</v>
      </c>
      <c r="C128" s="152">
        <v>22406</v>
      </c>
      <c r="D128" s="153">
        <v>2328</v>
      </c>
      <c r="E128" s="154">
        <v>46.3</v>
      </c>
      <c r="F128" s="153">
        <v>9589</v>
      </c>
      <c r="G128" s="155">
        <f>C128</f>
        <v>22406</v>
      </c>
      <c r="H128" s="155">
        <f>D128</f>
        <v>2328</v>
      </c>
      <c r="I128" s="155">
        <f>E128</f>
        <v>46.3</v>
      </c>
      <c r="J128" s="155">
        <f>F128</f>
        <v>9589</v>
      </c>
      <c r="K128" s="983" t="str">
        <f>"Milli áranna "&amp; A115&amp;" og "&amp; A128</f>
        <v>Milli áranna 2024 og 2025</v>
      </c>
      <c r="L128" s="178">
        <f>(C128-C115)/C115</f>
        <v>-1.6486209508532728E-3</v>
      </c>
      <c r="M128" s="178">
        <f>(D128-D115)/D115</f>
        <v>0.10227272727272728</v>
      </c>
      <c r="N128" s="178">
        <f t="shared" si="100"/>
        <v>0.15749999999999992</v>
      </c>
      <c r="O128" s="179">
        <f t="shared" si="97"/>
        <v>6.5444444444444444E-2</v>
      </c>
      <c r="P128" s="179">
        <f t="shared" si="99"/>
        <v>-1.6486209508532728E-3</v>
      </c>
      <c r="Q128" s="179">
        <f>(H128-H115)/H115</f>
        <v>0.10227272727272728</v>
      </c>
      <c r="R128" s="179">
        <f>(I128-I115)/I115</f>
        <v>0.15749999999999992</v>
      </c>
      <c r="S128" s="179">
        <f>(J128-J115)/J115</f>
        <v>6.5444444444444444E-2</v>
      </c>
      <c r="U128" s="870">
        <f t="shared" si="78"/>
        <v>9.6245704467353956</v>
      </c>
      <c r="AO128">
        <f t="shared" si="43"/>
        <v>2025.8333333333244</v>
      </c>
      <c r="AP128" s="107">
        <f t="shared" si="95"/>
        <v>-2.1779976226082288E-2</v>
      </c>
      <c r="AQ128" s="107">
        <f t="shared" si="96"/>
        <v>5.8998808104886773E-2</v>
      </c>
    </row>
    <row r="129" spans="1:43" ht="13.8" x14ac:dyDescent="0.25">
      <c r="A129" s="981"/>
      <c r="B129" s="159" t="s">
        <v>715</v>
      </c>
      <c r="C129" s="160">
        <v>21782</v>
      </c>
      <c r="D129" s="161">
        <v>1552</v>
      </c>
      <c r="E129" s="162">
        <v>48</v>
      </c>
      <c r="F129" s="161">
        <v>7822</v>
      </c>
      <c r="G129" s="163">
        <f>SUM(C128:C129)</f>
        <v>44188</v>
      </c>
      <c r="H129" s="163">
        <f>SUM(D128:D129)</f>
        <v>3880</v>
      </c>
      <c r="I129" s="163">
        <f>SUM(E128:E129)</f>
        <v>94.3</v>
      </c>
      <c r="J129" s="163">
        <f>SUM(F128:F129)</f>
        <v>17411</v>
      </c>
      <c r="K129" s="984"/>
      <c r="L129" s="180">
        <f t="shared" ref="L129:L140" si="101">(C129-C116)/C116</f>
        <v>-0.17320174606187133</v>
      </c>
      <c r="M129" s="181">
        <f t="shared" ref="M129:M136" si="102">(D129-D116)/D116</f>
        <v>-0.47174948944860451</v>
      </c>
      <c r="N129" s="182">
        <f t="shared" si="100"/>
        <v>0.10091743119266051</v>
      </c>
      <c r="O129" s="183">
        <f t="shared" si="97"/>
        <v>-8.3323567326848702E-2</v>
      </c>
      <c r="P129" s="183">
        <f t="shared" si="99"/>
        <v>-9.428548003607444E-2</v>
      </c>
      <c r="Q129" s="183">
        <f>(H129-H116)/H116</f>
        <v>-0.23168316831683169</v>
      </c>
      <c r="R129" s="183">
        <f t="shared" ref="R129:R140" si="103">(I129-I116)/I116</f>
        <v>0.1279904306220096</v>
      </c>
      <c r="S129" s="183">
        <f t="shared" ref="S129:S140" si="104">(J129-J116)/J116</f>
        <v>-6.9583071921519423E-3</v>
      </c>
      <c r="U129" s="870">
        <f t="shared" si="78"/>
        <v>14.034793814432989</v>
      </c>
      <c r="AO129">
        <f t="shared" si="43"/>
        <v>2025.9166666666576</v>
      </c>
      <c r="AP129" s="107">
        <f t="shared" ref="AP129:AP136" si="105">L139</f>
        <v>-5.8859198771071673E-2</v>
      </c>
      <c r="AQ129" s="107">
        <f t="shared" ref="AQ129:AQ136" si="106">M139</f>
        <v>-9.3583980384143853E-2</v>
      </c>
    </row>
    <row r="130" spans="1:43" ht="13.8" x14ac:dyDescent="0.25">
      <c r="A130" s="981"/>
      <c r="B130" s="159" t="s">
        <v>718</v>
      </c>
      <c r="C130" s="160">
        <v>27046</v>
      </c>
      <c r="D130" s="161">
        <v>2760</v>
      </c>
      <c r="E130" s="162">
        <v>42.6</v>
      </c>
      <c r="F130" s="161">
        <v>9115</v>
      </c>
      <c r="G130" s="163">
        <f>SUM(C128:C130)</f>
        <v>71234</v>
      </c>
      <c r="H130" s="163">
        <f>SUM(D128:D130)</f>
        <v>6640</v>
      </c>
      <c r="I130" s="163">
        <f>SUM(E128:E130)</f>
        <v>136.9</v>
      </c>
      <c r="J130" s="163">
        <f>SUM(F128:F130)</f>
        <v>26526</v>
      </c>
      <c r="K130" s="984"/>
      <c r="L130" s="180">
        <f t="shared" si="101"/>
        <v>-9.6871139012254984E-2</v>
      </c>
      <c r="M130" s="181">
        <f t="shared" si="102"/>
        <v>-0.24734115080447233</v>
      </c>
      <c r="N130" s="182">
        <f t="shared" si="100"/>
        <v>-4.672897196261583E-3</v>
      </c>
      <c r="O130" s="183">
        <f t="shared" si="97"/>
        <v>0.110231425091352</v>
      </c>
      <c r="P130" s="183">
        <f t="shared" si="99"/>
        <v>-9.5268940115577572E-2</v>
      </c>
      <c r="Q130" s="183">
        <f>(H130-H117)/H117</f>
        <v>-0.23827004703453022</v>
      </c>
      <c r="R130" s="183">
        <f t="shared" si="103"/>
        <v>8.306962025316468E-2</v>
      </c>
      <c r="S130" s="183">
        <f t="shared" si="104"/>
        <v>3.0416035427106396E-2</v>
      </c>
      <c r="U130" s="870">
        <f t="shared" si="78"/>
        <v>9.7992753623188413</v>
      </c>
      <c r="AO130">
        <f t="shared" si="43"/>
        <v>2025.9999999999909</v>
      </c>
      <c r="AP130" s="107">
        <f t="shared" si="105"/>
        <v>-5.5038803602787061E-2</v>
      </c>
      <c r="AQ130" s="107">
        <f t="shared" si="106"/>
        <v>-0.13198825058987818</v>
      </c>
    </row>
    <row r="131" spans="1:43" ht="13.8" x14ac:dyDescent="0.25">
      <c r="A131" s="981"/>
      <c r="B131" s="159" t="s">
        <v>725</v>
      </c>
      <c r="C131" s="160">
        <v>26584</v>
      </c>
      <c r="D131" s="161">
        <v>3120</v>
      </c>
      <c r="E131" s="162">
        <v>48.2</v>
      </c>
      <c r="F131" s="161">
        <v>10754</v>
      </c>
      <c r="G131" s="163">
        <f>SUM(C128:C131)</f>
        <v>97818</v>
      </c>
      <c r="H131" s="163">
        <f>SUM(D128:D131)</f>
        <v>9760</v>
      </c>
      <c r="I131" s="163">
        <f>SUM(E128:E131)</f>
        <v>185.10000000000002</v>
      </c>
      <c r="J131" s="163">
        <f>SUM(F128:F131)</f>
        <v>37280</v>
      </c>
      <c r="K131" s="984"/>
      <c r="L131" s="180">
        <f t="shared" si="101"/>
        <v>-0.13217771684131494</v>
      </c>
      <c r="M131" s="181">
        <f t="shared" si="102"/>
        <v>-0.24473493100944083</v>
      </c>
      <c r="N131" s="182">
        <f t="shared" si="100"/>
        <v>0.14218009478672985</v>
      </c>
      <c r="O131" s="183">
        <f t="shared" si="97"/>
        <v>9.6451876019575861E-2</v>
      </c>
      <c r="P131" s="183">
        <f t="shared" si="99"/>
        <v>-0.10560675883256529</v>
      </c>
      <c r="Q131" s="183">
        <f>(H131-H118)/H118</f>
        <v>-0.24034869240348691</v>
      </c>
      <c r="R131" s="183">
        <f t="shared" si="103"/>
        <v>9.7864768683274192E-2</v>
      </c>
      <c r="S131" s="183">
        <f t="shared" si="104"/>
        <v>4.863435627689798E-2</v>
      </c>
      <c r="U131" s="870">
        <f t="shared" si="78"/>
        <v>8.5205128205128204</v>
      </c>
      <c r="AO131">
        <f t="shared" si="43"/>
        <v>2026.0833333333242</v>
      </c>
      <c r="AP131" s="107">
        <f t="shared" si="105"/>
        <v>0</v>
      </c>
      <c r="AQ131" s="107">
        <f t="shared" si="106"/>
        <v>0</v>
      </c>
    </row>
    <row r="132" spans="1:43" ht="13.8" x14ac:dyDescent="0.25">
      <c r="A132" s="981"/>
      <c r="B132" s="159" t="s">
        <v>730</v>
      </c>
      <c r="C132" s="160">
        <v>30419</v>
      </c>
      <c r="D132" s="161">
        <v>3689</v>
      </c>
      <c r="E132" s="162">
        <v>59.5</v>
      </c>
      <c r="F132" s="161">
        <v>12064</v>
      </c>
      <c r="G132" s="163">
        <f>SUM(C128:C132)</f>
        <v>128237</v>
      </c>
      <c r="H132" s="163">
        <f>SUM(D128:D132)</f>
        <v>13449</v>
      </c>
      <c r="I132" s="163">
        <f>SUM(E128:E132)</f>
        <v>244.60000000000002</v>
      </c>
      <c r="J132" s="163">
        <f>SUM(F128:F132)</f>
        <v>49344</v>
      </c>
      <c r="K132" s="984"/>
      <c r="L132" s="180">
        <f t="shared" si="101"/>
        <v>3.8439217560509338E-2</v>
      </c>
      <c r="M132" s="181">
        <f>(D132-D119)/D119</f>
        <v>0.11821764170960897</v>
      </c>
      <c r="N132" s="182">
        <f t="shared" si="100"/>
        <v>0.10800744878957164</v>
      </c>
      <c r="O132" s="183">
        <f t="shared" si="97"/>
        <v>9.2456759938422534E-2</v>
      </c>
      <c r="P132" s="183">
        <f t="shared" si="99"/>
        <v>-7.5176149025320743E-2</v>
      </c>
      <c r="Q132" s="183">
        <f>(H132-H119)/H119</f>
        <v>-0.16708986189385025</v>
      </c>
      <c r="R132" s="183">
        <f t="shared" si="103"/>
        <v>0.10031488978857404</v>
      </c>
      <c r="S132" s="183">
        <f t="shared" si="104"/>
        <v>5.9020474739236814E-2</v>
      </c>
      <c r="U132" s="870">
        <f t="shared" si="78"/>
        <v>8.2458660883708319</v>
      </c>
      <c r="AO132">
        <f t="shared" si="43"/>
        <v>2026.1666666666574</v>
      </c>
      <c r="AP132" s="107">
        <f t="shared" si="105"/>
        <v>0</v>
      </c>
      <c r="AQ132" s="107">
        <f t="shared" si="106"/>
        <v>0</v>
      </c>
    </row>
    <row r="133" spans="1:43" ht="13.8" x14ac:dyDescent="0.25">
      <c r="A133" s="981"/>
      <c r="B133" s="159" t="s">
        <v>735</v>
      </c>
      <c r="C133" s="160">
        <v>29349</v>
      </c>
      <c r="D133" s="161">
        <v>3116</v>
      </c>
      <c r="E133" s="162">
        <v>56</v>
      </c>
      <c r="F133" s="161">
        <v>12604</v>
      </c>
      <c r="G133" s="163">
        <f>SUM(C128:C133)</f>
        <v>157586</v>
      </c>
      <c r="H133" s="163">
        <f>SUM(D128:D133)</f>
        <v>16565</v>
      </c>
      <c r="I133" s="163">
        <f>SUM(E128:E133)</f>
        <v>300.60000000000002</v>
      </c>
      <c r="J133" s="163">
        <f>SUM(F128:F133)</f>
        <v>61948</v>
      </c>
      <c r="K133" s="984"/>
      <c r="L133" s="180">
        <f t="shared" si="101"/>
        <v>-0.12357034072923821</v>
      </c>
      <c r="M133" s="181">
        <f t="shared" si="102"/>
        <v>-0.24770642201834864</v>
      </c>
      <c r="N133" s="182">
        <f>(E133-E120)/E120</f>
        <v>9.8039215686274508E-2</v>
      </c>
      <c r="O133" s="183">
        <f t="shared" ref="O133:O140" si="107">(F133-F120)/F120</f>
        <v>1.3183279742765274E-2</v>
      </c>
      <c r="P133" s="183">
        <f>(G133-G120)/G120</f>
        <v>-8.4590003950089462E-2</v>
      </c>
      <c r="Q133" s="183">
        <f t="shared" ref="Q133:Q140" si="108">(H133-H120)/H120</f>
        <v>-0.18354773522598453</v>
      </c>
      <c r="R133" s="183">
        <f t="shared" si="103"/>
        <v>9.9890230515916612E-2</v>
      </c>
      <c r="S133" s="183">
        <f t="shared" si="104"/>
        <v>4.9361384964596675E-2</v>
      </c>
      <c r="U133" s="870">
        <f>C133/D133</f>
        <v>9.4188061617458274</v>
      </c>
      <c r="AO133">
        <f t="shared" si="43"/>
        <v>2026.2499999999907</v>
      </c>
      <c r="AP133" s="107">
        <f t="shared" si="105"/>
        <v>0</v>
      </c>
      <c r="AQ133" s="107">
        <f t="shared" si="106"/>
        <v>0</v>
      </c>
    </row>
    <row r="134" spans="1:43" ht="13.8" x14ac:dyDescent="0.25">
      <c r="A134" s="981"/>
      <c r="B134" s="159" t="s">
        <v>740</v>
      </c>
      <c r="C134" s="160">
        <v>35035</v>
      </c>
      <c r="D134" s="161">
        <v>4231</v>
      </c>
      <c r="E134" s="162">
        <v>64.900000000000006</v>
      </c>
      <c r="F134" s="161">
        <v>14173</v>
      </c>
      <c r="G134" s="163">
        <f>SUM(C128:C134)</f>
        <v>192621</v>
      </c>
      <c r="H134" s="163">
        <f>SUM(D128:D134)</f>
        <v>20796</v>
      </c>
      <c r="I134" s="163">
        <f>SUM(E128:E134)</f>
        <v>365.5</v>
      </c>
      <c r="J134" s="163">
        <f>SUM(F128:F134)</f>
        <v>76121</v>
      </c>
      <c r="K134" s="984"/>
      <c r="L134" s="180">
        <f t="shared" si="101"/>
        <v>0.10569336615539986</v>
      </c>
      <c r="M134" s="181">
        <f t="shared" si="102"/>
        <v>0.24003516998827668</v>
      </c>
      <c r="N134" s="182">
        <f>(E134-E121)/E121</f>
        <v>5.0161812297734767E-2</v>
      </c>
      <c r="O134" s="183">
        <f t="shared" si="107"/>
        <v>-9.4352809616997484E-3</v>
      </c>
      <c r="P134" s="183">
        <f t="shared" ref="P134:P140" si="109">(G134-G121)/G121</f>
        <v>-5.5010449679641277E-2</v>
      </c>
      <c r="Q134" s="183">
        <f t="shared" si="108"/>
        <v>-0.12256866798869245</v>
      </c>
      <c r="R134" s="183">
        <f t="shared" si="103"/>
        <v>9.0719188301999334E-2</v>
      </c>
      <c r="S134" s="183">
        <f t="shared" si="104"/>
        <v>3.7890976520956611E-2</v>
      </c>
      <c r="U134" s="870">
        <f t="shared" ref="U134:U139" si="110">C134/D134</f>
        <v>8.2805483337272516</v>
      </c>
      <c r="AO134">
        <f t="shared" si="43"/>
        <v>2026.3333333333239</v>
      </c>
      <c r="AP134" s="107">
        <f t="shared" si="105"/>
        <v>0</v>
      </c>
      <c r="AQ134" s="107">
        <f t="shared" si="106"/>
        <v>0</v>
      </c>
    </row>
    <row r="135" spans="1:43" ht="13.8" x14ac:dyDescent="0.25">
      <c r="A135" s="981"/>
      <c r="B135" s="159" t="s">
        <v>752</v>
      </c>
      <c r="C135" s="160">
        <v>33819</v>
      </c>
      <c r="D135" s="161">
        <v>3788</v>
      </c>
      <c r="E135" s="162">
        <v>58.5</v>
      </c>
      <c r="F135" s="161">
        <v>13827</v>
      </c>
      <c r="G135" s="163">
        <f>SUM(C128:C135)</f>
        <v>226440</v>
      </c>
      <c r="H135" s="163">
        <f>SUM(D128:D135)</f>
        <v>24584</v>
      </c>
      <c r="I135" s="163">
        <f>SUM(E128:E135)</f>
        <v>424</v>
      </c>
      <c r="J135" s="163">
        <f>SUM(F128:F135)</f>
        <v>89948</v>
      </c>
      <c r="K135" s="984"/>
      <c r="L135" s="180">
        <f t="shared" si="101"/>
        <v>-2.0221919633803632E-2</v>
      </c>
      <c r="M135" s="181">
        <f t="shared" si="102"/>
        <v>-0.22488234090444034</v>
      </c>
      <c r="N135" s="182">
        <f t="shared" ref="N135:N140" si="111">(E135-E122)/E122</f>
        <v>5.7866184448462983E-2</v>
      </c>
      <c r="O135" s="183">
        <f t="shared" si="107"/>
        <v>-7.1639586410635156E-2</v>
      </c>
      <c r="P135" s="183">
        <f t="shared" si="109"/>
        <v>-4.9972519519532119E-2</v>
      </c>
      <c r="Q135" s="183">
        <f t="shared" si="108"/>
        <v>-0.14005876591576885</v>
      </c>
      <c r="R135" s="183">
        <f t="shared" si="103"/>
        <v>8.6065573770491705E-2</v>
      </c>
      <c r="S135" s="183">
        <f t="shared" si="104"/>
        <v>1.9402511446575094E-2</v>
      </c>
      <c r="U135" s="870">
        <f t="shared" si="110"/>
        <v>8.9279303062302002</v>
      </c>
      <c r="AO135">
        <f t="shared" si="43"/>
        <v>2026.4166666666572</v>
      </c>
      <c r="AP135" s="107">
        <f t="shared" si="105"/>
        <v>0</v>
      </c>
      <c r="AQ135" s="107">
        <f t="shared" si="106"/>
        <v>0</v>
      </c>
    </row>
    <row r="136" spans="1:43" ht="13.8" x14ac:dyDescent="0.25">
      <c r="A136" s="981"/>
      <c r="B136" s="159" t="s">
        <v>754</v>
      </c>
      <c r="C136" s="160">
        <v>30323</v>
      </c>
      <c r="D136" s="161">
        <v>3096</v>
      </c>
      <c r="E136" s="162">
        <v>51.3</v>
      </c>
      <c r="F136" s="161">
        <v>13477</v>
      </c>
      <c r="G136" s="163">
        <f>SUM(C128:C136)</f>
        <v>256763</v>
      </c>
      <c r="H136" s="163">
        <f>SUM(D128:D136)</f>
        <v>27680</v>
      </c>
      <c r="I136" s="163">
        <f>SUM(E128:E136)</f>
        <v>475.3</v>
      </c>
      <c r="J136" s="163">
        <f>SUM(F128:F136)</f>
        <v>103425</v>
      </c>
      <c r="K136" s="984"/>
      <c r="L136" s="180">
        <f t="shared" si="101"/>
        <v>-6.1962506960341522E-2</v>
      </c>
      <c r="M136" s="181">
        <f t="shared" si="102"/>
        <v>-0.21520912547528517</v>
      </c>
      <c r="N136" s="182">
        <f t="shared" si="111"/>
        <v>-4.8237476808905409E-2</v>
      </c>
      <c r="O136" s="183">
        <f t="shared" si="107"/>
        <v>0.11805209888833582</v>
      </c>
      <c r="P136" s="183">
        <f t="shared" si="109"/>
        <v>-5.1404441456052788E-2</v>
      </c>
      <c r="Q136" s="183">
        <f t="shared" si="108"/>
        <v>-0.14917161036486029</v>
      </c>
      <c r="R136" s="183">
        <f t="shared" si="103"/>
        <v>6.9772676119738919E-2</v>
      </c>
      <c r="S136" s="183">
        <f t="shared" si="104"/>
        <v>3.1259347891115764E-2</v>
      </c>
      <c r="U136" s="870">
        <f t="shared" si="110"/>
        <v>9.7942506459948326</v>
      </c>
      <c r="AO136">
        <f t="shared" si="43"/>
        <v>2026.4999999999905</v>
      </c>
      <c r="AP136" s="107">
        <f t="shared" si="105"/>
        <v>0</v>
      </c>
      <c r="AQ136" s="107">
        <f t="shared" si="106"/>
        <v>0</v>
      </c>
    </row>
    <row r="137" spans="1:43" ht="13.8" x14ac:dyDescent="0.25">
      <c r="A137" s="981"/>
      <c r="B137" s="159" t="s">
        <v>755</v>
      </c>
      <c r="C137" s="160">
        <v>28073</v>
      </c>
      <c r="D137" s="161">
        <v>2600</v>
      </c>
      <c r="E137" s="162">
        <v>46.9</v>
      </c>
      <c r="F137" s="161">
        <v>11064</v>
      </c>
      <c r="G137" s="163">
        <f>SUM(C128:C137)</f>
        <v>284836</v>
      </c>
      <c r="H137" s="163">
        <f>SUM(D128:D137)</f>
        <v>30280</v>
      </c>
      <c r="I137" s="163">
        <f>SUM(E128:E137)</f>
        <v>522.20000000000005</v>
      </c>
      <c r="J137" s="163">
        <f>SUM(F128:F137)</f>
        <v>114489</v>
      </c>
      <c r="K137" s="984"/>
      <c r="L137" s="180">
        <f t="shared" si="101"/>
        <v>-0.11068520923749485</v>
      </c>
      <c r="M137" s="181">
        <f>(D137-D124)/D124</f>
        <v>-0.18699186991869918</v>
      </c>
      <c r="N137" s="182">
        <f t="shared" si="111"/>
        <v>2.8508771929824497E-2</v>
      </c>
      <c r="O137" s="183">
        <f t="shared" si="107"/>
        <v>-3.9082855653986448E-2</v>
      </c>
      <c r="P137" s="183">
        <f t="shared" si="109"/>
        <v>-5.7595849710829664E-2</v>
      </c>
      <c r="Q137" s="183">
        <f t="shared" si="108"/>
        <v>-0.15255660350955752</v>
      </c>
      <c r="R137" s="183">
        <f t="shared" si="103"/>
        <v>6.5931822820983893E-2</v>
      </c>
      <c r="S137" s="183">
        <f t="shared" si="104"/>
        <v>2.4015240957389716E-2</v>
      </c>
      <c r="U137" s="870">
        <f t="shared" si="110"/>
        <v>10.797307692307692</v>
      </c>
    </row>
    <row r="138" spans="1:43" ht="13.8" x14ac:dyDescent="0.25">
      <c r="A138" s="981"/>
      <c r="B138" s="159" t="s">
        <v>756</v>
      </c>
      <c r="C138" s="160">
        <v>25511</v>
      </c>
      <c r="D138" s="161">
        <v>3554</v>
      </c>
      <c r="E138" s="162">
        <v>44.9</v>
      </c>
      <c r="F138" s="161">
        <v>8907</v>
      </c>
      <c r="G138" s="163">
        <f>SUM(C128:C138)</f>
        <v>310347</v>
      </c>
      <c r="H138" s="163">
        <f>SUM(D128:D138)</f>
        <v>33834</v>
      </c>
      <c r="I138" s="163">
        <f>SUM(E128:E138)</f>
        <v>567.1</v>
      </c>
      <c r="J138" s="163">
        <f>SUM(F128:F138)</f>
        <v>123396</v>
      </c>
      <c r="K138" s="984"/>
      <c r="L138" s="180">
        <f t="shared" si="101"/>
        <v>-2.1779976226082288E-2</v>
      </c>
      <c r="M138" s="181">
        <f>(D138-D125)/D125</f>
        <v>5.8998808104886773E-2</v>
      </c>
      <c r="N138" s="182">
        <f t="shared" si="111"/>
        <v>4.9065420560747697E-2</v>
      </c>
      <c r="O138" s="183">
        <f t="shared" si="107"/>
        <v>-4.7583404619332761E-2</v>
      </c>
      <c r="P138" s="183">
        <f t="shared" si="109"/>
        <v>-5.4750961705393772E-2</v>
      </c>
      <c r="Q138" s="183">
        <f t="shared" si="108"/>
        <v>-0.13439250901834368</v>
      </c>
      <c r="R138" s="183">
        <f t="shared" si="103"/>
        <v>6.4576684813215643E-2</v>
      </c>
      <c r="S138" s="183">
        <f t="shared" si="104"/>
        <v>1.8488560203374162E-2</v>
      </c>
      <c r="U138" s="870">
        <f t="shared" si="110"/>
        <v>7.1781091727630839</v>
      </c>
    </row>
    <row r="139" spans="1:43" ht="14.4" thickBot="1" x14ac:dyDescent="0.3">
      <c r="A139" s="987"/>
      <c r="B139" s="167" t="s">
        <v>758</v>
      </c>
      <c r="C139" s="168">
        <v>23281</v>
      </c>
      <c r="D139" s="169">
        <v>2218</v>
      </c>
      <c r="E139" s="170">
        <v>51.6</v>
      </c>
      <c r="F139" s="171">
        <v>10276</v>
      </c>
      <c r="G139" s="163">
        <f>SUM(C128:C139)</f>
        <v>333628</v>
      </c>
      <c r="H139" s="163">
        <f>SUM(D128:D139)</f>
        <v>36052</v>
      </c>
      <c r="I139" s="163">
        <f>SUM(E128:E139)</f>
        <v>618.70000000000005</v>
      </c>
      <c r="J139" s="163">
        <f>SUM(F128:F139)</f>
        <v>133672</v>
      </c>
      <c r="K139" s="984"/>
      <c r="L139" s="184">
        <f t="shared" si="101"/>
        <v>-5.8859198771071673E-2</v>
      </c>
      <c r="M139" s="185">
        <f>(D139-D126)/D126</f>
        <v>-9.3583980384143853E-2</v>
      </c>
      <c r="N139" s="186">
        <f t="shared" si="111"/>
        <v>-0.13277310924369745</v>
      </c>
      <c r="O139" s="187">
        <f t="shared" si="107"/>
        <v>6.4429252123472142E-2</v>
      </c>
      <c r="P139" s="187">
        <f t="shared" si="109"/>
        <v>-5.5038803602787061E-2</v>
      </c>
      <c r="Q139" s="187">
        <f t="shared" si="108"/>
        <v>-0.13198825058987818</v>
      </c>
      <c r="R139" s="187">
        <f t="shared" si="103"/>
        <v>4.4748395812225596E-2</v>
      </c>
      <c r="S139" s="187">
        <f t="shared" si="104"/>
        <v>2.1879061233850625E-2</v>
      </c>
      <c r="U139" s="870">
        <f t="shared" si="110"/>
        <v>10.49639314697926</v>
      </c>
    </row>
    <row r="140" spans="1:43" ht="14.4" thickBot="1" x14ac:dyDescent="0.3">
      <c r="A140" s="172" t="s">
        <v>3</v>
      </c>
      <c r="B140" s="188">
        <f>A128</f>
        <v>2025</v>
      </c>
      <c r="C140" s="174">
        <f>SUM(C128:C139)</f>
        <v>333628</v>
      </c>
      <c r="D140" s="174">
        <f>SUM(D128:D139)</f>
        <v>36052</v>
      </c>
      <c r="E140" s="174">
        <f>SUM(E128:E139)</f>
        <v>618.70000000000005</v>
      </c>
      <c r="F140" s="174">
        <f>SUM(F128:F139)</f>
        <v>133672</v>
      </c>
      <c r="G140" s="175">
        <f>G132</f>
        <v>128237</v>
      </c>
      <c r="H140" s="175">
        <f>H132</f>
        <v>13449</v>
      </c>
      <c r="I140" s="175">
        <f>I132</f>
        <v>244.60000000000002</v>
      </c>
      <c r="J140" s="175">
        <f>J132</f>
        <v>49344</v>
      </c>
      <c r="K140" s="985"/>
      <c r="L140" s="189">
        <f t="shared" si="101"/>
        <v>-5.5038803602787061E-2</v>
      </c>
      <c r="M140" s="189">
        <f>(D140-D127)/D127</f>
        <v>-0.13198825058987818</v>
      </c>
      <c r="N140" s="190">
        <f t="shared" si="111"/>
        <v>4.4748395812225596E-2</v>
      </c>
      <c r="O140" s="191">
        <f t="shared" si="107"/>
        <v>2.1879061233850625E-2</v>
      </c>
      <c r="P140" s="191">
        <f t="shared" si="109"/>
        <v>-7.5176149025320743E-2</v>
      </c>
      <c r="Q140" s="191">
        <f t="shared" si="108"/>
        <v>-0.16708986189385025</v>
      </c>
      <c r="R140" s="191">
        <f t="shared" si="103"/>
        <v>0.10031488978857404</v>
      </c>
      <c r="S140" s="191">
        <f t="shared" si="104"/>
        <v>5.9020474739236814E-2</v>
      </c>
    </row>
  </sheetData>
  <mergeCells count="57">
    <mergeCell ref="BD88:BD98"/>
    <mergeCell ref="A102:A113"/>
    <mergeCell ref="K102:K114"/>
    <mergeCell ref="A89:A100"/>
    <mergeCell ref="K89:K101"/>
    <mergeCell ref="BD99:BD109"/>
    <mergeCell ref="AW99:AW108"/>
    <mergeCell ref="K76:K88"/>
    <mergeCell ref="AW88:AW97"/>
    <mergeCell ref="A4:O4"/>
    <mergeCell ref="A5:B7"/>
    <mergeCell ref="C5:O5"/>
    <mergeCell ref="H6:H8"/>
    <mergeCell ref="K6:S6"/>
    <mergeCell ref="L8:N8"/>
    <mergeCell ref="A8:B8"/>
    <mergeCell ref="BR8:BR9"/>
    <mergeCell ref="BS8:BS9"/>
    <mergeCell ref="L10:O10"/>
    <mergeCell ref="A37:A48"/>
    <mergeCell ref="K37:K49"/>
    <mergeCell ref="BE10:BG10"/>
    <mergeCell ref="AW11:AW20"/>
    <mergeCell ref="AW22:AW31"/>
    <mergeCell ref="BD22:BD32"/>
    <mergeCell ref="AW33:AW42"/>
    <mergeCell ref="BD33:BD43"/>
    <mergeCell ref="AW44:AW53"/>
    <mergeCell ref="BD44:BD54"/>
    <mergeCell ref="A50:A61"/>
    <mergeCell ref="K50:K62"/>
    <mergeCell ref="C10:F10"/>
    <mergeCell ref="A11:A22"/>
    <mergeCell ref="A24:A35"/>
    <mergeCell ref="K24:K36"/>
    <mergeCell ref="BD77:BD87"/>
    <mergeCell ref="AW66:AW75"/>
    <mergeCell ref="BD66:BD76"/>
    <mergeCell ref="BD55:BD65"/>
    <mergeCell ref="AW77:AW86"/>
    <mergeCell ref="A76:A87"/>
    <mergeCell ref="A63:A74"/>
    <mergeCell ref="K63:K75"/>
    <mergeCell ref="AW55:AW64"/>
    <mergeCell ref="BN7:BQ7"/>
    <mergeCell ref="BQ8:BQ9"/>
    <mergeCell ref="AW5:AX7"/>
    <mergeCell ref="AY5:BG5"/>
    <mergeCell ref="BD6:BI6"/>
    <mergeCell ref="AW8:AX8"/>
    <mergeCell ref="BE8:BG8"/>
    <mergeCell ref="A128:A139"/>
    <mergeCell ref="K128:K140"/>
    <mergeCell ref="AW110:AW119"/>
    <mergeCell ref="BD110:BD120"/>
    <mergeCell ref="A115:A126"/>
    <mergeCell ref="K115:K127"/>
  </mergeCells>
  <phoneticPr fontId="23"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D1D03-1111-4588-A619-DB459D40EA78}">
  <sheetPr>
    <tabColor theme="4" tint="0.79998168889431442"/>
  </sheetPr>
  <dimension ref="A1:CJ176"/>
  <sheetViews>
    <sheetView showGridLines="0" workbookViewId="0"/>
  </sheetViews>
  <sheetFormatPr defaultColWidth="9.109375" defaultRowHeight="13.2" x14ac:dyDescent="0.25"/>
  <cols>
    <col min="2" max="2" width="18.88671875" customWidth="1"/>
    <col min="8" max="9" width="13.44140625" customWidth="1"/>
    <col min="11" max="11" width="12.88671875" customWidth="1"/>
    <col min="12" max="12" width="13.33203125" customWidth="1"/>
    <col min="15" max="16" width="10.109375" bestFit="1" customWidth="1"/>
    <col min="17" max="17" width="10.109375" customWidth="1"/>
    <col min="22" max="22" width="12.88671875" customWidth="1"/>
    <col min="37" max="37" width="11" customWidth="1"/>
    <col min="69" max="69" width="14.5546875" customWidth="1"/>
    <col min="73" max="73" width="10.5546875" bestFit="1" customWidth="1"/>
    <col min="83" max="83" width="12" bestFit="1" customWidth="1"/>
    <col min="87" max="87" width="12" bestFit="1" customWidth="1"/>
  </cols>
  <sheetData>
    <row r="1" spans="1:81" ht="13.8" x14ac:dyDescent="0.25">
      <c r="A1" s="193"/>
      <c r="B1" s="193"/>
      <c r="C1" s="193"/>
      <c r="D1" s="193"/>
      <c r="E1" s="193"/>
      <c r="F1" s="193"/>
      <c r="G1" s="193"/>
      <c r="H1" s="193"/>
      <c r="I1" s="193"/>
      <c r="J1" s="193"/>
      <c r="K1" s="193"/>
      <c r="L1" s="193"/>
    </row>
    <row r="2" spans="1:81" ht="17.399999999999999" thickBot="1" x14ac:dyDescent="0.35">
      <c r="A2" s="1009" t="s">
        <v>836</v>
      </c>
      <c r="B2" s="1009"/>
      <c r="C2" s="1009"/>
      <c r="D2" s="1009"/>
      <c r="E2" s="1009"/>
      <c r="F2" s="1009"/>
      <c r="G2" s="1009"/>
      <c r="H2" s="1009"/>
      <c r="I2" s="1009"/>
      <c r="J2" s="1009"/>
      <c r="K2" s="1009"/>
      <c r="L2" s="1009"/>
      <c r="BP2">
        <f>1/12</f>
        <v>8.3333333333333329E-2</v>
      </c>
    </row>
    <row r="3" spans="1:81" ht="24.6" x14ac:dyDescent="0.4">
      <c r="A3" s="1010"/>
      <c r="B3" s="1011"/>
      <c r="C3" s="1016" t="s">
        <v>876</v>
      </c>
      <c r="D3" s="1017"/>
      <c r="E3" s="1017"/>
      <c r="F3" s="1017"/>
      <c r="G3" s="1017"/>
      <c r="H3" s="1017"/>
      <c r="I3" s="1017"/>
      <c r="J3" s="1017"/>
      <c r="K3" s="1017"/>
      <c r="L3" s="1017"/>
      <c r="M3" s="214"/>
      <c r="N3" s="1016" t="s">
        <v>877</v>
      </c>
      <c r="O3" s="1017"/>
      <c r="P3" s="1017"/>
      <c r="Q3" s="1017"/>
      <c r="R3" s="1017"/>
      <c r="S3" s="1017"/>
      <c r="T3" s="1017"/>
      <c r="U3" s="1017"/>
      <c r="V3" s="1017"/>
      <c r="W3" s="1017"/>
      <c r="X3" s="215"/>
      <c r="AF3" s="1016" t="s">
        <v>878</v>
      </c>
      <c r="AG3" s="1017"/>
      <c r="AH3" s="1017"/>
      <c r="AI3" s="1017"/>
      <c r="AJ3" s="1017"/>
      <c r="AK3" s="1017"/>
      <c r="AL3" s="1017"/>
      <c r="AM3" s="1017"/>
      <c r="AN3" s="1017"/>
      <c r="AO3" s="1017"/>
      <c r="BO3" t="s">
        <v>879</v>
      </c>
      <c r="BP3">
        <f>2015+6*BP2</f>
        <v>2015.5</v>
      </c>
      <c r="BQ3" s="194">
        <v>54618.400000000001</v>
      </c>
      <c r="BS3" s="95"/>
    </row>
    <row r="4" spans="1:81" ht="24.6" x14ac:dyDescent="0.4">
      <c r="A4" s="1012"/>
      <c r="B4" s="1013"/>
      <c r="C4" s="925"/>
      <c r="D4" s="926"/>
      <c r="E4" s="927"/>
      <c r="F4" s="928"/>
      <c r="G4" s="128"/>
      <c r="H4" s="1087"/>
      <c r="I4" s="929"/>
      <c r="J4" s="1088" t="s">
        <v>880</v>
      </c>
      <c r="K4" s="1089"/>
      <c r="L4" s="1089"/>
      <c r="M4" s="214"/>
      <c r="N4" s="925"/>
      <c r="O4" s="926"/>
      <c r="P4" s="927"/>
      <c r="Q4" s="928"/>
      <c r="R4" s="128"/>
      <c r="S4" s="1087"/>
      <c r="T4" s="1087"/>
      <c r="U4" s="1080" t="s">
        <v>881</v>
      </c>
      <c r="V4" s="1081"/>
      <c r="W4" s="1081"/>
      <c r="X4" s="215"/>
      <c r="AF4" s="925"/>
      <c r="AG4" s="926"/>
      <c r="AH4" s="927"/>
      <c r="AI4" s="928"/>
      <c r="AJ4" s="128"/>
      <c r="AK4" s="1087"/>
      <c r="AL4" s="1087"/>
      <c r="AM4" s="1080" t="s">
        <v>881</v>
      </c>
      <c r="AN4" s="1081"/>
      <c r="AO4" s="1081"/>
      <c r="BO4" t="s">
        <v>882</v>
      </c>
      <c r="BP4">
        <f t="shared" ref="BP4:BP35" si="0">BP3+$BP$2</f>
        <v>2015.5833333333333</v>
      </c>
      <c r="BQ4" s="194">
        <v>48661</v>
      </c>
      <c r="BS4" s="95"/>
      <c r="BZ4" s="195" t="s">
        <v>882</v>
      </c>
      <c r="CA4" s="196">
        <v>47144.9</v>
      </c>
    </row>
    <row r="5" spans="1:81" ht="24.6" x14ac:dyDescent="0.4">
      <c r="A5" s="1014"/>
      <c r="B5" s="1015"/>
      <c r="C5" s="129"/>
      <c r="D5" s="130"/>
      <c r="E5" s="131"/>
      <c r="F5" s="132"/>
      <c r="G5" s="133"/>
      <c r="H5" s="1020"/>
      <c r="I5" s="134"/>
      <c r="J5" s="135"/>
      <c r="K5" s="136"/>
      <c r="L5" s="136"/>
      <c r="M5" s="214"/>
      <c r="N5" s="129"/>
      <c r="O5" s="130"/>
      <c r="P5" s="131"/>
      <c r="Q5" s="132"/>
      <c r="R5" s="133"/>
      <c r="S5" s="1020"/>
      <c r="T5" s="1020"/>
      <c r="U5" s="1090"/>
      <c r="V5" s="1091"/>
      <c r="W5" s="1091"/>
      <c r="X5" s="215"/>
      <c r="AF5" s="129"/>
      <c r="AG5" s="130"/>
      <c r="AH5" s="131"/>
      <c r="AI5" s="132"/>
      <c r="AJ5" s="133"/>
      <c r="AK5" s="1020"/>
      <c r="AL5" s="1020"/>
      <c r="AM5" s="1090"/>
      <c r="AN5" s="1091"/>
      <c r="AO5" s="1091"/>
      <c r="BO5" t="s">
        <v>883</v>
      </c>
      <c r="BP5">
        <f t="shared" si="0"/>
        <v>2015.6666666666665</v>
      </c>
      <c r="BQ5" s="194">
        <v>56252.4</v>
      </c>
      <c r="BS5" s="95"/>
      <c r="BZ5" s="195" t="s">
        <v>883</v>
      </c>
      <c r="CA5" s="196">
        <v>47830.5</v>
      </c>
    </row>
    <row r="6" spans="1:81" ht="14.4" x14ac:dyDescent="0.3">
      <c r="A6" s="949"/>
      <c r="B6" s="950"/>
      <c r="C6" s="138"/>
      <c r="D6" s="139">
        <v>28</v>
      </c>
      <c r="E6" s="140">
        <v>265</v>
      </c>
      <c r="F6" s="139"/>
      <c r="G6" s="141"/>
      <c r="H6" s="1021"/>
      <c r="I6" s="134"/>
      <c r="J6" s="142"/>
      <c r="K6" s="951"/>
      <c r="L6" s="931"/>
      <c r="M6" s="214"/>
      <c r="N6" s="138"/>
      <c r="O6" s="139">
        <v>28</v>
      </c>
      <c r="P6" s="139">
        <v>265</v>
      </c>
      <c r="Q6" s="139"/>
      <c r="R6" s="141"/>
      <c r="S6" s="1021"/>
      <c r="T6" s="1021"/>
      <c r="U6" s="142"/>
      <c r="V6" s="951"/>
      <c r="W6" s="931"/>
      <c r="X6" s="215"/>
      <c r="AF6" s="138"/>
      <c r="AG6" s="139">
        <v>28</v>
      </c>
      <c r="AH6" s="140">
        <v>265</v>
      </c>
      <c r="AI6" s="139"/>
      <c r="AJ6" s="141"/>
      <c r="AK6" s="1021"/>
      <c r="AL6" s="1021"/>
      <c r="AM6" s="142"/>
      <c r="AN6" s="951"/>
      <c r="AO6" s="931"/>
      <c r="BO6" t="s">
        <v>884</v>
      </c>
      <c r="BP6">
        <f t="shared" si="0"/>
        <v>2015.7499999999998</v>
      </c>
      <c r="BQ6" s="194">
        <v>50844.5</v>
      </c>
      <c r="BS6" s="95"/>
      <c r="BZ6" s="195" t="s">
        <v>884</v>
      </c>
      <c r="CA6" s="196">
        <v>46838</v>
      </c>
    </row>
    <row r="7" spans="1:81" ht="27.6" thickBot="1" x14ac:dyDescent="0.35">
      <c r="A7" s="1082" t="s">
        <v>840</v>
      </c>
      <c r="B7" s="1083"/>
      <c r="C7" s="935" t="s">
        <v>695</v>
      </c>
      <c r="D7" s="936" t="s">
        <v>696</v>
      </c>
      <c r="E7" s="937" t="s">
        <v>697</v>
      </c>
      <c r="F7" s="936" t="s">
        <v>885</v>
      </c>
      <c r="G7" s="197"/>
      <c r="H7" s="144" t="s">
        <v>685</v>
      </c>
      <c r="I7" s="198" t="s">
        <v>886</v>
      </c>
      <c r="J7" s="145"/>
      <c r="K7" s="211" t="s">
        <v>887</v>
      </c>
      <c r="L7" s="212" t="s">
        <v>847</v>
      </c>
      <c r="M7" s="214"/>
      <c r="N7" s="935" t="s">
        <v>695</v>
      </c>
      <c r="O7" s="936" t="s">
        <v>696</v>
      </c>
      <c r="P7" s="937" t="s">
        <v>697</v>
      </c>
      <c r="Q7" s="936"/>
      <c r="R7" s="197"/>
      <c r="S7" s="144" t="s">
        <v>685</v>
      </c>
      <c r="T7" s="144" t="s">
        <v>886</v>
      </c>
      <c r="U7" s="145"/>
      <c r="V7" s="211" t="s">
        <v>887</v>
      </c>
      <c r="W7" s="212" t="s">
        <v>847</v>
      </c>
      <c r="X7" s="215"/>
      <c r="AF7" s="935" t="s">
        <v>695</v>
      </c>
      <c r="AG7" s="936" t="s">
        <v>696</v>
      </c>
      <c r="AH7" s="937" t="s">
        <v>697</v>
      </c>
      <c r="AI7" s="868"/>
      <c r="AJ7" s="148" t="s">
        <v>851</v>
      </c>
      <c r="AK7" s="148" t="s">
        <v>851</v>
      </c>
      <c r="AL7" s="148" t="s">
        <v>851</v>
      </c>
      <c r="AM7" s="145"/>
      <c r="AN7" s="211" t="s">
        <v>887</v>
      </c>
      <c r="AO7" s="212" t="s">
        <v>847</v>
      </c>
      <c r="BO7" t="s">
        <v>888</v>
      </c>
      <c r="BP7">
        <f t="shared" si="0"/>
        <v>2015.833333333333</v>
      </c>
      <c r="BQ7" s="194">
        <v>51994.1</v>
      </c>
      <c r="BS7" s="95"/>
      <c r="BZ7" s="195" t="s">
        <v>888</v>
      </c>
      <c r="CA7" s="196">
        <v>51495.7</v>
      </c>
    </row>
    <row r="8" spans="1:81" ht="27.6" thickBot="1" x14ac:dyDescent="0.35">
      <c r="A8" s="146"/>
      <c r="B8" s="147" t="s">
        <v>847</v>
      </c>
      <c r="C8" s="1045" t="s">
        <v>889</v>
      </c>
      <c r="D8" s="1046"/>
      <c r="E8" s="1046"/>
      <c r="F8" s="446"/>
      <c r="G8" s="938" t="s">
        <v>851</v>
      </c>
      <c r="H8" s="148" t="s">
        <v>851</v>
      </c>
      <c r="I8" s="149"/>
      <c r="J8" s="150"/>
      <c r="K8" s="207"/>
      <c r="L8" s="213"/>
      <c r="M8" s="214"/>
      <c r="N8" s="1045" t="s">
        <v>889</v>
      </c>
      <c r="O8" s="1046"/>
      <c r="P8" s="1046"/>
      <c r="Q8" s="446"/>
      <c r="R8" s="938" t="s">
        <v>851</v>
      </c>
      <c r="S8" s="148" t="s">
        <v>851</v>
      </c>
      <c r="T8" s="148"/>
      <c r="U8" s="150"/>
      <c r="V8" s="207"/>
      <c r="W8" s="213"/>
      <c r="X8" s="215"/>
      <c r="AF8" s="1045" t="s">
        <v>889</v>
      </c>
      <c r="AG8" s="1046"/>
      <c r="AH8" s="1046"/>
      <c r="AI8" s="446"/>
      <c r="AJ8" s="197" t="s">
        <v>847</v>
      </c>
      <c r="AK8" s="144" t="s">
        <v>685</v>
      </c>
      <c r="AL8" s="144" t="s">
        <v>886</v>
      </c>
      <c r="AM8" s="150"/>
      <c r="AN8" s="207"/>
      <c r="AO8" s="213"/>
      <c r="BO8" t="s">
        <v>890</v>
      </c>
      <c r="BP8">
        <f t="shared" si="0"/>
        <v>2015.9166666666663</v>
      </c>
      <c r="BQ8" s="194">
        <v>57347.5</v>
      </c>
      <c r="BS8" s="95"/>
      <c r="BZ8" s="195" t="s">
        <v>890</v>
      </c>
      <c r="CA8" s="196">
        <v>48080.800000000003</v>
      </c>
    </row>
    <row r="9" spans="1:81" ht="15" customHeight="1" x14ac:dyDescent="0.3">
      <c r="A9" s="986">
        <v>2016</v>
      </c>
      <c r="B9" s="151" t="s">
        <v>891</v>
      </c>
      <c r="C9" s="152">
        <v>62.2</v>
      </c>
      <c r="D9" s="153">
        <f>0.725/1000</f>
        <v>7.2499999999999995E-4</v>
      </c>
      <c r="E9" s="154">
        <f>2.47/1000</f>
        <v>2.4700000000000004E-3</v>
      </c>
      <c r="F9" s="153"/>
      <c r="G9" s="155">
        <f>C9+D9*$D$6+E9*$E$6</f>
        <v>62.874850000000002</v>
      </c>
      <c r="H9" s="199">
        <f>G9</f>
        <v>62.874850000000002</v>
      </c>
      <c r="I9" s="199">
        <v>3</v>
      </c>
      <c r="J9" s="156"/>
      <c r="K9" s="157"/>
      <c r="L9" s="158"/>
      <c r="M9" s="215"/>
      <c r="N9" s="152">
        <v>0</v>
      </c>
      <c r="O9" s="153">
        <v>0</v>
      </c>
      <c r="P9" s="154">
        <v>0</v>
      </c>
      <c r="Q9" s="153"/>
      <c r="R9" s="155">
        <f>N9+O9*$O$6+P9*$P$6</f>
        <v>0</v>
      </c>
      <c r="S9" s="199">
        <f>R9</f>
        <v>0</v>
      </c>
      <c r="T9" s="199">
        <v>0</v>
      </c>
      <c r="U9" s="156"/>
      <c r="V9" s="157"/>
      <c r="W9" s="158"/>
      <c r="X9" s="215"/>
      <c r="AF9" s="152">
        <f t="shared" ref="AF9:AF40" si="1">N9+C9</f>
        <v>62.2</v>
      </c>
      <c r="AG9" s="153">
        <f t="shared" ref="AG9:AG40" si="2">O9+D9</f>
        <v>7.2499999999999995E-4</v>
      </c>
      <c r="AH9" s="154">
        <f t="shared" ref="AH9:AH40" si="3">P9+E9</f>
        <v>2.4700000000000004E-3</v>
      </c>
      <c r="AI9" s="153"/>
      <c r="AJ9" s="155">
        <f>AF9+AG9*$AG$6+AH9*$AH$6</f>
        <v>62.874850000000002</v>
      </c>
      <c r="AK9" s="199">
        <f>AJ9</f>
        <v>62.874850000000002</v>
      </c>
      <c r="AL9" s="199">
        <f t="shared" ref="AL9:AL40" si="4">T9+I9</f>
        <v>3</v>
      </c>
      <c r="AM9" s="156"/>
      <c r="AN9" s="157"/>
      <c r="AO9" s="158"/>
      <c r="BO9" t="s">
        <v>892</v>
      </c>
      <c r="BP9">
        <f t="shared" si="0"/>
        <v>2015.9999999999995</v>
      </c>
      <c r="BQ9" s="194">
        <v>46533.1</v>
      </c>
      <c r="BS9" s="95"/>
      <c r="BZ9" s="195" t="s">
        <v>892</v>
      </c>
      <c r="CA9" s="196">
        <v>45877.599999999999</v>
      </c>
    </row>
    <row r="10" spans="1:81" ht="14.4" x14ac:dyDescent="0.3">
      <c r="A10" s="981"/>
      <c r="B10" s="159" t="s">
        <v>893</v>
      </c>
      <c r="C10" s="160">
        <v>8500</v>
      </c>
      <c r="D10" s="161">
        <f>108/1000</f>
        <v>0.108</v>
      </c>
      <c r="E10" s="162">
        <v>0.34399999999999997</v>
      </c>
      <c r="F10" s="161"/>
      <c r="G10" s="163">
        <f t="shared" ref="G10:G60" si="5">C10+D10*$D$6+E10*$E$6</f>
        <v>8594.1839999999993</v>
      </c>
      <c r="H10" s="200">
        <f>G10+G9</f>
        <v>8657.0588499999994</v>
      </c>
      <c r="I10" s="200">
        <v>233</v>
      </c>
      <c r="J10" s="156"/>
      <c r="K10" s="157"/>
      <c r="L10" s="164"/>
      <c r="M10" s="215"/>
      <c r="N10" s="160">
        <v>19.5</v>
      </c>
      <c r="O10" s="161">
        <f>0.232/1000</f>
        <v>2.32E-4</v>
      </c>
      <c r="P10" s="162">
        <f>0.77/1000</f>
        <v>7.7000000000000007E-4</v>
      </c>
      <c r="Q10" s="161"/>
      <c r="R10" s="163">
        <f>N10+O10*$O$6+P10*$P$6</f>
        <v>19.710545999999997</v>
      </c>
      <c r="S10" s="200">
        <f>R10+R9</f>
        <v>19.710545999999997</v>
      </c>
      <c r="T10" s="200">
        <v>4</v>
      </c>
      <c r="U10" s="156"/>
      <c r="V10" s="157"/>
      <c r="W10" s="164"/>
      <c r="X10" s="215"/>
      <c r="AF10" s="160">
        <f t="shared" si="1"/>
        <v>8519.5</v>
      </c>
      <c r="AG10" s="161">
        <f t="shared" si="2"/>
        <v>0.10823199999999999</v>
      </c>
      <c r="AH10" s="162">
        <f t="shared" si="3"/>
        <v>0.34476999999999997</v>
      </c>
      <c r="AI10" s="161"/>
      <c r="AJ10" s="163">
        <f t="shared" ref="AJ10:AJ60" si="6">AF10+AG10*$AG$6+AH10*$AH$6</f>
        <v>8613.8945459999995</v>
      </c>
      <c r="AK10" s="200">
        <f>AJ10+AJ9</f>
        <v>8676.7693959999997</v>
      </c>
      <c r="AL10" s="200">
        <f t="shared" si="4"/>
        <v>237</v>
      </c>
      <c r="AM10" s="156"/>
      <c r="AN10" s="157"/>
      <c r="AO10" s="164"/>
      <c r="BO10" t="s">
        <v>894</v>
      </c>
      <c r="BP10">
        <f t="shared" si="0"/>
        <v>2016.0833333333328</v>
      </c>
      <c r="BQ10" s="194">
        <v>45365.2</v>
      </c>
      <c r="BS10" s="95"/>
      <c r="BZ10" s="195" t="s">
        <v>894</v>
      </c>
      <c r="CA10" s="196">
        <v>42520.5</v>
      </c>
    </row>
    <row r="11" spans="1:81" ht="14.4" x14ac:dyDescent="0.3">
      <c r="A11" s="981"/>
      <c r="B11" s="159" t="s">
        <v>895</v>
      </c>
      <c r="C11" s="160">
        <v>1500</v>
      </c>
      <c r="D11" s="161">
        <f>17.6/1000</f>
        <v>1.7600000000000001E-2</v>
      </c>
      <c r="E11" s="162">
        <f>64.9/1000</f>
        <v>6.4899999999999999E-2</v>
      </c>
      <c r="F11" s="161"/>
      <c r="G11" s="163">
        <f t="shared" si="5"/>
        <v>1517.6913</v>
      </c>
      <c r="H11" s="200">
        <f>G11+G10+G9</f>
        <v>10174.75015</v>
      </c>
      <c r="I11" s="200">
        <v>144</v>
      </c>
      <c r="J11" s="165"/>
      <c r="K11" s="157"/>
      <c r="L11" s="157"/>
      <c r="M11" s="215"/>
      <c r="N11" s="160">
        <v>20.3</v>
      </c>
      <c r="O11" s="161">
        <f>0.234/1000</f>
        <v>2.3400000000000002E-4</v>
      </c>
      <c r="P11" s="162">
        <f>0.877/1000</f>
        <v>8.7699999999999996E-4</v>
      </c>
      <c r="Q11" s="161"/>
      <c r="R11" s="163">
        <f>N11+O11*$O$6+P11*$P$6</f>
        <v>20.538957</v>
      </c>
      <c r="S11" s="200">
        <f>R11+R10+R9</f>
        <v>40.249502999999997</v>
      </c>
      <c r="T11" s="200">
        <v>3</v>
      </c>
      <c r="U11" s="165"/>
      <c r="V11" s="157"/>
      <c r="W11" s="157"/>
      <c r="X11" s="215"/>
      <c r="AF11" s="160">
        <f t="shared" si="1"/>
        <v>1520.3</v>
      </c>
      <c r="AG11" s="161">
        <f t="shared" si="2"/>
        <v>1.7834000000000003E-2</v>
      </c>
      <c r="AH11" s="162">
        <f t="shared" si="3"/>
        <v>6.5777000000000002E-2</v>
      </c>
      <c r="AI11" s="161"/>
      <c r="AJ11" s="163">
        <f t="shared" si="6"/>
        <v>1538.2302569999999</v>
      </c>
      <c r="AK11" s="200">
        <f>AJ11+AJ10+AJ9</f>
        <v>10214.999652999999</v>
      </c>
      <c r="AL11" s="200">
        <f t="shared" si="4"/>
        <v>147</v>
      </c>
      <c r="AM11" s="165"/>
      <c r="AN11" s="157"/>
      <c r="AO11" s="157"/>
      <c r="BO11" t="s">
        <v>896</v>
      </c>
      <c r="BP11">
        <f t="shared" si="0"/>
        <v>2016.1666666666661</v>
      </c>
      <c r="BQ11" s="194">
        <v>66309</v>
      </c>
      <c r="BS11" s="95"/>
      <c r="BZ11" s="195" t="s">
        <v>896</v>
      </c>
      <c r="CA11" s="196">
        <v>44203.1</v>
      </c>
    </row>
    <row r="12" spans="1:81" ht="14.4" x14ac:dyDescent="0.3">
      <c r="A12" s="981"/>
      <c r="B12" s="159" t="s">
        <v>897</v>
      </c>
      <c r="C12" s="160">
        <v>78.2</v>
      </c>
      <c r="D12" s="161">
        <f>0.819/1000</f>
        <v>8.1899999999999996E-4</v>
      </c>
      <c r="E12" s="162">
        <f>3.51/1000</f>
        <v>3.5099999999999997E-3</v>
      </c>
      <c r="F12" s="161"/>
      <c r="G12" s="163">
        <f t="shared" si="5"/>
        <v>79.153081999999998</v>
      </c>
      <c r="H12" s="200">
        <f>SUM(G9:G12)</f>
        <v>10253.903232000001</v>
      </c>
      <c r="I12" s="200">
        <v>6</v>
      </c>
      <c r="J12" s="165"/>
      <c r="K12" s="157"/>
      <c r="L12" s="157"/>
      <c r="M12" s="215"/>
      <c r="N12" s="160">
        <v>1100</v>
      </c>
      <c r="O12" s="161">
        <f>13.2/1000</f>
        <v>1.32E-2</v>
      </c>
      <c r="P12" s="162">
        <f>43.8/1000</f>
        <v>4.3799999999999999E-2</v>
      </c>
      <c r="Q12" s="161"/>
      <c r="R12" s="163">
        <f t="shared" ref="R12:R59" si="7">N12+O12*$O$6+P12*$P$6</f>
        <v>1111.9766</v>
      </c>
      <c r="S12" s="200">
        <f>SUM(R9:R12)</f>
        <v>1152.226103</v>
      </c>
      <c r="T12" s="200">
        <v>106</v>
      </c>
      <c r="U12" s="165"/>
      <c r="V12" s="157"/>
      <c r="W12" s="157"/>
      <c r="X12" s="215"/>
      <c r="AF12" s="160">
        <f t="shared" si="1"/>
        <v>1178.2</v>
      </c>
      <c r="AG12" s="161">
        <f t="shared" si="2"/>
        <v>1.4019E-2</v>
      </c>
      <c r="AH12" s="162">
        <f t="shared" si="3"/>
        <v>4.7309999999999998E-2</v>
      </c>
      <c r="AI12" s="161"/>
      <c r="AJ12" s="163">
        <f t="shared" si="6"/>
        <v>1191.1296820000002</v>
      </c>
      <c r="AK12" s="200">
        <f>SUM(AJ9:AJ12)</f>
        <v>11406.129335</v>
      </c>
      <c r="AL12" s="200">
        <f t="shared" si="4"/>
        <v>112</v>
      </c>
      <c r="AM12" s="165"/>
      <c r="AN12" s="157"/>
      <c r="AO12" s="157"/>
      <c r="BO12" t="s">
        <v>898</v>
      </c>
      <c r="BP12">
        <f t="shared" si="0"/>
        <v>2016.2499999999993</v>
      </c>
      <c r="BQ12" s="194">
        <v>53810.1</v>
      </c>
      <c r="BS12" s="95"/>
      <c r="BZ12" s="195" t="s">
        <v>898</v>
      </c>
      <c r="CA12" s="196">
        <v>47222.8</v>
      </c>
    </row>
    <row r="13" spans="1:81" ht="14.4" x14ac:dyDescent="0.3">
      <c r="A13" s="981"/>
      <c r="B13" s="193" t="s">
        <v>899</v>
      </c>
      <c r="C13" s="160">
        <f>SUM(C9:C12)</f>
        <v>10140.400000000001</v>
      </c>
      <c r="D13" s="161">
        <f>SUM(D9:D12)</f>
        <v>0.12714399999999998</v>
      </c>
      <c r="E13" s="162">
        <f>SUM(E9:E12)</f>
        <v>0.41488000000000003</v>
      </c>
      <c r="F13" s="161"/>
      <c r="G13" s="201">
        <f t="shared" si="5"/>
        <v>10253.903232000001</v>
      </c>
      <c r="H13" s="200">
        <f>SUM(G13)</f>
        <v>10253.903232000001</v>
      </c>
      <c r="I13" s="200">
        <f>SUM(I9:I12)</f>
        <v>386</v>
      </c>
      <c r="J13" s="165"/>
      <c r="K13" s="157"/>
      <c r="L13" s="157"/>
      <c r="M13" s="215"/>
      <c r="N13" s="160">
        <f>SUM(N9:N12)</f>
        <v>1139.8</v>
      </c>
      <c r="O13" s="161">
        <f>SUM(O9:O12)</f>
        <v>1.3665999999999999E-2</v>
      </c>
      <c r="P13" s="162">
        <f>SUM(P9:P12)</f>
        <v>4.5447000000000001E-2</v>
      </c>
      <c r="Q13" s="161"/>
      <c r="R13" s="201">
        <f t="shared" si="7"/>
        <v>1152.226103</v>
      </c>
      <c r="S13" s="200">
        <f>SUM(R13)</f>
        <v>1152.226103</v>
      </c>
      <c r="T13" s="200">
        <f>SUM(T9:T12)</f>
        <v>113</v>
      </c>
      <c r="U13" s="165"/>
      <c r="V13" s="157"/>
      <c r="W13" s="157"/>
      <c r="X13" s="215"/>
      <c r="AF13" s="160">
        <f t="shared" si="1"/>
        <v>11280.2</v>
      </c>
      <c r="AG13" s="161">
        <f t="shared" si="2"/>
        <v>0.14080999999999999</v>
      </c>
      <c r="AH13" s="162">
        <f t="shared" si="3"/>
        <v>0.46032700000000004</v>
      </c>
      <c r="AI13" s="161"/>
      <c r="AJ13" s="201">
        <f t="shared" si="6"/>
        <v>11406.129335000001</v>
      </c>
      <c r="AK13" s="200">
        <f>SUM(AJ13)</f>
        <v>11406.129335000001</v>
      </c>
      <c r="AL13" s="200">
        <f t="shared" si="4"/>
        <v>499</v>
      </c>
      <c r="AM13" s="165"/>
      <c r="AN13" s="157"/>
      <c r="AO13" s="157"/>
      <c r="BO13" t="s">
        <v>900</v>
      </c>
      <c r="BP13">
        <f t="shared" si="0"/>
        <v>2016.3333333333326</v>
      </c>
      <c r="BQ13" s="194">
        <v>64035.6</v>
      </c>
      <c r="BS13" s="95"/>
      <c r="BZ13" s="195" t="s">
        <v>900</v>
      </c>
      <c r="CA13" s="196">
        <v>46768.7</v>
      </c>
    </row>
    <row r="14" spans="1:81" ht="17.399999999999999" x14ac:dyDescent="0.3">
      <c r="A14" s="981"/>
      <c r="B14" s="159" t="s">
        <v>901</v>
      </c>
      <c r="C14" s="160">
        <v>0</v>
      </c>
      <c r="D14" s="161">
        <v>0</v>
      </c>
      <c r="E14" s="162">
        <v>0</v>
      </c>
      <c r="F14" s="161"/>
      <c r="G14" s="201">
        <f t="shared" si="5"/>
        <v>0</v>
      </c>
      <c r="H14" s="200">
        <f>G13+G14</f>
        <v>10253.903232000001</v>
      </c>
      <c r="I14" s="200">
        <v>0</v>
      </c>
      <c r="J14" s="165"/>
      <c r="K14" s="157"/>
      <c r="L14" s="157"/>
      <c r="M14" s="215"/>
      <c r="N14" s="160">
        <v>242</v>
      </c>
      <c r="O14" s="161">
        <f>3.12/1000</f>
        <v>3.1199999999999999E-3</v>
      </c>
      <c r="P14" s="162">
        <f>10.3/1000</f>
        <v>1.03E-2</v>
      </c>
      <c r="Q14" s="161"/>
      <c r="R14" s="201">
        <f>N14+O14*$O$6+P14*$P$6</f>
        <v>244.81685999999999</v>
      </c>
      <c r="S14" s="200">
        <f>R13+R14</f>
        <v>1397.0429629999999</v>
      </c>
      <c r="T14" s="200">
        <v>8</v>
      </c>
      <c r="U14" s="165"/>
      <c r="V14" s="157"/>
      <c r="W14" s="157"/>
      <c r="X14" s="215"/>
      <c r="AF14" s="160">
        <f t="shared" si="1"/>
        <v>242</v>
      </c>
      <c r="AG14" s="161">
        <f t="shared" si="2"/>
        <v>3.1199999999999999E-3</v>
      </c>
      <c r="AH14" s="162">
        <f t="shared" si="3"/>
        <v>1.03E-2</v>
      </c>
      <c r="AI14" s="161"/>
      <c r="AJ14" s="201">
        <f t="shared" si="6"/>
        <v>244.81685999999999</v>
      </c>
      <c r="AK14" s="200">
        <f>AJ13+AJ14</f>
        <v>11650.946195000002</v>
      </c>
      <c r="AL14" s="200">
        <f t="shared" si="4"/>
        <v>8</v>
      </c>
      <c r="AM14" s="165"/>
      <c r="AN14" s="157"/>
      <c r="AO14" s="157"/>
      <c r="AR14" s="222" t="s">
        <v>902</v>
      </c>
      <c r="BO14" t="s">
        <v>903</v>
      </c>
      <c r="BP14">
        <f t="shared" si="0"/>
        <v>2016.4166666666658</v>
      </c>
      <c r="BQ14" s="194">
        <v>63030.7</v>
      </c>
      <c r="BS14" s="95"/>
      <c r="BZ14" s="195" t="s">
        <v>903</v>
      </c>
      <c r="CA14" s="196">
        <v>48352.9</v>
      </c>
    </row>
    <row r="15" spans="1:81" ht="14.4" x14ac:dyDescent="0.3">
      <c r="A15" s="981"/>
      <c r="B15" s="159" t="s">
        <v>902</v>
      </c>
      <c r="C15" s="160">
        <v>12500</v>
      </c>
      <c r="D15" s="161">
        <v>0.124</v>
      </c>
      <c r="E15" s="162">
        <v>0.46500000000000002</v>
      </c>
      <c r="F15" s="161"/>
      <c r="G15" s="163">
        <f t="shared" si="5"/>
        <v>12626.697</v>
      </c>
      <c r="H15" s="200">
        <f>G15+G14+G13</f>
        <v>22880.600232000001</v>
      </c>
      <c r="I15" s="200">
        <v>62</v>
      </c>
      <c r="J15" s="165"/>
      <c r="K15" s="157"/>
      <c r="L15" s="157"/>
      <c r="M15" s="215"/>
      <c r="N15" s="160">
        <v>1200</v>
      </c>
      <c r="O15" s="161">
        <f>14.7/1000</f>
        <v>1.47E-2</v>
      </c>
      <c r="P15" s="162">
        <f>47.5/1000</f>
        <v>4.7500000000000001E-2</v>
      </c>
      <c r="Q15" s="161"/>
      <c r="R15" s="163">
        <f t="shared" si="7"/>
        <v>1212.9991</v>
      </c>
      <c r="S15" s="200">
        <f>R15+R14+R13</f>
        <v>2610.0420629999999</v>
      </c>
      <c r="T15" s="200">
        <v>40</v>
      </c>
      <c r="U15" s="165"/>
      <c r="V15" s="157"/>
      <c r="W15" s="157"/>
      <c r="X15" s="215"/>
      <c r="AF15" s="160">
        <f t="shared" si="1"/>
        <v>13700</v>
      </c>
      <c r="AG15" s="161">
        <f t="shared" si="2"/>
        <v>0.13869999999999999</v>
      </c>
      <c r="AH15" s="162">
        <f t="shared" si="3"/>
        <v>0.51250000000000007</v>
      </c>
      <c r="AI15" s="161"/>
      <c r="AJ15" s="163">
        <f t="shared" si="6"/>
        <v>13839.696099999999</v>
      </c>
      <c r="AK15" s="200">
        <f>AJ15+AJ14+AJ13</f>
        <v>25490.642295000001</v>
      </c>
      <c r="AL15" s="200">
        <f t="shared" si="4"/>
        <v>102</v>
      </c>
      <c r="AM15" s="165"/>
      <c r="AN15" s="157"/>
      <c r="AO15" s="157"/>
      <c r="BO15" t="s">
        <v>904</v>
      </c>
      <c r="BP15">
        <f t="shared" si="0"/>
        <v>2016.4999999999991</v>
      </c>
      <c r="BQ15" s="194">
        <v>53653.5</v>
      </c>
      <c r="BS15" s="95">
        <f>(BQ15-BQ3)/BQ3</f>
        <v>-1.76662077248693E-2</v>
      </c>
      <c r="BZ15" s="195" t="s">
        <v>904</v>
      </c>
      <c r="CA15" s="196">
        <v>43861.5</v>
      </c>
      <c r="CC15" s="95" t="e">
        <f>(CA15-CA3)/CA3</f>
        <v>#DIV/0!</v>
      </c>
    </row>
    <row r="16" spans="1:81" ht="14.4" x14ac:dyDescent="0.3">
      <c r="A16" s="981"/>
      <c r="B16" s="159" t="s">
        <v>905</v>
      </c>
      <c r="C16" s="160">
        <f>C15+C14</f>
        <v>12500</v>
      </c>
      <c r="D16" s="161">
        <f>D15+D14</f>
        <v>0.124</v>
      </c>
      <c r="E16" s="162">
        <f>E15+E14</f>
        <v>0.46500000000000002</v>
      </c>
      <c r="F16" s="161"/>
      <c r="G16" s="163">
        <f t="shared" si="5"/>
        <v>12626.697</v>
      </c>
      <c r="H16" s="200">
        <f>G16+G13</f>
        <v>22880.600232000001</v>
      </c>
      <c r="I16" s="200">
        <f>I15+I14</f>
        <v>62</v>
      </c>
      <c r="J16" s="165"/>
      <c r="K16" s="157"/>
      <c r="L16" s="157"/>
      <c r="M16" s="215"/>
      <c r="N16" s="160">
        <f>N15+N14</f>
        <v>1442</v>
      </c>
      <c r="O16" s="161">
        <f>O15+O14</f>
        <v>1.7819999999999999E-2</v>
      </c>
      <c r="P16" s="162">
        <f>P15+P14</f>
        <v>5.7800000000000004E-2</v>
      </c>
      <c r="Q16" s="161"/>
      <c r="R16" s="163">
        <f t="shared" si="7"/>
        <v>1457.8159599999999</v>
      </c>
      <c r="S16" s="200">
        <f>R16+R13</f>
        <v>2610.0420629999999</v>
      </c>
      <c r="T16" s="200">
        <f>T15+T14</f>
        <v>48</v>
      </c>
      <c r="U16" s="165"/>
      <c r="V16" s="157"/>
      <c r="W16" s="157"/>
      <c r="X16" s="215"/>
      <c r="AF16" s="160">
        <f t="shared" si="1"/>
        <v>13942</v>
      </c>
      <c r="AG16" s="161">
        <f t="shared" si="2"/>
        <v>0.14182</v>
      </c>
      <c r="AH16" s="162">
        <f t="shared" si="3"/>
        <v>0.52280000000000004</v>
      </c>
      <c r="AI16" s="161"/>
      <c r="AJ16" s="163">
        <f t="shared" si="6"/>
        <v>14084.51296</v>
      </c>
      <c r="AK16" s="200">
        <f>AJ16+AJ13</f>
        <v>25490.642295000001</v>
      </c>
      <c r="AL16" s="200">
        <f t="shared" si="4"/>
        <v>110</v>
      </c>
      <c r="AM16" s="165"/>
      <c r="AN16" s="157"/>
      <c r="AO16" s="157"/>
      <c r="AR16" s="114" t="s">
        <v>906</v>
      </c>
      <c r="AS16" s="16" t="s">
        <v>907</v>
      </c>
      <c r="BO16" t="s">
        <v>908</v>
      </c>
      <c r="BP16">
        <f t="shared" si="0"/>
        <v>2016.5833333333323</v>
      </c>
      <c r="BQ16" s="194">
        <v>53547.7</v>
      </c>
      <c r="BS16" s="95">
        <f t="shared" ref="BS16:BS21" si="8">(BQ16-BQ4)/BQ4</f>
        <v>0.100423336963893</v>
      </c>
      <c r="BZ16" s="195" t="s">
        <v>908</v>
      </c>
      <c r="CA16" s="196">
        <v>40617.4</v>
      </c>
      <c r="CC16" s="95">
        <f t="shared" ref="CC16:CC21" si="9">(CA16-CA4)/CA4</f>
        <v>-0.13845612144685851</v>
      </c>
    </row>
    <row r="17" spans="1:81" ht="14.4" x14ac:dyDescent="0.3">
      <c r="A17" s="981"/>
      <c r="B17" s="159" t="s">
        <v>909</v>
      </c>
      <c r="C17" s="160">
        <f>C16+C13</f>
        <v>22640.400000000001</v>
      </c>
      <c r="D17" s="202">
        <f>D16+D13</f>
        <v>0.25114399999999998</v>
      </c>
      <c r="E17" s="203">
        <f>E16+E13</f>
        <v>0.87988</v>
      </c>
      <c r="F17" s="202"/>
      <c r="G17" s="163">
        <f t="shared" si="5"/>
        <v>22880.600232000001</v>
      </c>
      <c r="H17" s="200">
        <f>G17</f>
        <v>22880.600232000001</v>
      </c>
      <c r="I17" s="200">
        <f>I16+I13</f>
        <v>448</v>
      </c>
      <c r="J17" s="142"/>
      <c r="K17" s="166"/>
      <c r="L17" s="166"/>
      <c r="M17" s="215"/>
      <c r="N17" s="160">
        <f>N16+N13</f>
        <v>2581.8000000000002</v>
      </c>
      <c r="O17" s="202">
        <f>O16+O13</f>
        <v>3.1486E-2</v>
      </c>
      <c r="P17" s="203">
        <f>P16+P13</f>
        <v>0.10324700000000001</v>
      </c>
      <c r="Q17" s="202"/>
      <c r="R17" s="163">
        <f t="shared" si="7"/>
        <v>2610.0420630000003</v>
      </c>
      <c r="S17" s="200">
        <f>R17</f>
        <v>2610.0420630000003</v>
      </c>
      <c r="T17" s="200">
        <f>T16+T13</f>
        <v>161</v>
      </c>
      <c r="U17" s="142"/>
      <c r="V17" s="166"/>
      <c r="W17" s="166"/>
      <c r="X17" s="215"/>
      <c r="AF17" s="160">
        <f t="shared" si="1"/>
        <v>25222.2</v>
      </c>
      <c r="AG17" s="161">
        <f t="shared" si="2"/>
        <v>0.28262999999999999</v>
      </c>
      <c r="AH17" s="162">
        <f t="shared" si="3"/>
        <v>0.98312699999999997</v>
      </c>
      <c r="AI17" s="161"/>
      <c r="AJ17" s="163">
        <f t="shared" si="6"/>
        <v>25490.642294999998</v>
      </c>
      <c r="AK17" s="200">
        <f>AJ17</f>
        <v>25490.642294999998</v>
      </c>
      <c r="AL17" s="200">
        <f t="shared" si="4"/>
        <v>609</v>
      </c>
      <c r="AM17" s="142"/>
      <c r="AN17" s="166"/>
      <c r="AO17" s="166"/>
      <c r="AR17" s="16" t="s">
        <v>910</v>
      </c>
      <c r="AS17" s="16" t="s">
        <v>911</v>
      </c>
      <c r="AV17" t="s">
        <v>912</v>
      </c>
      <c r="AW17" t="s">
        <v>843</v>
      </c>
      <c r="AX17" s="16" t="s">
        <v>913</v>
      </c>
      <c r="AY17" s="16" t="s">
        <v>914</v>
      </c>
      <c r="AZ17" t="s">
        <v>915</v>
      </c>
      <c r="BA17" t="s">
        <v>913</v>
      </c>
      <c r="BB17" t="s">
        <v>916</v>
      </c>
      <c r="BC17" t="s">
        <v>914</v>
      </c>
      <c r="BD17" t="s">
        <v>887</v>
      </c>
      <c r="BE17" t="s">
        <v>917</v>
      </c>
      <c r="BF17" s="96" t="str">
        <f>AV17</f>
        <v>GRT</v>
      </c>
      <c r="BG17" s="96" t="str">
        <f>AW17</f>
        <v>Farþegar</v>
      </c>
      <c r="BH17" s="96" t="str">
        <f>AZ17</f>
        <v>Áhöfn</v>
      </c>
      <c r="BI17" s="96" t="str">
        <f>BB17</f>
        <v>Farþegar og áhöfn</v>
      </c>
      <c r="BJ17" s="96" t="str">
        <f>BD17</f>
        <v>Skipakomur</v>
      </c>
      <c r="BK17" s="96" t="str">
        <f>BE17</f>
        <v>Skip</v>
      </c>
      <c r="BL17" s="96"/>
      <c r="BM17" s="96"/>
      <c r="BO17" t="s">
        <v>918</v>
      </c>
      <c r="BP17">
        <f t="shared" si="0"/>
        <v>2016.6666666666656</v>
      </c>
      <c r="BQ17" s="194">
        <v>49609.9</v>
      </c>
      <c r="BS17" s="95">
        <f t="shared" si="8"/>
        <v>-0.11808385064459472</v>
      </c>
      <c r="BZ17" s="195" t="s">
        <v>918</v>
      </c>
      <c r="CA17" s="196">
        <v>46332.4</v>
      </c>
      <c r="CC17" s="95">
        <f t="shared" si="9"/>
        <v>-3.1321019015063581E-2</v>
      </c>
    </row>
    <row r="18" spans="1:81" ht="14.4" x14ac:dyDescent="0.3">
      <c r="A18" s="981"/>
      <c r="B18" s="159" t="s">
        <v>10</v>
      </c>
      <c r="C18" s="160">
        <v>2040</v>
      </c>
      <c r="D18" s="161">
        <f>26.2/1000</f>
        <v>2.6199999999999998E-2</v>
      </c>
      <c r="E18" s="162">
        <f>89.6/1000</f>
        <v>8.9599999999999999E-2</v>
      </c>
      <c r="F18" s="161"/>
      <c r="G18" s="163">
        <f t="shared" si="5"/>
        <v>2064.4776000000002</v>
      </c>
      <c r="H18" s="200">
        <f>G17+G18</f>
        <v>24945.077832000003</v>
      </c>
      <c r="I18" s="200">
        <v>70</v>
      </c>
      <c r="J18" s="142"/>
      <c r="K18" s="166"/>
      <c r="L18" s="166"/>
      <c r="M18" s="215"/>
      <c r="N18" s="160">
        <v>6140</v>
      </c>
      <c r="O18" s="161">
        <f>80/1000</f>
        <v>0.08</v>
      </c>
      <c r="P18" s="162">
        <f>261/1000</f>
        <v>0.26100000000000001</v>
      </c>
      <c r="Q18" s="161"/>
      <c r="R18" s="163">
        <f t="shared" si="7"/>
        <v>6211.4049999999997</v>
      </c>
      <c r="S18" s="200">
        <f>R17+R18</f>
        <v>8821.4470629999996</v>
      </c>
      <c r="T18" s="200">
        <v>513</v>
      </c>
      <c r="U18" s="142"/>
      <c r="V18" s="166"/>
      <c r="W18" s="166"/>
      <c r="X18" s="215"/>
      <c r="AF18" s="160">
        <f t="shared" si="1"/>
        <v>8180</v>
      </c>
      <c r="AG18" s="161">
        <f t="shared" si="2"/>
        <v>0.1062</v>
      </c>
      <c r="AH18" s="162">
        <f t="shared" si="3"/>
        <v>0.35060000000000002</v>
      </c>
      <c r="AI18" s="161"/>
      <c r="AJ18" s="163">
        <f t="shared" si="6"/>
        <v>8275.8826000000008</v>
      </c>
      <c r="AK18" s="200">
        <f>AJ17+AJ18</f>
        <v>33766.524894999995</v>
      </c>
      <c r="AL18" s="200">
        <f t="shared" si="4"/>
        <v>583</v>
      </c>
      <c r="AM18" s="142"/>
      <c r="AN18" s="166"/>
      <c r="AO18" s="166"/>
      <c r="AQ18">
        <v>2015</v>
      </c>
      <c r="AR18">
        <v>108</v>
      </c>
      <c r="AV18">
        <v>4044816</v>
      </c>
      <c r="AW18">
        <v>100141</v>
      </c>
      <c r="AX18">
        <v>103182</v>
      </c>
      <c r="AY18">
        <f>AW18/AX18</f>
        <v>0.97052780523734761</v>
      </c>
      <c r="AZ18">
        <v>43017</v>
      </c>
      <c r="BA18">
        <v>43614</v>
      </c>
      <c r="BB18">
        <f t="shared" ref="BB18:BB24" si="10">AZ18+AW18</f>
        <v>143158</v>
      </c>
      <c r="BC18">
        <f>BB18/(BA18+AX18)</f>
        <v>0.97521730837352516</v>
      </c>
      <c r="BD18">
        <v>108</v>
      </c>
      <c r="BE18">
        <v>62</v>
      </c>
      <c r="BO18" t="s">
        <v>919</v>
      </c>
      <c r="BP18">
        <f t="shared" si="0"/>
        <v>2016.7499999999989</v>
      </c>
      <c r="BQ18" s="194">
        <v>47625.599999999999</v>
      </c>
      <c r="BS18" s="95">
        <f t="shared" si="8"/>
        <v>-6.3308715790301825E-2</v>
      </c>
      <c r="BZ18" s="195" t="s">
        <v>919</v>
      </c>
      <c r="CA18" s="196">
        <v>49157</v>
      </c>
      <c r="CC18" s="95">
        <f t="shared" si="9"/>
        <v>4.9511080746402494E-2</v>
      </c>
    </row>
    <row r="19" spans="1:81" ht="14.4" x14ac:dyDescent="0.3">
      <c r="A19" s="981"/>
      <c r="B19" s="159" t="s">
        <v>920</v>
      </c>
      <c r="C19" s="160">
        <v>0</v>
      </c>
      <c r="D19" s="161">
        <v>0</v>
      </c>
      <c r="E19" s="162">
        <v>0</v>
      </c>
      <c r="F19" s="161"/>
      <c r="G19" s="163">
        <f t="shared" si="5"/>
        <v>0</v>
      </c>
      <c r="H19" s="200">
        <f>SUM(G17:G19)</f>
        <v>24945.077832000003</v>
      </c>
      <c r="I19" s="200">
        <v>0</v>
      </c>
      <c r="J19" s="142"/>
      <c r="K19" s="166"/>
      <c r="L19" s="166"/>
      <c r="M19" s="215"/>
      <c r="N19" s="160">
        <v>4230</v>
      </c>
      <c r="O19" s="161">
        <f>29.5/1000</f>
        <v>2.9499999999999998E-2</v>
      </c>
      <c r="P19" s="162">
        <f>199/1000</f>
        <v>0.19900000000000001</v>
      </c>
      <c r="Q19" s="161"/>
      <c r="R19" s="163">
        <f t="shared" si="7"/>
        <v>4283.5609999999997</v>
      </c>
      <c r="S19" s="200">
        <f>SUM(R17:R19)</f>
        <v>13105.008062999999</v>
      </c>
      <c r="T19" s="200">
        <v>5607</v>
      </c>
      <c r="U19" s="142"/>
      <c r="V19" s="166"/>
      <c r="W19" s="166"/>
      <c r="X19" s="215"/>
      <c r="AF19" s="160">
        <f t="shared" si="1"/>
        <v>4230</v>
      </c>
      <c r="AG19" s="161">
        <f t="shared" si="2"/>
        <v>2.9499999999999998E-2</v>
      </c>
      <c r="AH19" s="162">
        <f t="shared" si="3"/>
        <v>0.19900000000000001</v>
      </c>
      <c r="AI19" s="161"/>
      <c r="AJ19" s="163">
        <f t="shared" si="6"/>
        <v>4283.5609999999997</v>
      </c>
      <c r="AK19" s="200">
        <f>SUM(AJ17:AJ19)</f>
        <v>38050.085894999997</v>
      </c>
      <c r="AL19" s="200">
        <f t="shared" si="4"/>
        <v>5607</v>
      </c>
      <c r="AM19" s="142"/>
      <c r="AN19" s="166"/>
      <c r="AO19" s="166"/>
      <c r="AQ19">
        <v>2016</v>
      </c>
      <c r="AR19">
        <v>114</v>
      </c>
      <c r="AS19" s="23">
        <f>AL15</f>
        <v>102</v>
      </c>
      <c r="AT19" s="95">
        <f t="shared" ref="AT19:AT25" si="11">AS19/AR19</f>
        <v>0.89473684210526316</v>
      </c>
      <c r="AV19">
        <v>3972064</v>
      </c>
      <c r="AW19">
        <v>98676</v>
      </c>
      <c r="AX19">
        <v>101688</v>
      </c>
      <c r="AY19">
        <f t="shared" ref="AY19:AY24" si="12">AW19/AX19</f>
        <v>0.97037998583903706</v>
      </c>
      <c r="AZ19">
        <v>43806</v>
      </c>
      <c r="BA19">
        <v>43819</v>
      </c>
      <c r="BB19">
        <f t="shared" si="10"/>
        <v>142482</v>
      </c>
      <c r="BC19">
        <f t="shared" ref="BC19:BC24" si="13">BB19/(BA19+AX19)</f>
        <v>0.97921062216938015</v>
      </c>
      <c r="BD19">
        <v>114</v>
      </c>
      <c r="BE19">
        <v>60</v>
      </c>
      <c r="BF19" s="96">
        <f t="shared" ref="BF19:BG24" si="14">(AV19-AV18)/AV18</f>
        <v>-1.79864794838628E-2</v>
      </c>
      <c r="BG19" s="96">
        <f t="shared" si="14"/>
        <v>-1.4629372584655636E-2</v>
      </c>
      <c r="BH19" s="96">
        <f t="shared" ref="BH19:BH24" si="15">(AZ19-AZ18)/AZ18</f>
        <v>1.8341585884650253E-2</v>
      </c>
      <c r="BI19" s="96">
        <f t="shared" ref="BI19:BI24" si="16">(BB19-BB18)/BB18</f>
        <v>-4.7220553514298888E-3</v>
      </c>
      <c r="BJ19" s="96">
        <f t="shared" ref="BJ19:BK24" si="17">(BD19-BD18)/BD18</f>
        <v>5.5555555555555552E-2</v>
      </c>
      <c r="BK19" s="96">
        <f t="shared" si="17"/>
        <v>-3.2258064516129031E-2</v>
      </c>
      <c r="BL19" s="96"/>
      <c r="BM19" s="96"/>
      <c r="BO19" t="s">
        <v>921</v>
      </c>
      <c r="BP19">
        <f t="shared" si="0"/>
        <v>2016.8333333333321</v>
      </c>
      <c r="BQ19" s="194">
        <v>52639.6</v>
      </c>
      <c r="BS19" s="95">
        <f t="shared" si="8"/>
        <v>1.2414870148728413E-2</v>
      </c>
      <c r="BZ19" s="195" t="s">
        <v>921</v>
      </c>
      <c r="CA19" s="196">
        <v>41015.199999999997</v>
      </c>
      <c r="CC19" s="95">
        <f t="shared" si="9"/>
        <v>-0.20352184745522442</v>
      </c>
    </row>
    <row r="20" spans="1:81" ht="15" thickBot="1" x14ac:dyDescent="0.35">
      <c r="A20" s="982"/>
      <c r="B20" s="159" t="s">
        <v>922</v>
      </c>
      <c r="C20" s="168">
        <v>781</v>
      </c>
      <c r="D20" s="169">
        <f>8/1000</f>
        <v>8.0000000000000002E-3</v>
      </c>
      <c r="E20" s="170">
        <f>28.9/1000</f>
        <v>2.8899999999999999E-2</v>
      </c>
      <c r="F20" s="169"/>
      <c r="G20" s="204">
        <f t="shared" si="5"/>
        <v>788.88250000000005</v>
      </c>
      <c r="H20" s="200">
        <f>SUM(G17:G20)</f>
        <v>25733.960332000002</v>
      </c>
      <c r="I20" s="200">
        <v>30</v>
      </c>
      <c r="J20" s="142"/>
      <c r="K20" s="166"/>
      <c r="L20" s="166"/>
      <c r="M20" s="215"/>
      <c r="N20" s="168">
        <v>1170</v>
      </c>
      <c r="O20" s="169">
        <f>7.31/1000</f>
        <v>7.3099999999999997E-3</v>
      </c>
      <c r="P20" s="170">
        <f>31.1/1000</f>
        <v>3.1100000000000003E-2</v>
      </c>
      <c r="Q20" s="169"/>
      <c r="R20" s="204">
        <f t="shared" si="7"/>
        <v>1178.4461800000001</v>
      </c>
      <c r="S20" s="200">
        <f>SUM(R17:R20)</f>
        <v>14283.454243</v>
      </c>
      <c r="T20" s="200">
        <v>114</v>
      </c>
      <c r="U20" s="142"/>
      <c r="V20" s="166"/>
      <c r="W20" s="166"/>
      <c r="X20" s="215"/>
      <c r="AF20" s="168">
        <f t="shared" si="1"/>
        <v>1951</v>
      </c>
      <c r="AG20" s="169">
        <f t="shared" si="2"/>
        <v>1.5310000000000001E-2</v>
      </c>
      <c r="AH20" s="170">
        <f t="shared" si="3"/>
        <v>0.06</v>
      </c>
      <c r="AI20" s="169"/>
      <c r="AJ20" s="204">
        <f t="shared" si="6"/>
        <v>1967.3286800000001</v>
      </c>
      <c r="AK20" s="200">
        <f>SUM(AJ17:AJ20)</f>
        <v>40017.414574999995</v>
      </c>
      <c r="AL20" s="200">
        <f t="shared" si="4"/>
        <v>144</v>
      </c>
      <c r="AM20" s="142"/>
      <c r="AN20" s="166"/>
      <c r="AO20" s="166"/>
      <c r="AQ20">
        <v>2017</v>
      </c>
      <c r="AR20">
        <v>135</v>
      </c>
      <c r="AS20" s="23">
        <f>AL28</f>
        <v>129</v>
      </c>
      <c r="AT20" s="95">
        <f t="shared" si="11"/>
        <v>0.9555555555555556</v>
      </c>
      <c r="AV20">
        <v>4949421</v>
      </c>
      <c r="AW20">
        <v>128275</v>
      </c>
      <c r="AX20">
        <v>129304</v>
      </c>
      <c r="AY20">
        <f t="shared" si="12"/>
        <v>0.9920420095279342</v>
      </c>
      <c r="AZ20">
        <v>55400</v>
      </c>
      <c r="BA20">
        <v>55428</v>
      </c>
      <c r="BB20">
        <f t="shared" si="10"/>
        <v>183675</v>
      </c>
      <c r="BC20">
        <f t="shared" si="13"/>
        <v>0.99427819760517944</v>
      </c>
      <c r="BD20">
        <v>133</v>
      </c>
      <c r="BE20">
        <v>69</v>
      </c>
      <c r="BF20" s="96">
        <f t="shared" si="14"/>
        <v>0.24605771709619986</v>
      </c>
      <c r="BG20" s="96">
        <f t="shared" si="14"/>
        <v>0.29996149012931211</v>
      </c>
      <c r="BH20" s="96">
        <f t="shared" si="15"/>
        <v>0.26466694060174406</v>
      </c>
      <c r="BI20" s="96">
        <f t="shared" si="16"/>
        <v>0.28911020339411292</v>
      </c>
      <c r="BJ20" s="96">
        <f t="shared" si="17"/>
        <v>0.16666666666666666</v>
      </c>
      <c r="BK20" s="96">
        <f t="shared" si="17"/>
        <v>0.15</v>
      </c>
      <c r="BL20" s="96"/>
      <c r="BM20" s="96"/>
      <c r="BO20" t="s">
        <v>923</v>
      </c>
      <c r="BP20">
        <f t="shared" si="0"/>
        <v>2016.9166666666654</v>
      </c>
      <c r="BQ20" s="194">
        <v>49451.6</v>
      </c>
      <c r="BS20" s="95">
        <f t="shared" si="8"/>
        <v>-0.13768516500283362</v>
      </c>
      <c r="BZ20" s="195" t="s">
        <v>923</v>
      </c>
      <c r="CA20" s="196">
        <v>41515.699999999997</v>
      </c>
      <c r="CC20" s="95">
        <f t="shared" si="9"/>
        <v>-0.13654306916690248</v>
      </c>
    </row>
    <row r="21" spans="1:81" ht="15" thickBot="1" x14ac:dyDescent="0.35">
      <c r="A21" s="172" t="s">
        <v>3</v>
      </c>
      <c r="B21" s="173">
        <f>A9</f>
        <v>2016</v>
      </c>
      <c r="C21" s="174">
        <f>SUM(C17:C20)</f>
        <v>25461.4</v>
      </c>
      <c r="D21" s="205">
        <f>SUM(D17:D20)</f>
        <v>0.28534399999999999</v>
      </c>
      <c r="E21" s="205">
        <f>SUM(E17:E20)</f>
        <v>0.99838000000000005</v>
      </c>
      <c r="F21" s="867"/>
      <c r="G21" s="175">
        <f t="shared" si="5"/>
        <v>25733.960332000002</v>
      </c>
      <c r="H21" s="175">
        <f>H20</f>
        <v>25733.960332000002</v>
      </c>
      <c r="I21" s="175">
        <f>SUM(I17:I20)</f>
        <v>548</v>
      </c>
      <c r="J21" s="176"/>
      <c r="K21" s="177"/>
      <c r="L21" s="177"/>
      <c r="M21" s="215"/>
      <c r="N21" s="174">
        <f>SUM(N17:N20)</f>
        <v>14121.8</v>
      </c>
      <c r="O21" s="205">
        <f>SUM(O17:O20)</f>
        <v>0.14829600000000001</v>
      </c>
      <c r="P21" s="205">
        <f>SUM(P17:P20)</f>
        <v>0.59434700000000007</v>
      </c>
      <c r="Q21" s="867"/>
      <c r="R21" s="175">
        <f t="shared" si="7"/>
        <v>14283.454242999998</v>
      </c>
      <c r="S21" s="175">
        <f>S20</f>
        <v>14283.454243</v>
      </c>
      <c r="T21" s="175">
        <f>SUM(T17:T20)</f>
        <v>6395</v>
      </c>
      <c r="U21" s="176"/>
      <c r="V21" s="177"/>
      <c r="W21" s="177"/>
      <c r="X21" s="215"/>
      <c r="AF21" s="174">
        <f t="shared" si="1"/>
        <v>39583.199999999997</v>
      </c>
      <c r="AG21" s="174">
        <f t="shared" si="2"/>
        <v>0.43364000000000003</v>
      </c>
      <c r="AH21" s="174">
        <f t="shared" si="3"/>
        <v>1.592727</v>
      </c>
      <c r="AI21" s="449"/>
      <c r="AJ21" s="175">
        <f t="shared" si="6"/>
        <v>40017.414575000003</v>
      </c>
      <c r="AK21" s="175">
        <f>AK20</f>
        <v>40017.414574999995</v>
      </c>
      <c r="AL21" s="175">
        <f t="shared" si="4"/>
        <v>6943</v>
      </c>
      <c r="AM21" s="176"/>
      <c r="AN21" s="177"/>
      <c r="AO21" s="177"/>
      <c r="AQ21">
        <v>2018</v>
      </c>
      <c r="AR21">
        <v>152</v>
      </c>
      <c r="AS21" s="23">
        <f>AL41</f>
        <v>145</v>
      </c>
      <c r="AT21" s="95">
        <f t="shared" si="11"/>
        <v>0.95394736842105265</v>
      </c>
      <c r="AV21">
        <v>5700164</v>
      </c>
      <c r="AW21">
        <v>144658</v>
      </c>
      <c r="AX21">
        <v>148539</v>
      </c>
      <c r="AY21">
        <f t="shared" si="12"/>
        <v>0.97387218171658618</v>
      </c>
      <c r="AZ21">
        <v>59839</v>
      </c>
      <c r="BA21">
        <v>64151</v>
      </c>
      <c r="BB21">
        <f t="shared" si="10"/>
        <v>204497</v>
      </c>
      <c r="BC21">
        <f t="shared" si="13"/>
        <v>0.96147914805585599</v>
      </c>
      <c r="BD21">
        <v>166</v>
      </c>
      <c r="BE21">
        <v>72</v>
      </c>
      <c r="BF21" s="96">
        <f t="shared" si="14"/>
        <v>0.15168299483919431</v>
      </c>
      <c r="BG21" s="96">
        <f t="shared" si="14"/>
        <v>0.12771779380237772</v>
      </c>
      <c r="BH21" s="96">
        <f t="shared" si="15"/>
        <v>8.0126353790613725E-2</v>
      </c>
      <c r="BI21" s="96">
        <f t="shared" si="16"/>
        <v>0.11336327752824282</v>
      </c>
      <c r="BJ21" s="96">
        <f t="shared" si="17"/>
        <v>0.24812030075187969</v>
      </c>
      <c r="BK21" s="96">
        <f t="shared" si="17"/>
        <v>4.3478260869565216E-2</v>
      </c>
      <c r="BL21" s="96"/>
      <c r="BM21" s="96"/>
      <c r="BO21" t="s">
        <v>924</v>
      </c>
      <c r="BP21">
        <f t="shared" si="0"/>
        <v>2016.9999999999986</v>
      </c>
      <c r="BQ21" s="194">
        <v>46446.7</v>
      </c>
      <c r="BS21" s="95">
        <f t="shared" si="8"/>
        <v>-1.8567428346704057E-3</v>
      </c>
      <c r="BZ21" s="195" t="s">
        <v>924</v>
      </c>
      <c r="CA21" s="196">
        <v>37693.599999999999</v>
      </c>
      <c r="CC21" s="95">
        <f t="shared" si="9"/>
        <v>-0.17838770990635955</v>
      </c>
    </row>
    <row r="22" spans="1:81" ht="15" customHeight="1" x14ac:dyDescent="0.3">
      <c r="A22" s="981">
        <v>2017</v>
      </c>
      <c r="B22" s="151" t="s">
        <v>891</v>
      </c>
      <c r="C22" s="152">
        <v>34.4</v>
      </c>
      <c r="D22" s="153">
        <f>0.454/1000</f>
        <v>4.5400000000000003E-4</v>
      </c>
      <c r="E22" s="154">
        <f>1.44/1000</f>
        <v>1.4399999999999999E-3</v>
      </c>
      <c r="F22" s="153"/>
      <c r="G22" s="155">
        <f t="shared" si="5"/>
        <v>34.794311999999998</v>
      </c>
      <c r="H22" s="199">
        <f>G22</f>
        <v>34.794311999999998</v>
      </c>
      <c r="I22" s="199">
        <v>2</v>
      </c>
      <c r="J22" s="1037" t="s">
        <v>827</v>
      </c>
      <c r="K22" s="208">
        <f>(I22-I9)/I9</f>
        <v>-0.33333333333333331</v>
      </c>
      <c r="L22" s="179">
        <f t="shared" ref="L22:L53" si="18">(G22-G9)/G9</f>
        <v>-0.44661001974557402</v>
      </c>
      <c r="N22" s="152">
        <v>8.9499999999999993</v>
      </c>
      <c r="O22" s="153">
        <f>0.127/1000</f>
        <v>1.27E-4</v>
      </c>
      <c r="P22" s="154">
        <f>0.371/1000</f>
        <v>3.7100000000000002E-4</v>
      </c>
      <c r="Q22" s="153"/>
      <c r="R22" s="155">
        <f t="shared" si="7"/>
        <v>9.0518709999999984</v>
      </c>
      <c r="S22" s="199">
        <f>R22</f>
        <v>9.0518709999999984</v>
      </c>
      <c r="T22" s="199">
        <v>1</v>
      </c>
      <c r="U22" s="1037" t="s">
        <v>827</v>
      </c>
      <c r="V22" s="178" t="e">
        <f>(T22-T9)/T9</f>
        <v>#DIV/0!</v>
      </c>
      <c r="W22" s="179" t="e">
        <f t="shared" ref="W22:W53" si="19">(R22-R9)/R9</f>
        <v>#DIV/0!</v>
      </c>
      <c r="AF22" s="152">
        <f t="shared" si="1"/>
        <v>43.349999999999994</v>
      </c>
      <c r="AG22" s="153">
        <f t="shared" si="2"/>
        <v>5.8100000000000003E-4</v>
      </c>
      <c r="AH22" s="154">
        <f t="shared" si="3"/>
        <v>1.8109999999999999E-3</v>
      </c>
      <c r="AI22" s="153"/>
      <c r="AJ22" s="155">
        <f t="shared" si="6"/>
        <v>43.846182999999989</v>
      </c>
      <c r="AK22" s="199">
        <f>AJ22</f>
        <v>43.846182999999989</v>
      </c>
      <c r="AL22" s="199">
        <f t="shared" si="4"/>
        <v>3</v>
      </c>
      <c r="AM22" s="1037" t="s">
        <v>827</v>
      </c>
      <c r="AN22" s="178">
        <f>(AL22-AL9)/AL9</f>
        <v>0</v>
      </c>
      <c r="AO22" s="179">
        <f t="shared" ref="AO22:AO53" si="20">(AJ22-AJ9)/AJ9</f>
        <v>-0.30264353712175873</v>
      </c>
      <c r="AQ22">
        <v>2019</v>
      </c>
      <c r="AR22">
        <v>190</v>
      </c>
      <c r="AS22" s="23">
        <f>AL54</f>
        <v>165</v>
      </c>
      <c r="AT22" s="95">
        <f t="shared" si="11"/>
        <v>0.86842105263157898</v>
      </c>
      <c r="AV22">
        <v>7208722</v>
      </c>
      <c r="AW22">
        <v>188630</v>
      </c>
      <c r="AX22">
        <v>182508</v>
      </c>
      <c r="AY22">
        <f t="shared" si="12"/>
        <v>1.0335437350691477</v>
      </c>
      <c r="AZ22">
        <v>76339</v>
      </c>
      <c r="BA22">
        <v>79853</v>
      </c>
      <c r="BB22">
        <f t="shared" si="10"/>
        <v>264969</v>
      </c>
      <c r="BC22">
        <f t="shared" si="13"/>
        <v>1.0099405018276344</v>
      </c>
      <c r="BD22">
        <v>190</v>
      </c>
      <c r="BE22">
        <v>84</v>
      </c>
      <c r="BF22" s="96">
        <f t="shared" si="14"/>
        <v>0.2646516837059425</v>
      </c>
      <c r="BG22" s="96">
        <f t="shared" si="14"/>
        <v>0.3039721273624687</v>
      </c>
      <c r="BH22" s="96">
        <f t="shared" si="15"/>
        <v>0.27573990207055599</v>
      </c>
      <c r="BI22" s="96">
        <f t="shared" si="16"/>
        <v>0.29571093952478522</v>
      </c>
      <c r="BJ22" s="96">
        <f t="shared" si="17"/>
        <v>0.14457831325301204</v>
      </c>
      <c r="BK22" s="96">
        <f t="shared" si="17"/>
        <v>0.16666666666666666</v>
      </c>
      <c r="BL22" s="96"/>
      <c r="BM22" s="96"/>
      <c r="BO22" t="s">
        <v>925</v>
      </c>
      <c r="BP22">
        <f t="shared" si="0"/>
        <v>2017.0833333333319</v>
      </c>
      <c r="BQ22" s="194">
        <v>44502.9</v>
      </c>
      <c r="BS22" s="95">
        <f>(BQ22-BQ10)/BQ10</f>
        <v>-1.9007962050205791E-2</v>
      </c>
      <c r="BZ22" s="195" t="s">
        <v>925</v>
      </c>
      <c r="CA22" s="196">
        <v>33443.599999999999</v>
      </c>
      <c r="CC22" s="95">
        <f>(CA22-CA10)/CA10</f>
        <v>-0.21347114921038091</v>
      </c>
    </row>
    <row r="23" spans="1:81" ht="14.4" x14ac:dyDescent="0.3">
      <c r="A23" s="981"/>
      <c r="B23" s="159" t="s">
        <v>893</v>
      </c>
      <c r="C23" s="160">
        <v>10700</v>
      </c>
      <c r="D23" s="161">
        <f>136/1000</f>
        <v>0.13600000000000001</v>
      </c>
      <c r="E23" s="162">
        <f>433/1000</f>
        <v>0.433</v>
      </c>
      <c r="F23" s="161"/>
      <c r="G23" s="163">
        <f t="shared" si="5"/>
        <v>10818.553000000002</v>
      </c>
      <c r="H23" s="200">
        <f>G23+G22</f>
        <v>10853.347312000002</v>
      </c>
      <c r="I23" s="200">
        <v>279</v>
      </c>
      <c r="J23" s="1037"/>
      <c r="K23" s="209">
        <f t="shared" ref="K23:K60" si="21">(I23-I10)/I10</f>
        <v>0.19742489270386265</v>
      </c>
      <c r="L23" s="183">
        <f t="shared" si="18"/>
        <v>0.25882259444293987</v>
      </c>
      <c r="N23" s="160">
        <v>84.6</v>
      </c>
      <c r="O23" s="161">
        <f>1.02/1000</f>
        <v>1.0200000000000001E-3</v>
      </c>
      <c r="P23" s="162">
        <f>3.38/1000</f>
        <v>3.3799999999999998E-3</v>
      </c>
      <c r="Q23" s="161"/>
      <c r="R23" s="163">
        <f t="shared" si="7"/>
        <v>85.524259999999998</v>
      </c>
      <c r="S23" s="200">
        <f>R23+R22</f>
        <v>94.576131000000004</v>
      </c>
      <c r="T23" s="200">
        <v>5</v>
      </c>
      <c r="U23" s="1037"/>
      <c r="V23" s="182">
        <f t="shared" ref="V23:V58" si="22">(T23-T10)/T10</f>
        <v>0.25</v>
      </c>
      <c r="W23" s="183">
        <f t="shared" si="19"/>
        <v>3.3390101928175917</v>
      </c>
      <c r="AF23" s="160">
        <f t="shared" si="1"/>
        <v>10784.6</v>
      </c>
      <c r="AG23" s="161">
        <f t="shared" si="2"/>
        <v>0.13702</v>
      </c>
      <c r="AH23" s="162">
        <f t="shared" si="3"/>
        <v>0.43637999999999999</v>
      </c>
      <c r="AI23" s="161"/>
      <c r="AJ23" s="163">
        <f t="shared" si="6"/>
        <v>10904.07726</v>
      </c>
      <c r="AK23" s="200">
        <f>AJ23+AJ22</f>
        <v>10947.923443</v>
      </c>
      <c r="AL23" s="200">
        <f t="shared" si="4"/>
        <v>284</v>
      </c>
      <c r="AM23" s="1037"/>
      <c r="AN23" s="182">
        <f t="shared" ref="AN23:AN57" si="23">(AL23-AL10)/AL10</f>
        <v>0.19831223628691982</v>
      </c>
      <c r="AO23" s="183">
        <f t="shared" si="20"/>
        <v>0.26587076284367606</v>
      </c>
      <c r="AQ23">
        <v>2020</v>
      </c>
      <c r="AR23">
        <v>7</v>
      </c>
      <c r="AS23" s="23">
        <f>AL67</f>
        <v>7</v>
      </c>
      <c r="AT23" s="95">
        <f t="shared" si="11"/>
        <v>1</v>
      </c>
      <c r="AV23">
        <v>106496</v>
      </c>
      <c r="AW23">
        <v>1346</v>
      </c>
      <c r="AX23">
        <v>2966</v>
      </c>
      <c r="AY23">
        <f t="shared" si="12"/>
        <v>0.45380984490896831</v>
      </c>
      <c r="AZ23">
        <v>1170</v>
      </c>
      <c r="BA23">
        <v>1700</v>
      </c>
      <c r="BB23">
        <f t="shared" si="10"/>
        <v>2516</v>
      </c>
      <c r="BC23">
        <f t="shared" si="13"/>
        <v>0.53921988855550795</v>
      </c>
      <c r="BD23">
        <v>7</v>
      </c>
      <c r="BE23">
        <v>3</v>
      </c>
      <c r="BF23" s="96">
        <f t="shared" si="14"/>
        <v>-0.98522678499739624</v>
      </c>
      <c r="BG23" s="96">
        <f t="shared" si="14"/>
        <v>-0.99286433759211157</v>
      </c>
      <c r="BH23" s="96">
        <f t="shared" si="15"/>
        <v>-0.98467362684866189</v>
      </c>
      <c r="BI23" s="96">
        <f t="shared" si="16"/>
        <v>-0.99050454958881984</v>
      </c>
      <c r="BJ23" s="96">
        <f t="shared" si="17"/>
        <v>-0.9631578947368421</v>
      </c>
      <c r="BK23" s="96">
        <f t="shared" si="17"/>
        <v>-0.9642857142857143</v>
      </c>
      <c r="BL23" s="96"/>
      <c r="BM23" s="96"/>
      <c r="BO23" t="s">
        <v>926</v>
      </c>
      <c r="BP23">
        <f t="shared" si="0"/>
        <v>2017.1666666666652</v>
      </c>
      <c r="BQ23" s="194">
        <v>55858.8</v>
      </c>
      <c r="BS23" s="95">
        <f t="shared" ref="BS23:BS42" si="24">(BQ23-BQ11)/BQ11</f>
        <v>-0.15759851603854677</v>
      </c>
      <c r="BZ23" s="195" t="s">
        <v>926</v>
      </c>
      <c r="CA23" s="196">
        <v>39625.699999999997</v>
      </c>
      <c r="CC23" s="95">
        <f t="shared" ref="CC23:CC42" si="25">(CA23-CA11)/CA11</f>
        <v>-0.10355382314815027</v>
      </c>
    </row>
    <row r="24" spans="1:81" ht="14.4" x14ac:dyDescent="0.3">
      <c r="A24" s="981"/>
      <c r="B24" s="159" t="s">
        <v>895</v>
      </c>
      <c r="C24" s="160">
        <v>1610</v>
      </c>
      <c r="D24" s="161">
        <f>21.2/1000</f>
        <v>2.12E-2</v>
      </c>
      <c r="E24" s="162">
        <f>68.2/1000</f>
        <v>6.8199999999999997E-2</v>
      </c>
      <c r="F24" s="161"/>
      <c r="G24" s="163">
        <f t="shared" si="5"/>
        <v>1628.6666</v>
      </c>
      <c r="H24" s="200">
        <f>G24+G23+G22</f>
        <v>12482.013912000002</v>
      </c>
      <c r="I24" s="200">
        <v>174</v>
      </c>
      <c r="J24" s="1037"/>
      <c r="K24" s="209">
        <f t="shared" si="21"/>
        <v>0.20833333333333334</v>
      </c>
      <c r="L24" s="183">
        <f t="shared" si="18"/>
        <v>7.3121128124013141E-2</v>
      </c>
      <c r="N24" s="160">
        <v>67.8</v>
      </c>
      <c r="O24" s="161">
        <f>0.872/1000</f>
        <v>8.7199999999999995E-4</v>
      </c>
      <c r="P24" s="162">
        <f>2.85/1000</f>
        <v>2.8500000000000001E-3</v>
      </c>
      <c r="Q24" s="161"/>
      <c r="R24" s="163">
        <f t="shared" si="7"/>
        <v>68.579666000000003</v>
      </c>
      <c r="S24" s="200">
        <f>R24+R23+R22</f>
        <v>163.15579700000001</v>
      </c>
      <c r="T24" s="200">
        <v>8</v>
      </c>
      <c r="U24" s="1037"/>
      <c r="V24" s="182">
        <f t="shared" si="22"/>
        <v>1.6666666666666667</v>
      </c>
      <c r="W24" s="183">
        <f t="shared" si="19"/>
        <v>2.3390043126337918</v>
      </c>
      <c r="AF24" s="160">
        <f t="shared" si="1"/>
        <v>1677.8</v>
      </c>
      <c r="AG24" s="161">
        <f t="shared" si="2"/>
        <v>2.2072000000000001E-2</v>
      </c>
      <c r="AH24" s="162">
        <f t="shared" si="3"/>
        <v>7.1050000000000002E-2</v>
      </c>
      <c r="AI24" s="161"/>
      <c r="AJ24" s="163">
        <f t="shared" si="6"/>
        <v>1697.2462659999999</v>
      </c>
      <c r="AK24" s="200">
        <f>AJ24+AJ23+AJ22</f>
        <v>12645.169709</v>
      </c>
      <c r="AL24" s="200">
        <f t="shared" si="4"/>
        <v>182</v>
      </c>
      <c r="AM24" s="1037"/>
      <c r="AN24" s="182">
        <f t="shared" si="23"/>
        <v>0.23809523809523808</v>
      </c>
      <c r="AO24" s="183">
        <f t="shared" si="20"/>
        <v>0.10337594666102055</v>
      </c>
      <c r="AQ24">
        <v>2021</v>
      </c>
      <c r="AR24">
        <v>68</v>
      </c>
      <c r="AS24" s="23">
        <f>AL80</f>
        <v>58</v>
      </c>
      <c r="AT24" s="95">
        <f t="shared" si="11"/>
        <v>0.8529411764705882</v>
      </c>
      <c r="AV24">
        <v>1717775</v>
      </c>
      <c r="AW24">
        <v>18950</v>
      </c>
      <c r="AX24">
        <v>31897</v>
      </c>
      <c r="AY24">
        <f t="shared" si="12"/>
        <v>0.59409975859798725</v>
      </c>
      <c r="AZ24">
        <v>19138</v>
      </c>
      <c r="BA24">
        <v>17776</v>
      </c>
      <c r="BB24">
        <f t="shared" si="10"/>
        <v>38088</v>
      </c>
      <c r="BC24">
        <f t="shared" si="13"/>
        <v>0.76677470658103997</v>
      </c>
      <c r="BD24">
        <v>68</v>
      </c>
      <c r="BE24">
        <v>15</v>
      </c>
      <c r="BF24" s="96">
        <f t="shared" si="14"/>
        <v>15.12994854266827</v>
      </c>
      <c r="BG24" s="96">
        <f t="shared" si="14"/>
        <v>13.078751857355126</v>
      </c>
      <c r="BH24" s="96">
        <f t="shared" si="15"/>
        <v>15.357264957264958</v>
      </c>
      <c r="BI24" s="96">
        <f t="shared" si="16"/>
        <v>14.138314785373609</v>
      </c>
      <c r="BJ24" s="96">
        <f t="shared" si="17"/>
        <v>8.7142857142857135</v>
      </c>
      <c r="BK24" s="96">
        <f t="shared" si="17"/>
        <v>4</v>
      </c>
      <c r="BO24" t="s">
        <v>927</v>
      </c>
      <c r="BP24">
        <f t="shared" si="0"/>
        <v>2017.2499999999984</v>
      </c>
      <c r="BQ24" s="194">
        <v>51902.9</v>
      </c>
      <c r="BS24" s="95">
        <f t="shared" si="24"/>
        <v>-3.5443160298902938E-2</v>
      </c>
      <c r="BZ24" s="195" t="s">
        <v>927</v>
      </c>
      <c r="CA24" s="196">
        <v>41323.5</v>
      </c>
      <c r="CC24" s="95">
        <f t="shared" si="25"/>
        <v>-0.12492482444920679</v>
      </c>
    </row>
    <row r="25" spans="1:81" ht="14.4" x14ac:dyDescent="0.3">
      <c r="A25" s="981"/>
      <c r="B25" s="159" t="s">
        <v>897</v>
      </c>
      <c r="C25" s="160">
        <v>62.1</v>
      </c>
      <c r="D25" s="161">
        <f>0.747/1000</f>
        <v>7.4700000000000005E-4</v>
      </c>
      <c r="E25" s="162">
        <f>2.43/1000</f>
        <v>2.4300000000000003E-3</v>
      </c>
      <c r="F25" s="161"/>
      <c r="G25" s="163">
        <f t="shared" si="5"/>
        <v>62.764865999999998</v>
      </c>
      <c r="H25" s="200">
        <f>SUM(G22:G25)</f>
        <v>12544.778778000002</v>
      </c>
      <c r="I25" s="200">
        <v>5</v>
      </c>
      <c r="J25" s="1037"/>
      <c r="K25" s="209">
        <f t="shared" si="21"/>
        <v>-0.16666666666666666</v>
      </c>
      <c r="L25" s="183">
        <f t="shared" si="18"/>
        <v>-0.20704457218734704</v>
      </c>
      <c r="N25" s="160">
        <v>906.5</v>
      </c>
      <c r="O25" s="161">
        <f>31.1/1000</f>
        <v>3.1100000000000003E-2</v>
      </c>
      <c r="P25" s="162">
        <f>35.4/1000</f>
        <v>3.5400000000000001E-2</v>
      </c>
      <c r="Q25" s="161"/>
      <c r="R25" s="163">
        <f t="shared" si="7"/>
        <v>916.7518</v>
      </c>
      <c r="S25" s="200">
        <f>SUM(R22:R25)</f>
        <v>1079.9075969999999</v>
      </c>
      <c r="T25" s="200">
        <v>108</v>
      </c>
      <c r="U25" s="1037"/>
      <c r="V25" s="182">
        <f t="shared" si="22"/>
        <v>1.8867924528301886E-2</v>
      </c>
      <c r="W25" s="183">
        <f t="shared" si="19"/>
        <v>-0.17556556495883094</v>
      </c>
      <c r="AF25" s="160">
        <f t="shared" si="1"/>
        <v>968.6</v>
      </c>
      <c r="AG25" s="161">
        <f t="shared" si="2"/>
        <v>3.1847E-2</v>
      </c>
      <c r="AH25" s="162">
        <f t="shared" si="3"/>
        <v>3.7830000000000003E-2</v>
      </c>
      <c r="AI25" s="161"/>
      <c r="AJ25" s="163">
        <f t="shared" si="6"/>
        <v>979.51666599999999</v>
      </c>
      <c r="AK25" s="200">
        <f>SUM(AJ22:AJ25)</f>
        <v>13624.686374999999</v>
      </c>
      <c r="AL25" s="200">
        <f t="shared" si="4"/>
        <v>113</v>
      </c>
      <c r="AM25" s="1037"/>
      <c r="AN25" s="182">
        <f t="shared" si="23"/>
        <v>8.9285714285714281E-3</v>
      </c>
      <c r="AO25" s="183">
        <f t="shared" si="20"/>
        <v>-0.17765741144548206</v>
      </c>
      <c r="AQ25">
        <v>2022</v>
      </c>
      <c r="AR25" s="607">
        <v>184</v>
      </c>
      <c r="AS25" s="23">
        <f>AL93</f>
        <v>179</v>
      </c>
      <c r="AT25" s="95">
        <f t="shared" si="11"/>
        <v>0.97282608695652173</v>
      </c>
      <c r="AW25" s="580" t="s">
        <v>928</v>
      </c>
      <c r="BO25" t="s">
        <v>929</v>
      </c>
      <c r="BP25">
        <f t="shared" si="0"/>
        <v>2017.3333333333317</v>
      </c>
      <c r="BQ25" s="194">
        <v>73176.800000000003</v>
      </c>
      <c r="BS25" s="95">
        <f t="shared" si="24"/>
        <v>0.14275184428661564</v>
      </c>
      <c r="BZ25" s="195" t="s">
        <v>929</v>
      </c>
      <c r="CA25" s="196">
        <v>49096.9</v>
      </c>
      <c r="CC25" s="95">
        <f t="shared" si="25"/>
        <v>4.9781157055894316E-2</v>
      </c>
    </row>
    <row r="26" spans="1:81" ht="14.4" x14ac:dyDescent="0.3">
      <c r="A26" s="981"/>
      <c r="B26" s="193" t="s">
        <v>899</v>
      </c>
      <c r="C26" s="160">
        <f>SUM(C22:C25)</f>
        <v>12406.5</v>
      </c>
      <c r="D26" s="161">
        <f>SUM(D22:D25)</f>
        <v>0.15840100000000001</v>
      </c>
      <c r="E26" s="162">
        <f>SUM(E22:E25)</f>
        <v>0.50507000000000002</v>
      </c>
      <c r="F26" s="161"/>
      <c r="G26" s="201">
        <f t="shared" si="5"/>
        <v>12544.778778</v>
      </c>
      <c r="H26" s="200">
        <f>SUM(G26)</f>
        <v>12544.778778</v>
      </c>
      <c r="I26" s="200">
        <f>SUM(I22:I25)</f>
        <v>460</v>
      </c>
      <c r="J26" s="1037"/>
      <c r="K26" s="209">
        <f t="shared" si="21"/>
        <v>0.19170984455958548</v>
      </c>
      <c r="L26" s="183">
        <f t="shared" si="18"/>
        <v>0.22341497614788483</v>
      </c>
      <c r="N26" s="160">
        <f>SUM(N22:N25)</f>
        <v>1067.8499999999999</v>
      </c>
      <c r="O26" s="161">
        <f>SUM(O22:O25)</f>
        <v>3.3119000000000003E-2</v>
      </c>
      <c r="P26" s="162">
        <f>SUM(P22:P25)</f>
        <v>4.2001000000000004E-2</v>
      </c>
      <c r="Q26" s="161"/>
      <c r="R26" s="201">
        <f t="shared" si="7"/>
        <v>1079.9075969999999</v>
      </c>
      <c r="S26" s="200">
        <f>SUM(R26)</f>
        <v>1079.9075969999999</v>
      </c>
      <c r="T26" s="200">
        <f>SUM(T22:T25)</f>
        <v>122</v>
      </c>
      <c r="U26" s="1037"/>
      <c r="V26" s="182">
        <f t="shared" si="22"/>
        <v>7.9646017699115043E-2</v>
      </c>
      <c r="W26" s="183">
        <f t="shared" si="19"/>
        <v>-6.2764162182845529E-2</v>
      </c>
      <c r="AF26" s="160">
        <f t="shared" si="1"/>
        <v>13474.35</v>
      </c>
      <c r="AG26" s="161">
        <f t="shared" si="2"/>
        <v>0.19152000000000002</v>
      </c>
      <c r="AH26" s="162">
        <f t="shared" si="3"/>
        <v>0.54707099999999997</v>
      </c>
      <c r="AI26" s="161"/>
      <c r="AJ26" s="201">
        <f t="shared" si="6"/>
        <v>13624.686374999999</v>
      </c>
      <c r="AK26" s="200">
        <f>SUM(AJ26)</f>
        <v>13624.686374999999</v>
      </c>
      <c r="AL26" s="200">
        <f t="shared" si="4"/>
        <v>582</v>
      </c>
      <c r="AM26" s="1037"/>
      <c r="AN26" s="182">
        <f t="shared" si="23"/>
        <v>0.16633266533066132</v>
      </c>
      <c r="AO26" s="183">
        <f t="shared" si="20"/>
        <v>0.19450568855047948</v>
      </c>
      <c r="AR26" s="580"/>
      <c r="BO26" t="s">
        <v>930</v>
      </c>
      <c r="BP26">
        <f t="shared" si="0"/>
        <v>2017.4166666666649</v>
      </c>
      <c r="BQ26" s="194">
        <v>59967.5</v>
      </c>
      <c r="BS26" s="95">
        <f t="shared" si="24"/>
        <v>-4.8598540076502356E-2</v>
      </c>
      <c r="BZ26" s="195" t="s">
        <v>930</v>
      </c>
      <c r="CA26" s="196">
        <v>44976</v>
      </c>
      <c r="CC26" s="95">
        <f t="shared" si="25"/>
        <v>-6.9838623950166406E-2</v>
      </c>
    </row>
    <row r="27" spans="1:81" ht="14.4" x14ac:dyDescent="0.3">
      <c r="A27" s="981"/>
      <c r="B27" s="159" t="s">
        <v>901</v>
      </c>
      <c r="C27" s="160">
        <v>0</v>
      </c>
      <c r="D27" s="161">
        <v>0</v>
      </c>
      <c r="E27" s="162">
        <v>0</v>
      </c>
      <c r="F27" s="161"/>
      <c r="G27" s="201">
        <f t="shared" si="5"/>
        <v>0</v>
      </c>
      <c r="H27" s="200">
        <f>G26+G27</f>
        <v>12544.778778</v>
      </c>
      <c r="I27" s="200">
        <v>0</v>
      </c>
      <c r="J27" s="1037"/>
      <c r="K27" s="209" t="e">
        <f t="shared" si="21"/>
        <v>#DIV/0!</v>
      </c>
      <c r="L27" s="183" t="e">
        <f t="shared" si="18"/>
        <v>#DIV/0!</v>
      </c>
      <c r="N27" s="160">
        <v>188</v>
      </c>
      <c r="O27" s="161">
        <f>2.55/1000</f>
        <v>2.5499999999999997E-3</v>
      </c>
      <c r="P27" s="162">
        <f>8.02/1000</f>
        <v>8.0199999999999994E-3</v>
      </c>
      <c r="Q27" s="161"/>
      <c r="R27" s="201">
        <f t="shared" si="7"/>
        <v>190.19670000000002</v>
      </c>
      <c r="S27" s="200">
        <f>R26+R27</f>
        <v>1270.1042969999999</v>
      </c>
      <c r="T27" s="200">
        <v>6</v>
      </c>
      <c r="U27" s="1037"/>
      <c r="V27" s="182">
        <f t="shared" si="22"/>
        <v>-0.25</v>
      </c>
      <c r="W27" s="183">
        <f t="shared" si="19"/>
        <v>-0.22310620273456644</v>
      </c>
      <c r="AF27" s="160">
        <f t="shared" si="1"/>
        <v>188</v>
      </c>
      <c r="AG27" s="161">
        <f t="shared" si="2"/>
        <v>2.5499999999999997E-3</v>
      </c>
      <c r="AH27" s="162">
        <f t="shared" si="3"/>
        <v>8.0199999999999994E-3</v>
      </c>
      <c r="AI27" s="161"/>
      <c r="AJ27" s="201">
        <f t="shared" si="6"/>
        <v>190.19670000000002</v>
      </c>
      <c r="AK27" s="200">
        <f>AJ26+AJ27</f>
        <v>13814.883075</v>
      </c>
      <c r="AL27" s="200">
        <f t="shared" si="4"/>
        <v>6</v>
      </c>
      <c r="AM27" s="1037"/>
      <c r="AN27" s="182">
        <f t="shared" si="23"/>
        <v>-0.25</v>
      </c>
      <c r="AO27" s="183">
        <f t="shared" si="20"/>
        <v>-0.22310620273456644</v>
      </c>
      <c r="BO27" t="s">
        <v>931</v>
      </c>
      <c r="BP27">
        <f t="shared" si="0"/>
        <v>2017.4999999999982</v>
      </c>
      <c r="BQ27" s="194">
        <v>59997.599999999999</v>
      </c>
      <c r="BS27" s="95">
        <f t="shared" si="24"/>
        <v>0.11824205317453658</v>
      </c>
      <c r="BZ27" s="195" t="s">
        <v>931</v>
      </c>
      <c r="CA27" s="196">
        <v>38653.1</v>
      </c>
      <c r="CC27" s="95">
        <f t="shared" si="25"/>
        <v>-0.11874650889732456</v>
      </c>
    </row>
    <row r="28" spans="1:81" ht="17.399999999999999" x14ac:dyDescent="0.3">
      <c r="A28" s="981"/>
      <c r="B28" s="159" t="s">
        <v>902</v>
      </c>
      <c r="C28" s="160">
        <v>10500</v>
      </c>
      <c r="D28" s="161">
        <v>0.112</v>
      </c>
      <c r="E28" s="162">
        <v>0.40600000000000003</v>
      </c>
      <c r="F28" s="161"/>
      <c r="G28" s="163">
        <f t="shared" si="5"/>
        <v>10610.726000000001</v>
      </c>
      <c r="H28" s="200">
        <f>G28+G27+G26</f>
        <v>23155.504778000002</v>
      </c>
      <c r="I28" s="200">
        <v>80</v>
      </c>
      <c r="J28" s="1037"/>
      <c r="K28" s="209">
        <f t="shared" si="21"/>
        <v>0.29032258064516131</v>
      </c>
      <c r="L28" s="183">
        <f t="shared" si="18"/>
        <v>-0.15965941053309504</v>
      </c>
      <c r="N28" s="160">
        <v>929</v>
      </c>
      <c r="O28" s="161">
        <f>12/1000</f>
        <v>1.2E-2</v>
      </c>
      <c r="P28" s="162">
        <f>38.5/1000</f>
        <v>3.85E-2</v>
      </c>
      <c r="Q28" s="161"/>
      <c r="R28" s="163">
        <f t="shared" si="7"/>
        <v>939.5385</v>
      </c>
      <c r="S28" s="200">
        <f>R28+R27+R26</f>
        <v>2209.642797</v>
      </c>
      <c r="T28" s="200">
        <v>49</v>
      </c>
      <c r="U28" s="1037"/>
      <c r="V28" s="182">
        <f t="shared" si="22"/>
        <v>0.22500000000000001</v>
      </c>
      <c r="W28" s="183">
        <f t="shared" si="19"/>
        <v>-0.22544171714554445</v>
      </c>
      <c r="AF28" s="160">
        <f t="shared" si="1"/>
        <v>11429</v>
      </c>
      <c r="AG28" s="161">
        <f t="shared" si="2"/>
        <v>0.124</v>
      </c>
      <c r="AH28" s="162">
        <f t="shared" si="3"/>
        <v>0.44450000000000001</v>
      </c>
      <c r="AI28" s="161"/>
      <c r="AJ28" s="163">
        <f t="shared" si="6"/>
        <v>11550.264499999999</v>
      </c>
      <c r="AK28" s="200">
        <f>AJ28+AJ27+AJ26</f>
        <v>25365.147574999999</v>
      </c>
      <c r="AL28" s="200">
        <f t="shared" si="4"/>
        <v>129</v>
      </c>
      <c r="AM28" s="1037"/>
      <c r="AN28" s="182">
        <f t="shared" si="23"/>
        <v>0.26470588235294118</v>
      </c>
      <c r="AO28" s="183">
        <f t="shared" si="20"/>
        <v>-0.16542499079875028</v>
      </c>
      <c r="AR28" s="222" t="s">
        <v>922</v>
      </c>
      <c r="BO28" t="s">
        <v>932</v>
      </c>
      <c r="BP28">
        <f t="shared" si="0"/>
        <v>2017.5833333333314</v>
      </c>
      <c r="BQ28" s="194">
        <v>52056.800000000003</v>
      </c>
      <c r="BS28" s="95">
        <f t="shared" si="24"/>
        <v>-2.7842465689469281E-2</v>
      </c>
      <c r="BZ28" s="195" t="s">
        <v>932</v>
      </c>
      <c r="CA28" s="196">
        <v>45161.4</v>
      </c>
      <c r="CC28" s="95">
        <f t="shared" si="25"/>
        <v>0.1118732365931842</v>
      </c>
    </row>
    <row r="29" spans="1:81" ht="14.4" x14ac:dyDescent="0.3">
      <c r="A29" s="981"/>
      <c r="B29" s="159" t="s">
        <v>905</v>
      </c>
      <c r="C29" s="160">
        <f>C28+C27</f>
        <v>10500</v>
      </c>
      <c r="D29" s="161">
        <f>D28+D27</f>
        <v>0.112</v>
      </c>
      <c r="E29" s="162">
        <f>E28+E27</f>
        <v>0.40600000000000003</v>
      </c>
      <c r="F29" s="161"/>
      <c r="G29" s="163">
        <f t="shared" si="5"/>
        <v>10610.726000000001</v>
      </c>
      <c r="H29" s="200">
        <f>G29+G26</f>
        <v>23155.504778000002</v>
      </c>
      <c r="I29" s="200">
        <f>I28+I27</f>
        <v>80</v>
      </c>
      <c r="J29" s="1037"/>
      <c r="K29" s="209">
        <f t="shared" si="21"/>
        <v>0.29032258064516131</v>
      </c>
      <c r="L29" s="183">
        <f t="shared" si="18"/>
        <v>-0.15965941053309504</v>
      </c>
      <c r="N29" s="160">
        <f>N28+N27</f>
        <v>1117</v>
      </c>
      <c r="O29" s="161">
        <f>O28+O27</f>
        <v>1.455E-2</v>
      </c>
      <c r="P29" s="162">
        <f>P28+P27</f>
        <v>4.6519999999999999E-2</v>
      </c>
      <c r="Q29" s="161"/>
      <c r="R29" s="163">
        <f t="shared" si="7"/>
        <v>1129.7352000000001</v>
      </c>
      <c r="S29" s="200">
        <f>R29+R26</f>
        <v>2209.642797</v>
      </c>
      <c r="T29" s="200">
        <f>T28+T27</f>
        <v>55</v>
      </c>
      <c r="U29" s="1037"/>
      <c r="V29" s="182">
        <f t="shared" si="22"/>
        <v>0.14583333333333334</v>
      </c>
      <c r="W29" s="183">
        <f t="shared" si="19"/>
        <v>-0.22504950487714501</v>
      </c>
      <c r="AF29" s="160">
        <f t="shared" si="1"/>
        <v>11617</v>
      </c>
      <c r="AG29" s="161">
        <f t="shared" si="2"/>
        <v>0.12655</v>
      </c>
      <c r="AH29" s="162">
        <f t="shared" si="3"/>
        <v>0.45252000000000003</v>
      </c>
      <c r="AI29" s="161"/>
      <c r="AJ29" s="163">
        <f t="shared" si="6"/>
        <v>11740.4612</v>
      </c>
      <c r="AK29" s="200">
        <f>AJ29+AJ26</f>
        <v>25365.147574999999</v>
      </c>
      <c r="AL29" s="200">
        <f t="shared" si="4"/>
        <v>135</v>
      </c>
      <c r="AM29" s="1037"/>
      <c r="AN29" s="182">
        <f t="shared" si="23"/>
        <v>0.22727272727272727</v>
      </c>
      <c r="AO29" s="183">
        <f t="shared" si="20"/>
        <v>-0.16642760503377749</v>
      </c>
      <c r="AV29" s="107"/>
      <c r="BO29" t="s">
        <v>933</v>
      </c>
      <c r="BP29">
        <f t="shared" si="0"/>
        <v>2017.6666666666647</v>
      </c>
      <c r="BQ29" s="194">
        <v>65984.7</v>
      </c>
      <c r="BS29" s="95">
        <f t="shared" si="24"/>
        <v>0.3300712156243007</v>
      </c>
      <c r="BZ29" s="195" t="s">
        <v>933</v>
      </c>
      <c r="CA29" s="196">
        <v>44869.2</v>
      </c>
      <c r="CC29" s="95">
        <f t="shared" si="25"/>
        <v>-3.1580492268909105E-2</v>
      </c>
    </row>
    <row r="30" spans="1:81" ht="14.4" x14ac:dyDescent="0.3">
      <c r="A30" s="981"/>
      <c r="B30" s="159" t="s">
        <v>909</v>
      </c>
      <c r="C30" s="160">
        <f>C29+C26</f>
        <v>22906.5</v>
      </c>
      <c r="D30" s="202">
        <f>D29+D26</f>
        <v>0.270401</v>
      </c>
      <c r="E30" s="203">
        <f>E29+E26</f>
        <v>0.91107000000000005</v>
      </c>
      <c r="F30" s="202"/>
      <c r="G30" s="163">
        <f t="shared" si="5"/>
        <v>23155.504778000002</v>
      </c>
      <c r="H30" s="200">
        <f>G30</f>
        <v>23155.504778000002</v>
      </c>
      <c r="I30" s="200">
        <f>I29+I26</f>
        <v>540</v>
      </c>
      <c r="J30" s="1037"/>
      <c r="K30" s="209">
        <f t="shared" si="21"/>
        <v>0.20535714285714285</v>
      </c>
      <c r="L30" s="183">
        <f t="shared" si="18"/>
        <v>1.201474363489511E-2</v>
      </c>
      <c r="N30" s="160">
        <f>N29+N26</f>
        <v>2184.85</v>
      </c>
      <c r="O30" s="202">
        <f>O29+O26</f>
        <v>4.7669000000000003E-2</v>
      </c>
      <c r="P30" s="203">
        <f>P29+P26</f>
        <v>8.8521000000000002E-2</v>
      </c>
      <c r="Q30" s="202"/>
      <c r="R30" s="163">
        <f t="shared" si="7"/>
        <v>2209.6427969999995</v>
      </c>
      <c r="S30" s="200">
        <f>R30</f>
        <v>2209.6427969999995</v>
      </c>
      <c r="T30" s="200">
        <f>T29+T26</f>
        <v>177</v>
      </c>
      <c r="U30" s="1037"/>
      <c r="V30" s="182">
        <f t="shared" si="22"/>
        <v>9.9378881987577633E-2</v>
      </c>
      <c r="W30" s="183">
        <f t="shared" si="19"/>
        <v>-0.1534072081350977</v>
      </c>
      <c r="AF30" s="160">
        <f t="shared" si="1"/>
        <v>25091.35</v>
      </c>
      <c r="AG30" s="161">
        <f t="shared" si="2"/>
        <v>0.31807000000000002</v>
      </c>
      <c r="AH30" s="162">
        <f t="shared" si="3"/>
        <v>0.99959100000000001</v>
      </c>
      <c r="AI30" s="161"/>
      <c r="AJ30" s="163">
        <f t="shared" si="6"/>
        <v>25365.147574999999</v>
      </c>
      <c r="AK30" s="200">
        <f>AJ30</f>
        <v>25365.147574999999</v>
      </c>
      <c r="AL30" s="200">
        <f t="shared" si="4"/>
        <v>717</v>
      </c>
      <c r="AM30" s="1037"/>
      <c r="AN30" s="182">
        <f t="shared" si="23"/>
        <v>0.17733990147783252</v>
      </c>
      <c r="AO30" s="183">
        <f t="shared" si="20"/>
        <v>-4.9231682178763553E-3</v>
      </c>
      <c r="AQ30" s="16" t="s">
        <v>934</v>
      </c>
      <c r="AV30" s="107"/>
      <c r="BO30" t="s">
        <v>935</v>
      </c>
      <c r="BP30">
        <f t="shared" si="0"/>
        <v>2017.749999999998</v>
      </c>
      <c r="BQ30" s="194">
        <v>62654.6</v>
      </c>
      <c r="BS30" s="95">
        <f t="shared" si="24"/>
        <v>0.31556557817644293</v>
      </c>
      <c r="BZ30" s="195" t="s">
        <v>935</v>
      </c>
      <c r="CA30" s="196">
        <v>55768.6</v>
      </c>
      <c r="CC30" s="95">
        <f t="shared" si="25"/>
        <v>0.13449966434078561</v>
      </c>
    </row>
    <row r="31" spans="1:81" ht="14.4" x14ac:dyDescent="0.3">
      <c r="A31" s="981"/>
      <c r="B31" s="159" t="s">
        <v>10</v>
      </c>
      <c r="C31" s="160">
        <v>2080</v>
      </c>
      <c r="D31" s="161">
        <f>26.4/1000</f>
        <v>2.64E-2</v>
      </c>
      <c r="E31" s="162">
        <f>84.6/1000</f>
        <v>8.4599999999999995E-2</v>
      </c>
      <c r="F31" s="161"/>
      <c r="G31" s="163">
        <f t="shared" si="5"/>
        <v>2103.1581999999999</v>
      </c>
      <c r="H31" s="200">
        <f>G30+G31</f>
        <v>25258.662978</v>
      </c>
      <c r="I31" s="200">
        <v>112</v>
      </c>
      <c r="J31" s="1037"/>
      <c r="K31" s="209">
        <f t="shared" si="21"/>
        <v>0.6</v>
      </c>
      <c r="L31" s="183">
        <f t="shared" si="18"/>
        <v>1.8736265290550832E-2</v>
      </c>
      <c r="N31" s="160">
        <v>5740</v>
      </c>
      <c r="O31" s="161">
        <f>75.3/1000</f>
        <v>7.5299999999999992E-2</v>
      </c>
      <c r="P31" s="162">
        <f>238/1000</f>
        <v>0.23799999999999999</v>
      </c>
      <c r="Q31" s="161"/>
      <c r="R31" s="163">
        <f t="shared" si="7"/>
        <v>5805.1783999999998</v>
      </c>
      <c r="S31" s="200">
        <f>R30+R31</f>
        <v>8014.8211969999993</v>
      </c>
      <c r="T31" s="200">
        <v>356</v>
      </c>
      <c r="U31" s="1037"/>
      <c r="V31" s="182">
        <f t="shared" si="22"/>
        <v>-0.30604288499025339</v>
      </c>
      <c r="W31" s="183">
        <f t="shared" si="19"/>
        <v>-6.5400114788844069E-2</v>
      </c>
      <c r="AF31" s="160">
        <f t="shared" si="1"/>
        <v>7820</v>
      </c>
      <c r="AG31" s="161">
        <f t="shared" si="2"/>
        <v>0.10169999999999998</v>
      </c>
      <c r="AH31" s="162">
        <f t="shared" si="3"/>
        <v>0.3226</v>
      </c>
      <c r="AI31" s="161"/>
      <c r="AJ31" s="163">
        <f t="shared" si="6"/>
        <v>7908.3365999999996</v>
      </c>
      <c r="AK31" s="200">
        <f>AJ30+AJ31</f>
        <v>33273.484174999998</v>
      </c>
      <c r="AL31" s="200">
        <f t="shared" si="4"/>
        <v>468</v>
      </c>
      <c r="AM31" s="1037"/>
      <c r="AN31" s="182">
        <f t="shared" si="23"/>
        <v>-0.19725557461406518</v>
      </c>
      <c r="AO31" s="183">
        <f t="shared" si="20"/>
        <v>-4.4411698155312297E-2</v>
      </c>
      <c r="AQ31" s="16" t="s">
        <v>847</v>
      </c>
      <c r="AV31" s="107"/>
      <c r="BO31" t="s">
        <v>936</v>
      </c>
      <c r="BP31">
        <f t="shared" si="0"/>
        <v>2017.8333333333312</v>
      </c>
      <c r="BQ31" s="194">
        <v>56669.9</v>
      </c>
      <c r="BS31" s="95">
        <f t="shared" si="24"/>
        <v>7.6564031641577879E-2</v>
      </c>
      <c r="BZ31" s="195" t="s">
        <v>936</v>
      </c>
      <c r="CA31" s="196">
        <v>45789.1</v>
      </c>
      <c r="CC31" s="95">
        <f t="shared" si="25"/>
        <v>0.11639343462911315</v>
      </c>
    </row>
    <row r="32" spans="1:81" ht="14.4" x14ac:dyDescent="0.3">
      <c r="A32" s="981"/>
      <c r="B32" s="159" t="s">
        <v>920</v>
      </c>
      <c r="C32" s="160">
        <v>0</v>
      </c>
      <c r="D32" s="161">
        <v>0</v>
      </c>
      <c r="E32" s="162">
        <v>0</v>
      </c>
      <c r="F32" s="161"/>
      <c r="G32" s="163">
        <f t="shared" si="5"/>
        <v>0</v>
      </c>
      <c r="H32" s="200">
        <f>SUM(G30:G32)</f>
        <v>25258.662978</v>
      </c>
      <c r="I32" s="200">
        <v>0</v>
      </c>
      <c r="J32" s="1037"/>
      <c r="K32" s="209" t="e">
        <f t="shared" si="21"/>
        <v>#DIV/0!</v>
      </c>
      <c r="L32" s="183" t="e">
        <f t="shared" si="18"/>
        <v>#DIV/0!</v>
      </c>
      <c r="N32" s="160">
        <v>837</v>
      </c>
      <c r="O32" s="161">
        <f>9.9/1000</f>
        <v>9.9000000000000008E-3</v>
      </c>
      <c r="P32" s="162">
        <f>36.2/1000</f>
        <v>3.6200000000000003E-2</v>
      </c>
      <c r="Q32" s="161"/>
      <c r="R32" s="163">
        <f t="shared" si="7"/>
        <v>846.87019999999995</v>
      </c>
      <c r="S32" s="200">
        <f>SUM(R30:R32)</f>
        <v>8861.6913969999987</v>
      </c>
      <c r="T32" s="200">
        <v>5375</v>
      </c>
      <c r="U32" s="1037"/>
      <c r="V32" s="182">
        <f t="shared" si="22"/>
        <v>-4.1376850365614413E-2</v>
      </c>
      <c r="W32" s="183">
        <f t="shared" si="19"/>
        <v>-0.80229762106807867</v>
      </c>
      <c r="AF32" s="160">
        <f t="shared" si="1"/>
        <v>837</v>
      </c>
      <c r="AG32" s="161">
        <f t="shared" si="2"/>
        <v>9.9000000000000008E-3</v>
      </c>
      <c r="AH32" s="162">
        <f t="shared" si="3"/>
        <v>3.6200000000000003E-2</v>
      </c>
      <c r="AI32" s="161"/>
      <c r="AJ32" s="163">
        <f t="shared" si="6"/>
        <v>846.87019999999995</v>
      </c>
      <c r="AK32" s="200">
        <f>SUM(AJ30:AJ32)</f>
        <v>34120.354374999995</v>
      </c>
      <c r="AL32" s="200">
        <f t="shared" si="4"/>
        <v>5375</v>
      </c>
      <c r="AM32" s="1037"/>
      <c r="AN32" s="182">
        <f t="shared" si="23"/>
        <v>-4.1376850365614413E-2</v>
      </c>
      <c r="AO32" s="183">
        <f t="shared" si="20"/>
        <v>-0.80229762106807867</v>
      </c>
      <c r="AR32" t="s">
        <v>899</v>
      </c>
      <c r="AS32" t="s">
        <v>905</v>
      </c>
      <c r="AT32" s="16" t="s">
        <v>937</v>
      </c>
      <c r="AU32" t="s">
        <v>322</v>
      </c>
      <c r="AV32" s="107"/>
      <c r="BO32" t="s">
        <v>938</v>
      </c>
      <c r="BP32">
        <f t="shared" si="0"/>
        <v>2017.9166666666645</v>
      </c>
      <c r="BQ32" s="194">
        <v>66853.399999999994</v>
      </c>
      <c r="BS32" s="95">
        <f t="shared" si="24"/>
        <v>0.35189559084033672</v>
      </c>
      <c r="BZ32" s="195" t="s">
        <v>938</v>
      </c>
      <c r="CA32" s="196">
        <v>43211.7</v>
      </c>
      <c r="CC32" s="95">
        <f t="shared" si="25"/>
        <v>4.0852015020823453E-2</v>
      </c>
    </row>
    <row r="33" spans="1:81" ht="15" thickBot="1" x14ac:dyDescent="0.35">
      <c r="A33" s="1036"/>
      <c r="B33" s="159" t="s">
        <v>922</v>
      </c>
      <c r="C33" s="168">
        <v>646</v>
      </c>
      <c r="D33" s="169">
        <f>6.56/1000</f>
        <v>6.5599999999999999E-3</v>
      </c>
      <c r="E33" s="170">
        <f>22.8/1000</f>
        <v>2.2800000000000001E-2</v>
      </c>
      <c r="F33" s="169"/>
      <c r="G33" s="204">
        <f t="shared" si="5"/>
        <v>652.22568000000001</v>
      </c>
      <c r="H33" s="200">
        <f>SUM(G30:G33)</f>
        <v>25910.888658</v>
      </c>
      <c r="I33" s="200">
        <v>31</v>
      </c>
      <c r="J33" s="1037"/>
      <c r="K33" s="210">
        <f t="shared" si="21"/>
        <v>3.3333333333333333E-2</v>
      </c>
      <c r="L33" s="187">
        <f t="shared" si="18"/>
        <v>-0.17322835783529236</v>
      </c>
      <c r="N33" s="168">
        <v>1170</v>
      </c>
      <c r="O33" s="169">
        <f>7.2/1000</f>
        <v>7.1999999999999998E-3</v>
      </c>
      <c r="P33" s="170">
        <f>36.2/1000</f>
        <v>3.6200000000000003E-2</v>
      </c>
      <c r="Q33" s="169"/>
      <c r="R33" s="204">
        <f t="shared" si="7"/>
        <v>1179.7946000000002</v>
      </c>
      <c r="S33" s="200">
        <f>SUM(R30:R33)</f>
        <v>10041.485997</v>
      </c>
      <c r="T33" s="200">
        <v>30</v>
      </c>
      <c r="U33" s="1037"/>
      <c r="V33" s="186">
        <f t="shared" si="22"/>
        <v>-0.73684210526315785</v>
      </c>
      <c r="W33" s="187">
        <f t="shared" si="19"/>
        <v>1.1442355390383909E-3</v>
      </c>
      <c r="AF33" s="168">
        <f t="shared" si="1"/>
        <v>1816</v>
      </c>
      <c r="AG33" s="169">
        <f t="shared" si="2"/>
        <v>1.376E-2</v>
      </c>
      <c r="AH33" s="170">
        <f t="shared" si="3"/>
        <v>5.9000000000000004E-2</v>
      </c>
      <c r="AI33" s="169"/>
      <c r="AJ33" s="204">
        <f t="shared" si="6"/>
        <v>1832.02028</v>
      </c>
      <c r="AK33" s="200">
        <f>SUM(AJ30:AJ33)</f>
        <v>35952.374654999992</v>
      </c>
      <c r="AL33" s="200">
        <f t="shared" si="4"/>
        <v>61</v>
      </c>
      <c r="AM33" s="1037"/>
      <c r="AN33" s="186">
        <f t="shared" si="23"/>
        <v>-0.57638888888888884</v>
      </c>
      <c r="AO33" s="187">
        <f t="shared" si="20"/>
        <v>-6.8777729606422505E-2</v>
      </c>
      <c r="AQ33">
        <v>2017</v>
      </c>
      <c r="AR33" s="107">
        <f>AO26</f>
        <v>0.19450568855047948</v>
      </c>
      <c r="AS33" s="107">
        <f>AO29</f>
        <v>-0.16642760503377749</v>
      </c>
      <c r="AT33" s="107">
        <f>AO30</f>
        <v>-4.9231682178763553E-3</v>
      </c>
      <c r="AU33" s="107">
        <f>AO34</f>
        <v>-0.10158177291492375</v>
      </c>
      <c r="AV33" s="107"/>
      <c r="BO33" t="s">
        <v>939</v>
      </c>
      <c r="BP33">
        <f t="shared" si="0"/>
        <v>2017.9999999999977</v>
      </c>
      <c r="BQ33" s="194">
        <v>51372.5</v>
      </c>
      <c r="BS33" s="95">
        <f t="shared" si="24"/>
        <v>0.10605274432844536</v>
      </c>
      <c r="BZ33" s="195" t="s">
        <v>939</v>
      </c>
      <c r="CA33" s="196">
        <v>48365.2</v>
      </c>
      <c r="CC33" s="95">
        <f t="shared" si="25"/>
        <v>0.28311437485408658</v>
      </c>
    </row>
    <row r="34" spans="1:81" ht="15" thickBot="1" x14ac:dyDescent="0.35">
      <c r="A34" s="172" t="s">
        <v>3</v>
      </c>
      <c r="B34" s="173">
        <f>A22</f>
        <v>2017</v>
      </c>
      <c r="C34" s="174">
        <f>SUM(C30:C33)</f>
        <v>25632.5</v>
      </c>
      <c r="D34" s="205">
        <f>SUM(D30:D33)</f>
        <v>0.30336099999999999</v>
      </c>
      <c r="E34" s="205">
        <f>SUM(E30:E33)</f>
        <v>1.01847</v>
      </c>
      <c r="F34" s="867"/>
      <c r="G34" s="175">
        <f t="shared" si="5"/>
        <v>25910.888658</v>
      </c>
      <c r="H34" s="175">
        <f>H33</f>
        <v>25910.888658</v>
      </c>
      <c r="I34" s="175">
        <f>SUM(I30:I33)</f>
        <v>683</v>
      </c>
      <c r="J34" s="1038"/>
      <c r="K34" s="190">
        <f t="shared" si="21"/>
        <v>0.24635036496350365</v>
      </c>
      <c r="L34" s="191">
        <f t="shared" si="18"/>
        <v>6.8752855649656195E-3</v>
      </c>
      <c r="N34" s="174">
        <f>SUM(N30:N33)</f>
        <v>9931.85</v>
      </c>
      <c r="O34" s="205">
        <f>SUM(O30:O33)</f>
        <v>0.140069</v>
      </c>
      <c r="P34" s="205">
        <f>SUM(P30:P33)</f>
        <v>0.39892100000000003</v>
      </c>
      <c r="Q34" s="867"/>
      <c r="R34" s="175">
        <f t="shared" si="7"/>
        <v>10041.485997</v>
      </c>
      <c r="S34" s="175">
        <f>S33</f>
        <v>10041.485997</v>
      </c>
      <c r="T34" s="175">
        <f>SUM(T30:T33)</f>
        <v>5938</v>
      </c>
      <c r="U34" s="1038"/>
      <c r="V34" s="190">
        <f t="shared" si="22"/>
        <v>-7.1462079749804536E-2</v>
      </c>
      <c r="W34" s="191">
        <f t="shared" si="19"/>
        <v>-0.29698476109718996</v>
      </c>
      <c r="AF34" s="174">
        <f t="shared" si="1"/>
        <v>35564.35</v>
      </c>
      <c r="AG34" s="174">
        <f t="shared" si="2"/>
        <v>0.44342999999999999</v>
      </c>
      <c r="AH34" s="174">
        <f t="shared" si="3"/>
        <v>1.4173910000000001</v>
      </c>
      <c r="AI34" s="449"/>
      <c r="AJ34" s="175">
        <f t="shared" si="6"/>
        <v>35952.374654999992</v>
      </c>
      <c r="AK34" s="175">
        <f>AK33</f>
        <v>35952.374654999992</v>
      </c>
      <c r="AL34" s="175">
        <f t="shared" si="4"/>
        <v>6621</v>
      </c>
      <c r="AM34" s="1038"/>
      <c r="AN34" s="190">
        <f t="shared" si="23"/>
        <v>-4.6377646550482501E-2</v>
      </c>
      <c r="AO34" s="191">
        <f t="shared" si="20"/>
        <v>-0.10158177291492375</v>
      </c>
      <c r="AQ34">
        <v>2018</v>
      </c>
      <c r="AR34" s="107">
        <f>AO39</f>
        <v>6.6143747914344159E-2</v>
      </c>
      <c r="AS34" s="107">
        <f>AO42</f>
        <v>0.23491809444419443</v>
      </c>
      <c r="AT34" s="107">
        <f>AO43</f>
        <v>0.14426230256221947</v>
      </c>
      <c r="AU34" s="107">
        <f>AO47</f>
        <v>0.15505645364164353</v>
      </c>
      <c r="BO34" t="s">
        <v>940</v>
      </c>
      <c r="BP34">
        <f t="shared" si="0"/>
        <v>2018.083333333331</v>
      </c>
      <c r="BQ34" s="194">
        <v>60322.400000000001</v>
      </c>
      <c r="BS34" s="95">
        <f t="shared" si="24"/>
        <v>0.35547121648252133</v>
      </c>
      <c r="BZ34" s="195" t="s">
        <v>940</v>
      </c>
      <c r="CA34" s="196">
        <v>46196.800000000003</v>
      </c>
      <c r="CC34" s="95">
        <f t="shared" si="25"/>
        <v>0.38133454532406813</v>
      </c>
    </row>
    <row r="35" spans="1:81" ht="15" customHeight="1" x14ac:dyDescent="0.3">
      <c r="A35" s="981">
        <v>2018</v>
      </c>
      <c r="B35" s="151" t="s">
        <v>891</v>
      </c>
      <c r="C35" s="152">
        <v>54.4</v>
      </c>
      <c r="D35" s="153">
        <v>6.9999999999999999E-4</v>
      </c>
      <c r="E35" s="154">
        <v>2.2000000000000001E-3</v>
      </c>
      <c r="F35" s="153"/>
      <c r="G35" s="155">
        <f t="shared" si="5"/>
        <v>55.002599999999994</v>
      </c>
      <c r="H35" s="199">
        <f>G35</f>
        <v>55.002599999999994</v>
      </c>
      <c r="I35" s="199">
        <v>2</v>
      </c>
      <c r="J35" s="983" t="s">
        <v>828</v>
      </c>
      <c r="K35" s="208">
        <f t="shared" si="21"/>
        <v>0</v>
      </c>
      <c r="L35" s="179">
        <f t="shared" si="18"/>
        <v>0.58079286062618507</v>
      </c>
      <c r="N35" s="152">
        <v>0</v>
      </c>
      <c r="O35" s="153">
        <v>0</v>
      </c>
      <c r="P35" s="154">
        <v>0</v>
      </c>
      <c r="Q35" s="153"/>
      <c r="R35" s="155">
        <f t="shared" si="7"/>
        <v>0</v>
      </c>
      <c r="S35" s="199">
        <f>R35</f>
        <v>0</v>
      </c>
      <c r="T35" s="199">
        <v>0</v>
      </c>
      <c r="U35" s="983" t="s">
        <v>828</v>
      </c>
      <c r="V35" s="178">
        <f t="shared" si="22"/>
        <v>-1</v>
      </c>
      <c r="W35" s="179">
        <f t="shared" si="19"/>
        <v>-1</v>
      </c>
      <c r="AF35" s="152">
        <f t="shared" si="1"/>
        <v>54.4</v>
      </c>
      <c r="AG35" s="153">
        <f t="shared" si="2"/>
        <v>6.9999999999999999E-4</v>
      </c>
      <c r="AH35" s="154">
        <f>P35+E35</f>
        <v>2.2000000000000001E-3</v>
      </c>
      <c r="AI35" s="153"/>
      <c r="AJ35" s="155">
        <f t="shared" si="6"/>
        <v>55.002599999999994</v>
      </c>
      <c r="AK35" s="199">
        <f>AJ35</f>
        <v>55.002599999999994</v>
      </c>
      <c r="AL35" s="199">
        <f t="shared" si="4"/>
        <v>2</v>
      </c>
      <c r="AM35" s="983" t="s">
        <v>828</v>
      </c>
      <c r="AN35" s="178">
        <f t="shared" si="23"/>
        <v>-0.33333333333333331</v>
      </c>
      <c r="AO35" s="179">
        <f t="shared" si="20"/>
        <v>0.25444442906238857</v>
      </c>
      <c r="AQ35">
        <v>2019</v>
      </c>
      <c r="AR35" s="107">
        <f>AO52</f>
        <v>0.35562797137693192</v>
      </c>
      <c r="AS35" s="107">
        <f>AO55</f>
        <v>0.32678506380264771</v>
      </c>
      <c r="AT35" s="107">
        <f>AO56</f>
        <v>0.34122011514780265</v>
      </c>
      <c r="AU35" s="107">
        <f>AO60</f>
        <v>0.22989198096049024</v>
      </c>
      <c r="BO35" t="s">
        <v>941</v>
      </c>
      <c r="BP35">
        <f t="shared" si="0"/>
        <v>2018.1666666666642</v>
      </c>
      <c r="BQ35" s="194">
        <v>57062.7</v>
      </c>
      <c r="BS35" s="95">
        <f t="shared" si="24"/>
        <v>2.1552557520032548E-2</v>
      </c>
      <c r="BZ35" s="195" t="s">
        <v>941</v>
      </c>
      <c r="CA35" s="196">
        <v>45685</v>
      </c>
      <c r="CC35" s="95">
        <f t="shared" si="25"/>
        <v>0.15291338701903065</v>
      </c>
    </row>
    <row r="36" spans="1:81" ht="14.4" x14ac:dyDescent="0.3">
      <c r="A36" s="981"/>
      <c r="B36" s="159" t="s">
        <v>893</v>
      </c>
      <c r="C36" s="160">
        <v>11800</v>
      </c>
      <c r="D36" s="161">
        <v>0.14899999999999999</v>
      </c>
      <c r="E36" s="162">
        <v>0.47699999999999998</v>
      </c>
      <c r="F36" s="161"/>
      <c r="G36" s="163">
        <f t="shared" si="5"/>
        <v>11930.577000000001</v>
      </c>
      <c r="H36" s="200">
        <f>G36+G35</f>
        <v>11985.579600000001</v>
      </c>
      <c r="I36" s="200">
        <v>263</v>
      </c>
      <c r="J36" s="984"/>
      <c r="K36" s="209">
        <f t="shared" si="21"/>
        <v>-5.7347670250896057E-2</v>
      </c>
      <c r="L36" s="183">
        <f t="shared" si="18"/>
        <v>0.10278860768163721</v>
      </c>
      <c r="N36" s="160">
        <v>86.7</v>
      </c>
      <c r="O36" s="161">
        <v>1.0399999999999999E-3</v>
      </c>
      <c r="P36" s="162">
        <v>3.48E-3</v>
      </c>
      <c r="Q36" s="161"/>
      <c r="R36" s="163">
        <f t="shared" si="7"/>
        <v>87.651320000000013</v>
      </c>
      <c r="S36" s="200">
        <f>R36+R35</f>
        <v>87.651320000000013</v>
      </c>
      <c r="T36" s="200">
        <v>6</v>
      </c>
      <c r="U36" s="984"/>
      <c r="V36" s="182">
        <f t="shared" si="22"/>
        <v>0.2</v>
      </c>
      <c r="W36" s="183">
        <f t="shared" si="19"/>
        <v>2.4870837818415668E-2</v>
      </c>
      <c r="AF36" s="160">
        <f t="shared" si="1"/>
        <v>11886.7</v>
      </c>
      <c r="AG36" s="161">
        <f t="shared" si="2"/>
        <v>0.15004000000000001</v>
      </c>
      <c r="AH36" s="162">
        <f t="shared" si="3"/>
        <v>0.48047999999999996</v>
      </c>
      <c r="AI36" s="161"/>
      <c r="AJ36" s="163">
        <f t="shared" si="6"/>
        <v>12018.22832</v>
      </c>
      <c r="AK36" s="200">
        <f>AJ36+AJ35</f>
        <v>12073.23092</v>
      </c>
      <c r="AL36" s="200">
        <f t="shared" si="4"/>
        <v>269</v>
      </c>
      <c r="AM36" s="984"/>
      <c r="AN36" s="182">
        <f t="shared" si="23"/>
        <v>-5.2816901408450703E-2</v>
      </c>
      <c r="AO36" s="183">
        <f t="shared" si="20"/>
        <v>0.10217747301618076</v>
      </c>
      <c r="AQ36">
        <v>2020</v>
      </c>
      <c r="AR36" s="107">
        <f>AO65</f>
        <v>0.1084006533125252</v>
      </c>
      <c r="AS36" s="107">
        <f>AO68</f>
        <v>-0.95455951071173983</v>
      </c>
      <c r="AT36" s="107">
        <f>AO69</f>
        <v>-0.41686358364648496</v>
      </c>
      <c r="AU36" s="107">
        <f>AO73</f>
        <v>-0.26435214805447493</v>
      </c>
      <c r="BO36" t="s">
        <v>942</v>
      </c>
      <c r="BP36">
        <f t="shared" ref="BP36:BP64" si="26">BP35+$BP$2</f>
        <v>2018.2499999999975</v>
      </c>
      <c r="BQ36" s="194">
        <v>62465.7</v>
      </c>
      <c r="BS36" s="95">
        <f t="shared" si="24"/>
        <v>0.20351078648784549</v>
      </c>
      <c r="BZ36" s="195" t="s">
        <v>942</v>
      </c>
      <c r="CA36" s="196">
        <v>44121.1</v>
      </c>
      <c r="CC36" s="95">
        <f t="shared" si="25"/>
        <v>6.7699977010659759E-2</v>
      </c>
    </row>
    <row r="37" spans="1:81" ht="14.4" x14ac:dyDescent="0.3">
      <c r="A37" s="981"/>
      <c r="B37" s="159" t="s">
        <v>895</v>
      </c>
      <c r="C37" s="160">
        <v>1330</v>
      </c>
      <c r="D37" s="161">
        <v>1.7600000000000001E-2</v>
      </c>
      <c r="E37" s="162">
        <v>5.6599999999999998E-2</v>
      </c>
      <c r="F37" s="161"/>
      <c r="G37" s="163">
        <f t="shared" si="5"/>
        <v>1345.4918</v>
      </c>
      <c r="H37" s="200">
        <f>G37+G36+G35</f>
        <v>13331.071400000001</v>
      </c>
      <c r="I37" s="200">
        <v>161</v>
      </c>
      <c r="J37" s="984"/>
      <c r="K37" s="209">
        <f t="shared" si="21"/>
        <v>-7.4712643678160925E-2</v>
      </c>
      <c r="L37" s="183">
        <f t="shared" si="18"/>
        <v>-0.17386910249157195</v>
      </c>
      <c r="N37" s="160">
        <v>21.4</v>
      </c>
      <c r="O37" s="161">
        <v>2.8699999999999998E-4</v>
      </c>
      <c r="P37" s="162">
        <v>9.1600000000000004E-4</v>
      </c>
      <c r="Q37" s="161"/>
      <c r="R37" s="163">
        <f t="shared" si="7"/>
        <v>21.650776</v>
      </c>
      <c r="S37" s="200">
        <f>R37+R36+R35</f>
        <v>109.30209600000001</v>
      </c>
      <c r="T37" s="200">
        <v>5</v>
      </c>
      <c r="U37" s="984"/>
      <c r="V37" s="182">
        <f t="shared" si="22"/>
        <v>-0.375</v>
      </c>
      <c r="W37" s="183">
        <f t="shared" si="19"/>
        <v>-0.68429744175190355</v>
      </c>
      <c r="AF37" s="160">
        <f t="shared" si="1"/>
        <v>1351.4</v>
      </c>
      <c r="AG37" s="161">
        <f t="shared" si="2"/>
        <v>1.7887E-2</v>
      </c>
      <c r="AH37" s="162">
        <f t="shared" si="3"/>
        <v>5.7515999999999998E-2</v>
      </c>
      <c r="AI37" s="161"/>
      <c r="AJ37" s="163">
        <f t="shared" si="6"/>
        <v>1367.142576</v>
      </c>
      <c r="AK37" s="200">
        <f>AJ37+AJ36+AJ35</f>
        <v>13440.373496</v>
      </c>
      <c r="AL37" s="200">
        <f t="shared" si="4"/>
        <v>166</v>
      </c>
      <c r="AM37" s="984"/>
      <c r="AN37" s="182">
        <f t="shared" si="23"/>
        <v>-8.7912087912087919E-2</v>
      </c>
      <c r="AO37" s="183">
        <f t="shared" si="20"/>
        <v>-0.19449369052257495</v>
      </c>
      <c r="AQ37">
        <v>2021</v>
      </c>
      <c r="AR37" s="107">
        <f>AO78</f>
        <v>-0.20700614341005955</v>
      </c>
      <c r="AS37" s="107">
        <f>AO81</f>
        <v>6.8136475758618289</v>
      </c>
      <c r="AT37" s="107">
        <f>AO82</f>
        <v>6.3334430726805835E-2</v>
      </c>
      <c r="AU37" s="107">
        <f>AO86</f>
        <v>-5.3555306185965657E-2</v>
      </c>
      <c r="BO37" t="s">
        <v>943</v>
      </c>
      <c r="BP37">
        <f t="shared" si="26"/>
        <v>2018.3333333333308</v>
      </c>
      <c r="BQ37" s="194">
        <v>69336.2</v>
      </c>
      <c r="BS37" s="95">
        <f t="shared" si="24"/>
        <v>-5.2483847339594047E-2</v>
      </c>
      <c r="BZ37" s="195" t="s">
        <v>943</v>
      </c>
      <c r="CA37" s="196">
        <v>52417.3</v>
      </c>
      <c r="CC37" s="95">
        <f t="shared" si="25"/>
        <v>6.7629524470995142E-2</v>
      </c>
    </row>
    <row r="38" spans="1:81" ht="14.4" x14ac:dyDescent="0.3">
      <c r="A38" s="981"/>
      <c r="B38" s="159" t="s">
        <v>897</v>
      </c>
      <c r="C38" s="160">
        <v>125</v>
      </c>
      <c r="D38" s="161">
        <v>1.5499999999999999E-3</v>
      </c>
      <c r="E38" s="162">
        <v>5.0200000000000002E-3</v>
      </c>
      <c r="F38" s="161"/>
      <c r="G38" s="163">
        <f t="shared" si="5"/>
        <v>126.3737</v>
      </c>
      <c r="H38" s="200">
        <f>SUM(G35:G38)</f>
        <v>13457.445100000001</v>
      </c>
      <c r="I38" s="200">
        <v>9</v>
      </c>
      <c r="J38" s="984"/>
      <c r="K38" s="209">
        <f t="shared" si="21"/>
        <v>0.8</v>
      </c>
      <c r="L38" s="183">
        <f t="shared" si="18"/>
        <v>1.0134465036538118</v>
      </c>
      <c r="N38" s="160">
        <v>949</v>
      </c>
      <c r="O38" s="161">
        <v>1.15E-2</v>
      </c>
      <c r="P38" s="162">
        <v>3.6999999999999998E-2</v>
      </c>
      <c r="Q38" s="161"/>
      <c r="R38" s="163">
        <f t="shared" si="7"/>
        <v>959.12699999999995</v>
      </c>
      <c r="S38" s="200">
        <f>SUM(R35:R38)</f>
        <v>1068.4290959999998</v>
      </c>
      <c r="T38" s="200">
        <v>112</v>
      </c>
      <c r="U38" s="984"/>
      <c r="V38" s="182">
        <f t="shared" si="22"/>
        <v>3.7037037037037035E-2</v>
      </c>
      <c r="W38" s="183">
        <f t="shared" si="19"/>
        <v>4.6223198034626115E-2</v>
      </c>
      <c r="AF38" s="160">
        <f t="shared" si="1"/>
        <v>1074</v>
      </c>
      <c r="AG38" s="161">
        <f t="shared" si="2"/>
        <v>1.3049999999999999E-2</v>
      </c>
      <c r="AH38" s="162">
        <f t="shared" si="3"/>
        <v>4.2020000000000002E-2</v>
      </c>
      <c r="AI38" s="161"/>
      <c r="AJ38" s="163">
        <f t="shared" si="6"/>
        <v>1085.5006999999998</v>
      </c>
      <c r="AK38" s="200">
        <f>SUM(AJ35:AJ38)</f>
        <v>14525.874196000001</v>
      </c>
      <c r="AL38" s="200">
        <f t="shared" si="4"/>
        <v>121</v>
      </c>
      <c r="AM38" s="984"/>
      <c r="AN38" s="182">
        <f t="shared" si="23"/>
        <v>7.0796460176991149E-2</v>
      </c>
      <c r="AO38" s="183">
        <f t="shared" si="20"/>
        <v>0.10820033765510208</v>
      </c>
      <c r="AQ38">
        <v>2022</v>
      </c>
      <c r="AR38" s="107">
        <f>AO91</f>
        <v>1.1260623638643264E-2</v>
      </c>
      <c r="AS38" s="107">
        <f>AO94</f>
        <v>2.2562225475841875</v>
      </c>
      <c r="AT38" s="107">
        <f>AO95</f>
        <v>0.64648418889639214</v>
      </c>
      <c r="AU38" s="107">
        <f>AO99</f>
        <v>0.47870787764938799</v>
      </c>
      <c r="BO38" t="s">
        <v>944</v>
      </c>
      <c r="BP38">
        <f t="shared" si="26"/>
        <v>2018.416666666664</v>
      </c>
      <c r="BQ38" s="194">
        <v>70628.399999999994</v>
      </c>
      <c r="BS38" s="95">
        <f t="shared" si="24"/>
        <v>0.17777796306332588</v>
      </c>
      <c r="BZ38" s="195" t="s">
        <v>944</v>
      </c>
      <c r="CA38" s="196">
        <v>50449.3</v>
      </c>
      <c r="CC38" s="95">
        <f t="shared" si="25"/>
        <v>0.12169379224475282</v>
      </c>
    </row>
    <row r="39" spans="1:81" ht="14.4" x14ac:dyDescent="0.3">
      <c r="A39" s="981"/>
      <c r="B39" s="193" t="s">
        <v>899</v>
      </c>
      <c r="C39" s="160">
        <f>SUM(C35:C38)</f>
        <v>13309.4</v>
      </c>
      <c r="D39" s="161">
        <f>SUM(D35:D38)</f>
        <v>0.16885</v>
      </c>
      <c r="E39" s="162">
        <f>SUM(E35:E38)</f>
        <v>0.54081999999999997</v>
      </c>
      <c r="F39" s="161"/>
      <c r="G39" s="163">
        <f t="shared" si="5"/>
        <v>13457.445100000001</v>
      </c>
      <c r="H39" s="200">
        <f>SUM(G39)</f>
        <v>13457.445100000001</v>
      </c>
      <c r="I39" s="200">
        <f>SUM(I35:I38)</f>
        <v>435</v>
      </c>
      <c r="J39" s="984"/>
      <c r="K39" s="209">
        <f t="shared" si="21"/>
        <v>-5.434782608695652E-2</v>
      </c>
      <c r="L39" s="183">
        <f t="shared" si="18"/>
        <v>7.2752683658364709E-2</v>
      </c>
      <c r="N39" s="160">
        <f>SUM(N35:N38)</f>
        <v>1057.0999999999999</v>
      </c>
      <c r="O39" s="161">
        <f>SUM(O35:O38)</f>
        <v>1.2827E-2</v>
      </c>
      <c r="P39" s="162">
        <f>SUM(P35:P38)</f>
        <v>4.1395999999999995E-2</v>
      </c>
      <c r="Q39" s="161"/>
      <c r="R39" s="163">
        <f t="shared" si="7"/>
        <v>1068.4290959999998</v>
      </c>
      <c r="S39" s="200">
        <f>SUM(R39)</f>
        <v>1068.4290959999998</v>
      </c>
      <c r="T39" s="200">
        <f>SUM(T35:T38)</f>
        <v>123</v>
      </c>
      <c r="U39" s="984"/>
      <c r="V39" s="182">
        <f t="shared" si="22"/>
        <v>8.1967213114754103E-3</v>
      </c>
      <c r="W39" s="183">
        <f t="shared" si="19"/>
        <v>-1.0629151079117792E-2</v>
      </c>
      <c r="AF39" s="160">
        <f t="shared" si="1"/>
        <v>14366.5</v>
      </c>
      <c r="AG39" s="161">
        <f t="shared" si="2"/>
        <v>0.18167700000000001</v>
      </c>
      <c r="AH39" s="162">
        <f t="shared" si="3"/>
        <v>0.58221599999999996</v>
      </c>
      <c r="AI39" s="161"/>
      <c r="AJ39" s="163">
        <f t="shared" si="6"/>
        <v>14525.874195999999</v>
      </c>
      <c r="AK39" s="200">
        <f>SUM(AJ39)</f>
        <v>14525.874195999999</v>
      </c>
      <c r="AL39" s="200">
        <f t="shared" si="4"/>
        <v>558</v>
      </c>
      <c r="AM39" s="984"/>
      <c r="AN39" s="182">
        <f t="shared" si="23"/>
        <v>-4.1237113402061855E-2</v>
      </c>
      <c r="AO39" s="183">
        <f t="shared" si="20"/>
        <v>6.6143747914344159E-2</v>
      </c>
      <c r="BO39" t="s">
        <v>945</v>
      </c>
      <c r="BP39">
        <f t="shared" si="26"/>
        <v>2018.4999999999973</v>
      </c>
      <c r="BQ39" s="194">
        <v>68925.2</v>
      </c>
      <c r="BS39" s="95">
        <f t="shared" si="24"/>
        <v>0.14879928530474551</v>
      </c>
      <c r="BZ39" s="195" t="s">
        <v>945</v>
      </c>
      <c r="CA39" s="196">
        <v>50469.8</v>
      </c>
      <c r="CC39" s="95">
        <f t="shared" si="25"/>
        <v>0.3057115729398161</v>
      </c>
    </row>
    <row r="40" spans="1:81" ht="14.4" x14ac:dyDescent="0.3">
      <c r="A40" s="981"/>
      <c r="B40" s="159" t="s">
        <v>901</v>
      </c>
      <c r="C40" s="160">
        <v>11.9</v>
      </c>
      <c r="D40" s="161">
        <v>1.46E-4</v>
      </c>
      <c r="E40" s="162">
        <v>4.8099999999999998E-4</v>
      </c>
      <c r="F40" s="161"/>
      <c r="G40" s="163">
        <f t="shared" si="5"/>
        <v>12.031553000000001</v>
      </c>
      <c r="H40" s="200">
        <f>G39+G40</f>
        <v>13469.476653000002</v>
      </c>
      <c r="I40" s="200">
        <v>1</v>
      </c>
      <c r="J40" s="984"/>
      <c r="K40" s="209" t="e">
        <f t="shared" si="21"/>
        <v>#DIV/0!</v>
      </c>
      <c r="L40" s="183" t="e">
        <f t="shared" si="18"/>
        <v>#DIV/0!</v>
      </c>
      <c r="N40" s="160">
        <v>63.2</v>
      </c>
      <c r="O40" s="161">
        <v>8.1499999999999997E-4</v>
      </c>
      <c r="P40" s="162">
        <v>2.5999999999999999E-3</v>
      </c>
      <c r="Q40" s="161"/>
      <c r="R40" s="163">
        <f t="shared" si="7"/>
        <v>63.911820000000006</v>
      </c>
      <c r="S40" s="200">
        <f>R39+R40</f>
        <v>1132.3409159999999</v>
      </c>
      <c r="T40" s="200">
        <v>4</v>
      </c>
      <c r="U40" s="984"/>
      <c r="V40" s="182">
        <f t="shared" si="22"/>
        <v>-0.33333333333333331</v>
      </c>
      <c r="W40" s="183">
        <f t="shared" si="19"/>
        <v>-0.66396987960358933</v>
      </c>
      <c r="AF40" s="160">
        <f t="shared" si="1"/>
        <v>75.100000000000009</v>
      </c>
      <c r="AG40" s="161">
        <f t="shared" si="2"/>
        <v>9.6099999999999994E-4</v>
      </c>
      <c r="AH40" s="162">
        <f t="shared" si="3"/>
        <v>3.081E-3</v>
      </c>
      <c r="AI40" s="161"/>
      <c r="AJ40" s="163">
        <f t="shared" si="6"/>
        <v>75.943373000000008</v>
      </c>
      <c r="AK40" s="200">
        <f>AJ39+AJ40</f>
        <v>14601.817568999999</v>
      </c>
      <c r="AL40" s="200">
        <f t="shared" si="4"/>
        <v>5</v>
      </c>
      <c r="AM40" s="984"/>
      <c r="AN40" s="182">
        <f t="shared" si="23"/>
        <v>-0.16666666666666666</v>
      </c>
      <c r="AO40" s="183">
        <f t="shared" si="20"/>
        <v>-0.60071140561324143</v>
      </c>
      <c r="AQ40" s="16" t="s">
        <v>887</v>
      </c>
      <c r="AU40" s="16"/>
      <c r="BO40" t="s">
        <v>946</v>
      </c>
      <c r="BP40">
        <f t="shared" si="26"/>
        <v>2018.5833333333305</v>
      </c>
      <c r="BQ40" s="194">
        <v>66549.600000000006</v>
      </c>
      <c r="BS40" s="95">
        <f t="shared" si="24"/>
        <v>0.27840358992485137</v>
      </c>
      <c r="BZ40" s="195" t="s">
        <v>946</v>
      </c>
      <c r="CA40" s="196">
        <v>47773</v>
      </c>
      <c r="CC40" s="95">
        <f t="shared" si="25"/>
        <v>5.7828145274504299E-2</v>
      </c>
    </row>
    <row r="41" spans="1:81" ht="14.4" x14ac:dyDescent="0.3">
      <c r="A41" s="981"/>
      <c r="B41" s="159" t="s">
        <v>902</v>
      </c>
      <c r="C41" s="160">
        <v>12300</v>
      </c>
      <c r="D41" s="161">
        <v>0.13200000000000001</v>
      </c>
      <c r="E41" s="162">
        <v>0.47599999999999998</v>
      </c>
      <c r="F41" s="161"/>
      <c r="G41" s="163">
        <f t="shared" si="5"/>
        <v>12429.835999999999</v>
      </c>
      <c r="H41" s="200">
        <f>G41+G40+G39</f>
        <v>25899.312653000001</v>
      </c>
      <c r="I41" s="200">
        <v>83</v>
      </c>
      <c r="J41" s="984"/>
      <c r="K41" s="209">
        <f t="shared" si="21"/>
        <v>3.7499999999999999E-2</v>
      </c>
      <c r="L41" s="183">
        <f t="shared" si="18"/>
        <v>0.17144067239131411</v>
      </c>
      <c r="N41" s="160">
        <v>1970</v>
      </c>
      <c r="O41" s="161">
        <v>2.6200000000000001E-2</v>
      </c>
      <c r="P41" s="162">
        <v>8.3000000000000004E-2</v>
      </c>
      <c r="Q41" s="161"/>
      <c r="R41" s="163">
        <f t="shared" si="7"/>
        <v>1992.7285999999999</v>
      </c>
      <c r="S41" s="200">
        <f>R41+R40+R39</f>
        <v>3125.0695159999996</v>
      </c>
      <c r="T41" s="200">
        <v>62</v>
      </c>
      <c r="U41" s="984"/>
      <c r="V41" s="182">
        <f t="shared" si="22"/>
        <v>0.26530612244897961</v>
      </c>
      <c r="W41" s="183">
        <f t="shared" si="19"/>
        <v>1.1209653462843723</v>
      </c>
      <c r="AF41" s="160">
        <f t="shared" ref="AF41:AF73" si="27">N41+C41</f>
        <v>14270</v>
      </c>
      <c r="AG41" s="161">
        <f t="shared" ref="AG41:AG73" si="28">O41+D41</f>
        <v>0.15820000000000001</v>
      </c>
      <c r="AH41" s="162">
        <f t="shared" ref="AH41:AH73" si="29">P41+E41</f>
        <v>0.55899999999999994</v>
      </c>
      <c r="AI41" s="161"/>
      <c r="AJ41" s="163">
        <f t="shared" si="6"/>
        <v>14422.5646</v>
      </c>
      <c r="AK41" s="200">
        <f>AJ41+AJ40+AJ39</f>
        <v>29024.382168999997</v>
      </c>
      <c r="AL41" s="200">
        <f t="shared" ref="AL41:AL73" si="30">T41+I41</f>
        <v>145</v>
      </c>
      <c r="AM41" s="984"/>
      <c r="AN41" s="182">
        <f t="shared" si="23"/>
        <v>0.12403100775193798</v>
      </c>
      <c r="AO41" s="183">
        <f t="shared" si="20"/>
        <v>0.24867829650134857</v>
      </c>
      <c r="BO41" t="s">
        <v>947</v>
      </c>
      <c r="BP41">
        <f t="shared" si="26"/>
        <v>2018.6666666666638</v>
      </c>
      <c r="BQ41" s="194">
        <v>63039.9</v>
      </c>
      <c r="BS41" s="95">
        <f t="shared" si="24"/>
        <v>-4.4628527522289192E-2</v>
      </c>
      <c r="BZ41" s="195" t="s">
        <v>947</v>
      </c>
      <c r="CA41" s="196">
        <v>48786.8</v>
      </c>
      <c r="CC41" s="95">
        <f t="shared" si="25"/>
        <v>8.7311563388694391E-2</v>
      </c>
    </row>
    <row r="42" spans="1:81" ht="14.4" x14ac:dyDescent="0.3">
      <c r="A42" s="981"/>
      <c r="B42" s="159" t="s">
        <v>905</v>
      </c>
      <c r="C42" s="160">
        <f>C41+C40</f>
        <v>12311.9</v>
      </c>
      <c r="D42" s="161">
        <f>D41+D40</f>
        <v>0.13214600000000001</v>
      </c>
      <c r="E42" s="162">
        <f>E41+E40</f>
        <v>0.47648099999999999</v>
      </c>
      <c r="F42" s="161"/>
      <c r="G42" s="163">
        <f t="shared" si="5"/>
        <v>12441.867553</v>
      </c>
      <c r="H42" s="200">
        <f>G42+G39</f>
        <v>25899.312653000001</v>
      </c>
      <c r="I42" s="200">
        <f>I41+I40</f>
        <v>84</v>
      </c>
      <c r="J42" s="984"/>
      <c r="K42" s="209">
        <f t="shared" si="21"/>
        <v>0.05</v>
      </c>
      <c r="L42" s="183">
        <f t="shared" si="18"/>
        <v>0.1725745771778481</v>
      </c>
      <c r="N42" s="160">
        <f>N41+N40</f>
        <v>2033.2</v>
      </c>
      <c r="O42" s="161">
        <f>O41+O40</f>
        <v>2.7015000000000001E-2</v>
      </c>
      <c r="P42" s="162">
        <f>P41+P40</f>
        <v>8.5600000000000009E-2</v>
      </c>
      <c r="Q42" s="161"/>
      <c r="R42" s="163">
        <f t="shared" si="7"/>
        <v>2056.6404200000002</v>
      </c>
      <c r="S42" s="200">
        <f>R42+R39</f>
        <v>3125.069516</v>
      </c>
      <c r="T42" s="200">
        <f>T41+T40</f>
        <v>66</v>
      </c>
      <c r="U42" s="984"/>
      <c r="V42" s="182">
        <f t="shared" si="22"/>
        <v>0.2</v>
      </c>
      <c r="W42" s="183">
        <f t="shared" si="19"/>
        <v>0.8204623702970395</v>
      </c>
      <c r="AF42" s="160">
        <f t="shared" si="27"/>
        <v>14345.1</v>
      </c>
      <c r="AG42" s="161">
        <f t="shared" si="28"/>
        <v>0.15916100000000002</v>
      </c>
      <c r="AH42" s="162">
        <f t="shared" si="29"/>
        <v>0.56208100000000005</v>
      </c>
      <c r="AI42" s="161"/>
      <c r="AJ42" s="163">
        <f t="shared" si="6"/>
        <v>14498.507973</v>
      </c>
      <c r="AK42" s="200">
        <f>AJ42+AJ39</f>
        <v>29024.382168999997</v>
      </c>
      <c r="AL42" s="200">
        <f t="shared" si="30"/>
        <v>150</v>
      </c>
      <c r="AM42" s="984"/>
      <c r="AN42" s="182">
        <f t="shared" si="23"/>
        <v>0.1111111111111111</v>
      </c>
      <c r="AO42" s="183">
        <f t="shared" si="20"/>
        <v>0.23491809444419443</v>
      </c>
      <c r="AR42" t="s">
        <v>899</v>
      </c>
      <c r="AS42" t="s">
        <v>905</v>
      </c>
      <c r="AT42" t="s">
        <v>937</v>
      </c>
      <c r="AU42" t="s">
        <v>322</v>
      </c>
      <c r="BO42" t="s">
        <v>948</v>
      </c>
      <c r="BP42">
        <f t="shared" si="26"/>
        <v>2018.749999999997</v>
      </c>
      <c r="BQ42" s="194">
        <v>73077.100000000006</v>
      </c>
      <c r="BS42" s="95">
        <f t="shared" si="24"/>
        <v>0.16634852030018557</v>
      </c>
      <c r="BZ42" s="195" t="s">
        <v>948</v>
      </c>
      <c r="CA42" s="196">
        <v>60961.4</v>
      </c>
      <c r="CC42" s="95">
        <f t="shared" si="25"/>
        <v>9.3113329005928128E-2</v>
      </c>
    </row>
    <row r="43" spans="1:81" ht="14.4" x14ac:dyDescent="0.3">
      <c r="A43" s="981"/>
      <c r="B43" s="159" t="s">
        <v>909</v>
      </c>
      <c r="C43" s="160">
        <f>C42+C39</f>
        <v>25621.3</v>
      </c>
      <c r="D43" s="202">
        <f>D42+D39</f>
        <v>0.30099600000000004</v>
      </c>
      <c r="E43" s="203">
        <f>E42+E39</f>
        <v>1.017301</v>
      </c>
      <c r="F43" s="202"/>
      <c r="G43" s="163">
        <f t="shared" si="5"/>
        <v>25899.312652999997</v>
      </c>
      <c r="H43" s="200">
        <f>G43</f>
        <v>25899.312652999997</v>
      </c>
      <c r="I43" s="200">
        <f>I42+I39</f>
        <v>519</v>
      </c>
      <c r="J43" s="984"/>
      <c r="K43" s="209">
        <f t="shared" si="21"/>
        <v>-3.888888888888889E-2</v>
      </c>
      <c r="L43" s="183">
        <f t="shared" si="18"/>
        <v>0.11849484177977762</v>
      </c>
      <c r="N43" s="160">
        <f>N42+N39</f>
        <v>3090.3</v>
      </c>
      <c r="O43" s="202">
        <f>O42+O39</f>
        <v>3.9842000000000002E-2</v>
      </c>
      <c r="P43" s="203">
        <f>P42+P39</f>
        <v>0.126996</v>
      </c>
      <c r="Q43" s="202"/>
      <c r="R43" s="163">
        <f t="shared" si="7"/>
        <v>3125.0695160000005</v>
      </c>
      <c r="S43" s="200">
        <f>R43</f>
        <v>3125.0695160000005</v>
      </c>
      <c r="T43" s="200">
        <f>T42+T39</f>
        <v>189</v>
      </c>
      <c r="U43" s="984"/>
      <c r="V43" s="182">
        <f t="shared" si="22"/>
        <v>6.7796610169491525E-2</v>
      </c>
      <c r="W43" s="183">
        <f t="shared" si="19"/>
        <v>0.41428719621237547</v>
      </c>
      <c r="AF43" s="160">
        <f t="shared" si="27"/>
        <v>28711.599999999999</v>
      </c>
      <c r="AG43" s="161">
        <f t="shared" si="28"/>
        <v>0.34083800000000003</v>
      </c>
      <c r="AH43" s="162">
        <f t="shared" si="29"/>
        <v>1.1442969999999999</v>
      </c>
      <c r="AI43" s="161"/>
      <c r="AJ43" s="163">
        <f t="shared" si="6"/>
        <v>29024.382168999997</v>
      </c>
      <c r="AK43" s="200">
        <f>AJ43</f>
        <v>29024.382168999997</v>
      </c>
      <c r="AL43" s="200">
        <f t="shared" si="30"/>
        <v>708</v>
      </c>
      <c r="AM43" s="984"/>
      <c r="AN43" s="182">
        <f t="shared" si="23"/>
        <v>-1.2552301255230125E-2</v>
      </c>
      <c r="AO43" s="183">
        <f t="shared" si="20"/>
        <v>0.14426230256221947</v>
      </c>
      <c r="AQ43">
        <v>2017</v>
      </c>
      <c r="AR43" s="107">
        <f>AN26</f>
        <v>0.16633266533066132</v>
      </c>
      <c r="AS43" s="107">
        <f>AN29</f>
        <v>0.22727272727272727</v>
      </c>
      <c r="AT43" s="107">
        <f>AN30</f>
        <v>0.17733990147783252</v>
      </c>
      <c r="AU43" s="107">
        <f>AN34</f>
        <v>-4.6377646550482501E-2</v>
      </c>
      <c r="BO43" t="s">
        <v>949</v>
      </c>
      <c r="BP43">
        <f t="shared" si="26"/>
        <v>2018.8333333333303</v>
      </c>
      <c r="BQ43" s="194">
        <v>72586.2</v>
      </c>
      <c r="BS43" s="95">
        <f>(BQ43-BQ31)/BQ31</f>
        <v>0.28085985681993431</v>
      </c>
      <c r="BZ43" s="195" t="s">
        <v>949</v>
      </c>
      <c r="CA43" s="196">
        <v>53795.5</v>
      </c>
      <c r="CC43" s="95">
        <f>(CA43-CA31)/CA31</f>
        <v>0.17485384076122923</v>
      </c>
    </row>
    <row r="44" spans="1:81" ht="14.4" x14ac:dyDescent="0.3">
      <c r="A44" s="981"/>
      <c r="B44" s="159" t="s">
        <v>10</v>
      </c>
      <c r="C44" s="160">
        <v>1970</v>
      </c>
      <c r="D44" s="161">
        <v>2.52E-2</v>
      </c>
      <c r="E44" s="162">
        <v>8.0399999999999999E-2</v>
      </c>
      <c r="F44" s="161"/>
      <c r="G44" s="163">
        <f t="shared" si="5"/>
        <v>1992.0116</v>
      </c>
      <c r="H44" s="200">
        <f>G43+G44</f>
        <v>27891.324252999999</v>
      </c>
      <c r="I44" s="200">
        <v>78</v>
      </c>
      <c r="J44" s="984"/>
      <c r="K44" s="209">
        <f t="shared" si="21"/>
        <v>-0.30357142857142855</v>
      </c>
      <c r="L44" s="183">
        <f t="shared" si="18"/>
        <v>-5.2847474811927996E-2</v>
      </c>
      <c r="N44" s="160">
        <v>7480</v>
      </c>
      <c r="O44" s="161">
        <v>9.7500000000000003E-2</v>
      </c>
      <c r="P44" s="162">
        <v>0.308</v>
      </c>
      <c r="Q44" s="161"/>
      <c r="R44" s="163">
        <f t="shared" si="7"/>
        <v>7564.3499999999995</v>
      </c>
      <c r="S44" s="200">
        <f>R43+R44</f>
        <v>10689.419516</v>
      </c>
      <c r="T44" s="200">
        <v>368</v>
      </c>
      <c r="U44" s="984"/>
      <c r="V44" s="182">
        <f t="shared" si="22"/>
        <v>3.3707865168539325E-2</v>
      </c>
      <c r="W44" s="183">
        <f t="shared" si="19"/>
        <v>0.30303489036615994</v>
      </c>
      <c r="AF44" s="160">
        <f t="shared" si="27"/>
        <v>9450</v>
      </c>
      <c r="AG44" s="161">
        <f t="shared" si="28"/>
        <v>0.1227</v>
      </c>
      <c r="AH44" s="162">
        <f t="shared" si="29"/>
        <v>0.38839999999999997</v>
      </c>
      <c r="AI44" s="161"/>
      <c r="AJ44" s="163">
        <f t="shared" si="6"/>
        <v>9556.3616000000002</v>
      </c>
      <c r="AK44" s="200">
        <f>AJ43+AJ44</f>
        <v>38580.743768999993</v>
      </c>
      <c r="AL44" s="200">
        <f t="shared" si="30"/>
        <v>446</v>
      </c>
      <c r="AM44" s="984"/>
      <c r="AN44" s="182">
        <f t="shared" si="23"/>
        <v>-4.7008547008547008E-2</v>
      </c>
      <c r="AO44" s="183">
        <f t="shared" si="20"/>
        <v>0.20839085175003813</v>
      </c>
      <c r="AQ44">
        <v>2018</v>
      </c>
      <c r="AR44" s="107">
        <f>AN39</f>
        <v>-4.1237113402061855E-2</v>
      </c>
      <c r="AS44" s="107">
        <f>AN42</f>
        <v>0.1111111111111111</v>
      </c>
      <c r="AT44" s="107">
        <f>AN43</f>
        <v>-1.2552301255230125E-2</v>
      </c>
      <c r="AU44" s="107">
        <f>AN47</f>
        <v>-0.12173387705784625</v>
      </c>
      <c r="BO44" t="s">
        <v>950</v>
      </c>
      <c r="BP44">
        <f t="shared" si="26"/>
        <v>2018.9166666666636</v>
      </c>
      <c r="BQ44" s="194">
        <v>64250.3</v>
      </c>
      <c r="BS44" s="95">
        <f t="shared" ref="BS44:BS63" si="31">(BQ44-BQ32)/BQ32</f>
        <v>-3.8937436241088585E-2</v>
      </c>
      <c r="BZ44" s="195" t="s">
        <v>950</v>
      </c>
      <c r="CA44" s="196">
        <v>53081.2</v>
      </c>
      <c r="CC44" s="95">
        <f t="shared" ref="CC44:CC63" si="32">(CA44-CA32)/CA32</f>
        <v>0.22839879014248457</v>
      </c>
    </row>
    <row r="45" spans="1:81" ht="14.4" x14ac:dyDescent="0.3">
      <c r="A45" s="981"/>
      <c r="B45" s="159" t="s">
        <v>920</v>
      </c>
      <c r="C45" s="160">
        <v>0</v>
      </c>
      <c r="D45" s="161">
        <v>0</v>
      </c>
      <c r="E45" s="162">
        <v>0</v>
      </c>
      <c r="F45" s="161"/>
      <c r="G45" s="163">
        <f t="shared" si="5"/>
        <v>0</v>
      </c>
      <c r="H45" s="200">
        <f>SUM(G43:G45)</f>
        <v>27891.324252999999</v>
      </c>
      <c r="I45" s="200">
        <v>0</v>
      </c>
      <c r="J45" s="984"/>
      <c r="K45" s="209" t="e">
        <f t="shared" si="21"/>
        <v>#DIV/0!</v>
      </c>
      <c r="L45" s="183" t="e">
        <f t="shared" si="18"/>
        <v>#DIV/0!</v>
      </c>
      <c r="N45" s="160">
        <v>811</v>
      </c>
      <c r="O45" s="161">
        <v>9.6299999999999997E-3</v>
      </c>
      <c r="P45" s="162">
        <v>3.5000000000000003E-2</v>
      </c>
      <c r="Q45" s="161"/>
      <c r="R45" s="163">
        <f t="shared" si="7"/>
        <v>820.54463999999996</v>
      </c>
      <c r="S45" s="200">
        <f>SUM(R43:R45)</f>
        <v>11509.964156</v>
      </c>
      <c r="T45" s="200">
        <v>4520</v>
      </c>
      <c r="U45" s="984"/>
      <c r="V45" s="182">
        <f t="shared" si="22"/>
        <v>-0.15906976744186047</v>
      </c>
      <c r="W45" s="183">
        <f t="shared" si="19"/>
        <v>-3.1085708293903832E-2</v>
      </c>
      <c r="AF45" s="160">
        <f t="shared" si="27"/>
        <v>811</v>
      </c>
      <c r="AG45" s="161">
        <f t="shared" si="28"/>
        <v>9.6299999999999997E-3</v>
      </c>
      <c r="AH45" s="162">
        <f t="shared" si="29"/>
        <v>3.5000000000000003E-2</v>
      </c>
      <c r="AI45" s="161"/>
      <c r="AJ45" s="163">
        <f t="shared" si="6"/>
        <v>820.54463999999996</v>
      </c>
      <c r="AK45" s="200">
        <f>SUM(AJ43:AJ45)</f>
        <v>39401.288408999993</v>
      </c>
      <c r="AL45" s="200">
        <f t="shared" si="30"/>
        <v>4520</v>
      </c>
      <c r="AM45" s="984"/>
      <c r="AN45" s="182">
        <f t="shared" si="23"/>
        <v>-0.15906976744186047</v>
      </c>
      <c r="AO45" s="183">
        <f t="shared" si="20"/>
        <v>-3.1085708293903832E-2</v>
      </c>
      <c r="AQ45">
        <v>2019</v>
      </c>
      <c r="AR45" s="107">
        <f>AN52</f>
        <v>0.1111111111111111</v>
      </c>
      <c r="AS45" s="107">
        <f>AN55</f>
        <v>0.16666666666666666</v>
      </c>
      <c r="AT45" s="107">
        <f>AN56</f>
        <v>0.1228813559322034</v>
      </c>
      <c r="AU45" s="107">
        <f>AN60</f>
        <v>0.16337059329320722</v>
      </c>
      <c r="BO45" t="s">
        <v>951</v>
      </c>
      <c r="BP45">
        <f t="shared" si="26"/>
        <v>2018.9999999999968</v>
      </c>
      <c r="BQ45" s="194">
        <v>52595.3</v>
      </c>
      <c r="BS45" s="95">
        <f t="shared" si="31"/>
        <v>2.3802618132269266E-2</v>
      </c>
      <c r="BZ45" s="195" t="s">
        <v>951</v>
      </c>
      <c r="CA45" s="196">
        <v>76557</v>
      </c>
      <c r="CC45" s="95">
        <f t="shared" si="32"/>
        <v>0.58289431243952272</v>
      </c>
    </row>
    <row r="46" spans="1:81" ht="15" thickBot="1" x14ac:dyDescent="0.35">
      <c r="A46" s="987"/>
      <c r="B46" s="159" t="s">
        <v>922</v>
      </c>
      <c r="C46" s="168">
        <v>817</v>
      </c>
      <c r="D46" s="169">
        <v>9.8200000000000006E-3</v>
      </c>
      <c r="E46" s="170">
        <v>3.2500000000000001E-2</v>
      </c>
      <c r="F46" s="169"/>
      <c r="G46" s="204">
        <f t="shared" si="5"/>
        <v>825.88745999999992</v>
      </c>
      <c r="H46" s="200">
        <f>SUM(G43:G46)</f>
        <v>28717.211712999997</v>
      </c>
      <c r="I46" s="200">
        <v>31</v>
      </c>
      <c r="J46" s="984"/>
      <c r="K46" s="210">
        <f t="shared" si="21"/>
        <v>0</v>
      </c>
      <c r="L46" s="187">
        <f t="shared" si="18"/>
        <v>0.26626026132549691</v>
      </c>
      <c r="N46" s="168">
        <v>1290</v>
      </c>
      <c r="O46" s="169">
        <v>0.01</v>
      </c>
      <c r="P46" s="170">
        <v>3.61E-2</v>
      </c>
      <c r="Q46" s="169"/>
      <c r="R46" s="204">
        <f t="shared" si="7"/>
        <v>1299.8464999999999</v>
      </c>
      <c r="S46" s="200">
        <f>SUM(R43:R46)</f>
        <v>12809.810656</v>
      </c>
      <c r="T46" s="200">
        <v>110</v>
      </c>
      <c r="U46" s="984"/>
      <c r="V46" s="186">
        <f t="shared" si="22"/>
        <v>2.6666666666666665</v>
      </c>
      <c r="W46" s="187">
        <f t="shared" si="19"/>
        <v>0.10175661085412638</v>
      </c>
      <c r="AF46" s="168">
        <f t="shared" si="27"/>
        <v>2107</v>
      </c>
      <c r="AG46" s="169">
        <f t="shared" si="28"/>
        <v>1.9820000000000001E-2</v>
      </c>
      <c r="AH46" s="170">
        <f t="shared" si="29"/>
        <v>6.8599999999999994E-2</v>
      </c>
      <c r="AI46" s="169"/>
      <c r="AJ46" s="204">
        <f t="shared" si="6"/>
        <v>2125.73396</v>
      </c>
      <c r="AK46" s="200">
        <f>SUM(AJ43:AJ46)</f>
        <v>41527.022368999991</v>
      </c>
      <c r="AL46" s="200">
        <f t="shared" si="30"/>
        <v>141</v>
      </c>
      <c r="AM46" s="984"/>
      <c r="AN46" s="186">
        <f t="shared" si="23"/>
        <v>1.3114754098360655</v>
      </c>
      <c r="AO46" s="187">
        <f t="shared" si="20"/>
        <v>0.1603222863886638</v>
      </c>
      <c r="AQ46">
        <v>2020</v>
      </c>
      <c r="AR46" s="107">
        <f>AN65</f>
        <v>-0.15806451612903225</v>
      </c>
      <c r="AS46" s="107">
        <f>AN68</f>
        <v>-0.95428571428571429</v>
      </c>
      <c r="AT46" s="107">
        <f>AN69</f>
        <v>-0.33333333333333331</v>
      </c>
      <c r="AU46" s="107">
        <f>AN73</f>
        <v>-0.6078344419807834</v>
      </c>
      <c r="BO46" t="s">
        <v>952</v>
      </c>
      <c r="BP46">
        <f t="shared" si="26"/>
        <v>2019.0833333333301</v>
      </c>
      <c r="BQ46" s="194">
        <v>60429.1</v>
      </c>
      <c r="BS46" s="95">
        <f t="shared" si="31"/>
        <v>1.7688288264392181E-3</v>
      </c>
      <c r="BZ46" s="195" t="s">
        <v>952</v>
      </c>
      <c r="CA46" s="196">
        <v>44705</v>
      </c>
      <c r="CC46" s="95">
        <f t="shared" si="32"/>
        <v>-3.2292279984760912E-2</v>
      </c>
    </row>
    <row r="47" spans="1:81" ht="15" thickBot="1" x14ac:dyDescent="0.35">
      <c r="A47" s="172" t="s">
        <v>3</v>
      </c>
      <c r="B47" s="173">
        <f>A35</f>
        <v>2018</v>
      </c>
      <c r="C47" s="174">
        <f>SUM(C43:C46)</f>
        <v>28408.3</v>
      </c>
      <c r="D47" s="205">
        <f>SUM(D43:D46)</f>
        <v>0.33601600000000004</v>
      </c>
      <c r="E47" s="205">
        <f>SUM(E43:E46)</f>
        <v>1.130201</v>
      </c>
      <c r="F47" s="867"/>
      <c r="G47" s="175">
        <f t="shared" si="5"/>
        <v>28717.211712999997</v>
      </c>
      <c r="H47" s="175">
        <f>H46</f>
        <v>28717.211712999997</v>
      </c>
      <c r="I47" s="175">
        <f>SUM(I43:I46)</f>
        <v>628</v>
      </c>
      <c r="J47" s="985"/>
      <c r="K47" s="190">
        <f t="shared" si="21"/>
        <v>-8.0527086383601759E-2</v>
      </c>
      <c r="L47" s="191">
        <f t="shared" si="18"/>
        <v>0.10830670811954354</v>
      </c>
      <c r="N47" s="174">
        <f>SUM(N43:N46)</f>
        <v>12671.3</v>
      </c>
      <c r="O47" s="205">
        <f>SUM(O43:O46)</f>
        <v>0.15697200000000003</v>
      </c>
      <c r="P47" s="205">
        <f>SUM(P43:P46)</f>
        <v>0.50609599999999999</v>
      </c>
      <c r="Q47" s="867"/>
      <c r="R47" s="175">
        <f t="shared" si="7"/>
        <v>12809.810656</v>
      </c>
      <c r="S47" s="175">
        <f>S46</f>
        <v>12809.810656</v>
      </c>
      <c r="T47" s="175">
        <f>SUM(T43:T46)</f>
        <v>5187</v>
      </c>
      <c r="U47" s="985"/>
      <c r="V47" s="190">
        <f t="shared" si="22"/>
        <v>-0.12647356012125294</v>
      </c>
      <c r="W47" s="191">
        <f t="shared" si="19"/>
        <v>0.27568874366075563</v>
      </c>
      <c r="AF47" s="174">
        <f t="shared" si="27"/>
        <v>41079.599999999999</v>
      </c>
      <c r="AG47" s="174">
        <f t="shared" si="28"/>
        <v>0.49298800000000009</v>
      </c>
      <c r="AH47" s="174">
        <f t="shared" si="29"/>
        <v>1.6362969999999999</v>
      </c>
      <c r="AI47" s="449"/>
      <c r="AJ47" s="175">
        <f t="shared" si="6"/>
        <v>41527.022368999998</v>
      </c>
      <c r="AK47" s="175">
        <f>AK46</f>
        <v>41527.022368999991</v>
      </c>
      <c r="AL47" s="175">
        <f t="shared" si="30"/>
        <v>5815</v>
      </c>
      <c r="AM47" s="985"/>
      <c r="AN47" s="190">
        <f t="shared" si="23"/>
        <v>-0.12173387705784625</v>
      </c>
      <c r="AO47" s="191">
        <f t="shared" si="20"/>
        <v>0.15505645364164353</v>
      </c>
      <c r="AQ47">
        <v>2021</v>
      </c>
      <c r="AR47" s="107">
        <f>AN78</f>
        <v>7.8544061302681989E-2</v>
      </c>
      <c r="AS47" s="107">
        <f>AN81</f>
        <v>6.375</v>
      </c>
      <c r="AT47" s="107">
        <f>AN82</f>
        <v>0.17358490566037735</v>
      </c>
      <c r="AU47" s="107">
        <f>AN86</f>
        <v>0.31021485111194874</v>
      </c>
      <c r="BO47" t="s">
        <v>953</v>
      </c>
      <c r="BP47">
        <f t="shared" si="26"/>
        <v>2019.1666666666633</v>
      </c>
      <c r="BQ47" s="194">
        <v>61729.4</v>
      </c>
      <c r="BS47" s="95">
        <f t="shared" si="31"/>
        <v>8.1781969657937756E-2</v>
      </c>
      <c r="BZ47" s="195" t="s">
        <v>953</v>
      </c>
      <c r="CA47" s="196">
        <v>52704.9</v>
      </c>
      <c r="CC47" s="95">
        <f t="shared" si="32"/>
        <v>0.15365875013680641</v>
      </c>
    </row>
    <row r="48" spans="1:81" ht="15" customHeight="1" x14ac:dyDescent="0.3">
      <c r="A48" s="981">
        <v>2019</v>
      </c>
      <c r="B48" s="151" t="s">
        <v>891</v>
      </c>
      <c r="C48" s="152">
        <v>1020</v>
      </c>
      <c r="D48" s="153">
        <v>1.2500000000000001E-2</v>
      </c>
      <c r="E48" s="154">
        <v>3.95E-2</v>
      </c>
      <c r="F48" s="153"/>
      <c r="G48" s="155">
        <f t="shared" si="5"/>
        <v>1030.8175000000001</v>
      </c>
      <c r="H48" s="199">
        <f>G48</f>
        <v>1030.8175000000001</v>
      </c>
      <c r="I48" s="199">
        <v>13</v>
      </c>
      <c r="J48" s="983" t="str">
        <f>"Milli áranna "&amp; $A35 &amp;" og "&amp; $A48</f>
        <v>Milli áranna 2018 og 2019</v>
      </c>
      <c r="K48" s="208">
        <f t="shared" si="21"/>
        <v>5.5</v>
      </c>
      <c r="L48" s="179">
        <f t="shared" si="18"/>
        <v>17.741250413616815</v>
      </c>
      <c r="N48" s="152">
        <v>509</v>
      </c>
      <c r="O48" s="153">
        <v>6.9499999999999996E-3</v>
      </c>
      <c r="P48" s="154">
        <v>2.1700000000000001E-2</v>
      </c>
      <c r="Q48" s="153"/>
      <c r="R48" s="155">
        <f>N48+O48*$O$6+P48*$P$6</f>
        <v>514.94510000000002</v>
      </c>
      <c r="S48" s="199">
        <f>R48</f>
        <v>514.94510000000002</v>
      </c>
      <c r="T48" s="199">
        <v>1</v>
      </c>
      <c r="U48" s="983" t="s">
        <v>871</v>
      </c>
      <c r="V48" s="178" t="e">
        <f t="shared" si="22"/>
        <v>#DIV/0!</v>
      </c>
      <c r="W48" s="179" t="e">
        <f t="shared" si="19"/>
        <v>#DIV/0!</v>
      </c>
      <c r="AF48" s="152">
        <f t="shared" si="27"/>
        <v>1529</v>
      </c>
      <c r="AG48" s="153">
        <f t="shared" si="28"/>
        <v>1.9450000000000002E-2</v>
      </c>
      <c r="AH48" s="154">
        <f t="shared" si="29"/>
        <v>6.1200000000000004E-2</v>
      </c>
      <c r="AI48" s="153"/>
      <c r="AJ48" s="155">
        <f t="shared" si="6"/>
        <v>1545.7626</v>
      </c>
      <c r="AK48" s="199">
        <f>AJ48</f>
        <v>1545.7626</v>
      </c>
      <c r="AL48" s="199">
        <f t="shared" si="30"/>
        <v>14</v>
      </c>
      <c r="AM48" s="983" t="s">
        <v>871</v>
      </c>
      <c r="AN48" s="178">
        <f t="shared" si="23"/>
        <v>6</v>
      </c>
      <c r="AO48" s="179">
        <f t="shared" si="20"/>
        <v>27.103446018915474</v>
      </c>
      <c r="AQ48">
        <v>2022</v>
      </c>
      <c r="AR48" s="107">
        <f>AN91</f>
        <v>1.4209591474245116E-2</v>
      </c>
      <c r="AS48" s="107">
        <f>AN94</f>
        <v>2.1186440677966103</v>
      </c>
      <c r="AT48" s="107">
        <f>AN95</f>
        <v>0.21382636655948553</v>
      </c>
      <c r="AU48" s="107">
        <f>AN99</f>
        <v>0.48762945914844646</v>
      </c>
      <c r="BO48" t="s">
        <v>954</v>
      </c>
      <c r="BP48">
        <f t="shared" si="26"/>
        <v>2019.2499999999966</v>
      </c>
      <c r="BQ48" s="194">
        <v>65567.8</v>
      </c>
      <c r="BS48" s="95">
        <f t="shared" si="31"/>
        <v>4.9660853876607576E-2</v>
      </c>
      <c r="BZ48" s="195" t="s">
        <v>954</v>
      </c>
      <c r="CA48" s="196">
        <v>50232.2</v>
      </c>
      <c r="CC48" s="95">
        <f t="shared" si="32"/>
        <v>0.13850742615211314</v>
      </c>
    </row>
    <row r="49" spans="1:88" ht="14.4" x14ac:dyDescent="0.3">
      <c r="A49" s="981"/>
      <c r="B49" s="159" t="s">
        <v>893</v>
      </c>
      <c r="C49" s="160">
        <v>14200</v>
      </c>
      <c r="D49" s="161">
        <v>0.18</v>
      </c>
      <c r="E49" s="162">
        <v>0.57299999999999995</v>
      </c>
      <c r="F49" s="161"/>
      <c r="G49" s="163">
        <f t="shared" si="5"/>
        <v>14356.885</v>
      </c>
      <c r="H49" s="200">
        <f>G49+G48</f>
        <v>15387.702499999999</v>
      </c>
      <c r="I49" s="200">
        <v>333</v>
      </c>
      <c r="J49" s="984"/>
      <c r="K49" s="209">
        <f t="shared" si="21"/>
        <v>0.26615969581749049</v>
      </c>
      <c r="L49" s="183">
        <f t="shared" si="18"/>
        <v>0.20336887310647245</v>
      </c>
      <c r="N49" s="160">
        <v>174</v>
      </c>
      <c r="O49" s="161">
        <v>2.0799999999999998E-3</v>
      </c>
      <c r="P49" s="162">
        <v>7.0000000000000001E-3</v>
      </c>
      <c r="Q49" s="161"/>
      <c r="R49" s="163">
        <f>N49+O49*$O$6+P49*$P$6</f>
        <v>175.91324</v>
      </c>
      <c r="S49" s="200">
        <f>R49+R48</f>
        <v>690.85834</v>
      </c>
      <c r="T49" s="200">
        <v>6</v>
      </c>
      <c r="U49" s="984"/>
      <c r="V49" s="182">
        <f t="shared" si="22"/>
        <v>0</v>
      </c>
      <c r="W49" s="183">
        <f t="shared" si="19"/>
        <v>1.0069662385004581</v>
      </c>
      <c r="AF49" s="160">
        <f t="shared" si="27"/>
        <v>14374</v>
      </c>
      <c r="AG49" s="161">
        <f t="shared" si="28"/>
        <v>0.18207999999999999</v>
      </c>
      <c r="AH49" s="162">
        <f t="shared" si="29"/>
        <v>0.57999999999999996</v>
      </c>
      <c r="AI49" s="161"/>
      <c r="AJ49" s="163">
        <f t="shared" si="6"/>
        <v>14532.79824</v>
      </c>
      <c r="AK49" s="200">
        <f>AJ49+AJ48</f>
        <v>16078.56084</v>
      </c>
      <c r="AL49" s="200">
        <f t="shared" si="30"/>
        <v>339</v>
      </c>
      <c r="AM49" s="984"/>
      <c r="AN49" s="182">
        <f t="shared" si="23"/>
        <v>0.26022304832713755</v>
      </c>
      <c r="AO49" s="183">
        <f t="shared" si="20"/>
        <v>0.20922966788835309</v>
      </c>
      <c r="BO49" t="s">
        <v>955</v>
      </c>
      <c r="BP49">
        <f t="shared" si="26"/>
        <v>2019.3333333333298</v>
      </c>
      <c r="BQ49" s="194">
        <v>66047.199999999997</v>
      </c>
      <c r="BS49" s="95">
        <f t="shared" si="31"/>
        <v>-4.743553872291819E-2</v>
      </c>
      <c r="BZ49" s="195" t="s">
        <v>955</v>
      </c>
      <c r="CA49" s="196">
        <v>63230.5</v>
      </c>
      <c r="CC49" s="95">
        <f t="shared" si="32"/>
        <v>0.20629067120969596</v>
      </c>
    </row>
    <row r="50" spans="1:88" ht="14.4" x14ac:dyDescent="0.3">
      <c r="A50" s="981"/>
      <c r="B50" s="159" t="s">
        <v>895</v>
      </c>
      <c r="C50" s="160">
        <v>1720</v>
      </c>
      <c r="D50" s="161">
        <v>2.3099999999999999E-2</v>
      </c>
      <c r="E50" s="162">
        <v>7.3499999999999996E-2</v>
      </c>
      <c r="F50" s="161"/>
      <c r="G50" s="163">
        <f t="shared" si="5"/>
        <v>1740.1242999999999</v>
      </c>
      <c r="H50" s="200">
        <f>G50+G49+G48</f>
        <v>17127.826799999999</v>
      </c>
      <c r="I50" s="200">
        <v>122</v>
      </c>
      <c r="J50" s="984"/>
      <c r="K50" s="209">
        <f t="shared" si="21"/>
        <v>-0.24223602484472051</v>
      </c>
      <c r="L50" s="183">
        <f t="shared" si="18"/>
        <v>0.29329981795504062</v>
      </c>
      <c r="N50" s="160">
        <v>7.61</v>
      </c>
      <c r="O50" s="161">
        <f>0.0000946</f>
        <v>9.4599999999999996E-5</v>
      </c>
      <c r="P50" s="162">
        <v>3.2000000000000003E-4</v>
      </c>
      <c r="Q50" s="161"/>
      <c r="R50" s="163">
        <f t="shared" si="7"/>
        <v>7.697448800000001</v>
      </c>
      <c r="S50" s="200">
        <f>R50+R49+R48</f>
        <v>698.55578880000007</v>
      </c>
      <c r="T50" s="200">
        <v>2</v>
      </c>
      <c r="U50" s="984"/>
      <c r="V50" s="182">
        <f t="shared" si="22"/>
        <v>-0.6</v>
      </c>
      <c r="W50" s="183">
        <f t="shared" si="19"/>
        <v>-0.6444723828836435</v>
      </c>
      <c r="AF50" s="160">
        <f t="shared" si="27"/>
        <v>1727.61</v>
      </c>
      <c r="AG50" s="161">
        <f t="shared" si="28"/>
        <v>2.3194599999999999E-2</v>
      </c>
      <c r="AH50" s="162">
        <f t="shared" si="29"/>
        <v>7.3819999999999997E-2</v>
      </c>
      <c r="AI50" s="161"/>
      <c r="AJ50" s="163">
        <f t="shared" si="6"/>
        <v>1747.8217488</v>
      </c>
      <c r="AK50" s="200">
        <f>AJ50+AJ49+AJ48</f>
        <v>17826.382588799999</v>
      </c>
      <c r="AL50" s="200">
        <f t="shared" si="30"/>
        <v>124</v>
      </c>
      <c r="AM50" s="984"/>
      <c r="AN50" s="182">
        <f t="shared" si="23"/>
        <v>-0.25301204819277107</v>
      </c>
      <c r="AO50" s="183">
        <f t="shared" si="20"/>
        <v>0.27844877299761606</v>
      </c>
      <c r="BO50" t="s">
        <v>956</v>
      </c>
      <c r="BP50">
        <f t="shared" si="26"/>
        <v>2019.4166666666631</v>
      </c>
      <c r="BQ50" s="194">
        <v>74676.800000000003</v>
      </c>
      <c r="BS50" s="95">
        <f t="shared" si="31"/>
        <v>5.7319718413556146E-2</v>
      </c>
      <c r="BZ50" s="195" t="s">
        <v>956</v>
      </c>
      <c r="CA50" s="196">
        <v>45688.3</v>
      </c>
      <c r="CC50" s="95">
        <f t="shared" si="32"/>
        <v>-9.4371973446608762E-2</v>
      </c>
    </row>
    <row r="51" spans="1:88" ht="14.4" x14ac:dyDescent="0.3">
      <c r="A51" s="981"/>
      <c r="B51" s="159" t="s">
        <v>897</v>
      </c>
      <c r="C51" s="160">
        <v>726</v>
      </c>
      <c r="D51" s="161">
        <v>8.2100000000000003E-3</v>
      </c>
      <c r="E51" s="162">
        <v>2.63E-2</v>
      </c>
      <c r="F51" s="161"/>
      <c r="G51" s="163">
        <f t="shared" si="5"/>
        <v>733.19938000000002</v>
      </c>
      <c r="H51" s="200">
        <f>SUM(G48:G51)</f>
        <v>17861.026180000001</v>
      </c>
      <c r="I51" s="200">
        <v>9</v>
      </c>
      <c r="J51" s="984"/>
      <c r="K51" s="209">
        <f t="shared" si="21"/>
        <v>0</v>
      </c>
      <c r="L51" s="183">
        <f t="shared" si="18"/>
        <v>4.8018351919742797</v>
      </c>
      <c r="N51" s="160">
        <v>1120</v>
      </c>
      <c r="O51" s="161">
        <v>1.38E-2</v>
      </c>
      <c r="P51" s="162">
        <v>4.4200000000000003E-2</v>
      </c>
      <c r="Q51" s="161"/>
      <c r="R51" s="163">
        <f t="shared" si="7"/>
        <v>1132.0994000000001</v>
      </c>
      <c r="S51" s="200">
        <f>SUM(R48:R51)</f>
        <v>1830.6551887999999</v>
      </c>
      <c r="T51" s="200">
        <v>134</v>
      </c>
      <c r="U51" s="984"/>
      <c r="V51" s="182">
        <f t="shared" si="22"/>
        <v>0.19642857142857142</v>
      </c>
      <c r="W51" s="183">
        <f t="shared" si="19"/>
        <v>0.18034358327937813</v>
      </c>
      <c r="AF51" s="160">
        <f t="shared" si="27"/>
        <v>1846</v>
      </c>
      <c r="AG51" s="161">
        <f t="shared" si="28"/>
        <v>2.2010000000000002E-2</v>
      </c>
      <c r="AH51" s="162">
        <f t="shared" si="29"/>
        <v>7.0500000000000007E-2</v>
      </c>
      <c r="AI51" s="161"/>
      <c r="AJ51" s="163">
        <f t="shared" si="6"/>
        <v>1865.2987799999999</v>
      </c>
      <c r="AK51" s="200">
        <f>SUM(AJ48:AJ51)</f>
        <v>19691.6813688</v>
      </c>
      <c r="AL51" s="200">
        <f t="shared" si="30"/>
        <v>143</v>
      </c>
      <c r="AM51" s="984"/>
      <c r="AN51" s="182">
        <f t="shared" si="23"/>
        <v>0.18181818181818182</v>
      </c>
      <c r="AO51" s="183">
        <f t="shared" si="20"/>
        <v>0.71837639533535091</v>
      </c>
      <c r="BO51" t="s">
        <v>957</v>
      </c>
      <c r="BP51">
        <f t="shared" si="26"/>
        <v>2019.4999999999964</v>
      </c>
      <c r="BQ51" s="194">
        <v>71560.5</v>
      </c>
      <c r="BS51" s="95">
        <f t="shared" si="31"/>
        <v>3.8234201714322236E-2</v>
      </c>
      <c r="BZ51" s="195" t="s">
        <v>957</v>
      </c>
      <c r="CA51" s="196">
        <v>51508.800000000003</v>
      </c>
      <c r="CC51" s="95">
        <f t="shared" si="32"/>
        <v>2.0586568601421048E-2</v>
      </c>
    </row>
    <row r="52" spans="1:88" ht="14.4" x14ac:dyDescent="0.3">
      <c r="A52" s="981"/>
      <c r="B52" s="193" t="s">
        <v>899</v>
      </c>
      <c r="C52" s="160">
        <f>SUM(C48:C51)</f>
        <v>17666</v>
      </c>
      <c r="D52" s="161">
        <f>SUM(D48:D51)</f>
        <v>0.22381000000000001</v>
      </c>
      <c r="E52" s="162">
        <f>SUM(E48:E51)</f>
        <v>0.71229999999999993</v>
      </c>
      <c r="F52" s="161"/>
      <c r="G52" s="163">
        <f t="shared" si="5"/>
        <v>17861.026180000001</v>
      </c>
      <c r="H52" s="200">
        <f>SUM(G52)</f>
        <v>17861.026180000001</v>
      </c>
      <c r="I52" s="200">
        <f>SUM(I48:I51)</f>
        <v>477</v>
      </c>
      <c r="J52" s="984"/>
      <c r="K52" s="209">
        <f t="shared" si="21"/>
        <v>9.6551724137931033E-2</v>
      </c>
      <c r="L52" s="183">
        <f t="shared" si="18"/>
        <v>0.32722266725056154</v>
      </c>
      <c r="N52" s="160">
        <f>SUM(N48:N51)</f>
        <v>1810.6100000000001</v>
      </c>
      <c r="O52" s="161">
        <f>SUM(O48:O51)</f>
        <v>2.29246E-2</v>
      </c>
      <c r="P52" s="162">
        <f>SUM(P48:P51)</f>
        <v>7.3220000000000007E-2</v>
      </c>
      <c r="Q52" s="161"/>
      <c r="R52" s="163">
        <f t="shared" si="7"/>
        <v>1830.6551888000001</v>
      </c>
      <c r="S52" s="200">
        <f>SUM(R52)</f>
        <v>1830.6551888000001</v>
      </c>
      <c r="T52" s="200">
        <f>SUM(T48:T51)</f>
        <v>143</v>
      </c>
      <c r="U52" s="984"/>
      <c r="V52" s="182">
        <f t="shared" si="22"/>
        <v>0.16260162601626016</v>
      </c>
      <c r="W52" s="183">
        <f t="shared" si="19"/>
        <v>0.71340821366025431</v>
      </c>
      <c r="AF52" s="160">
        <f t="shared" si="27"/>
        <v>19476.61</v>
      </c>
      <c r="AG52" s="161">
        <f t="shared" si="28"/>
        <v>0.2467346</v>
      </c>
      <c r="AH52" s="162">
        <f t="shared" si="29"/>
        <v>0.78552</v>
      </c>
      <c r="AI52" s="161"/>
      <c r="AJ52" s="163">
        <f t="shared" si="6"/>
        <v>19691.6813688</v>
      </c>
      <c r="AK52" s="200">
        <f>SUM(AJ52)</f>
        <v>19691.6813688</v>
      </c>
      <c r="AL52" s="200">
        <f t="shared" si="30"/>
        <v>620</v>
      </c>
      <c r="AM52" s="984"/>
      <c r="AN52" s="182">
        <f t="shared" si="23"/>
        <v>0.1111111111111111</v>
      </c>
      <c r="AO52" s="183">
        <f t="shared" si="20"/>
        <v>0.35562797137693192</v>
      </c>
      <c r="BO52" t="s">
        <v>958</v>
      </c>
      <c r="BP52">
        <f t="shared" si="26"/>
        <v>2019.5833333333296</v>
      </c>
      <c r="BQ52" s="194">
        <v>58093.4</v>
      </c>
      <c r="BS52" s="95">
        <f t="shared" si="31"/>
        <v>-0.1270661281209805</v>
      </c>
      <c r="BZ52" s="195" t="s">
        <v>958</v>
      </c>
      <c r="CA52" s="196">
        <v>45886.400000000001</v>
      </c>
      <c r="CC52" s="95">
        <f t="shared" si="32"/>
        <v>-3.9490925836769691E-2</v>
      </c>
    </row>
    <row r="53" spans="1:88" ht="14.4" x14ac:dyDescent="0.3">
      <c r="A53" s="981"/>
      <c r="B53" s="159" t="s">
        <v>901</v>
      </c>
      <c r="C53" s="160">
        <v>289</v>
      </c>
      <c r="D53" s="161">
        <v>3.5500000000000002E-3</v>
      </c>
      <c r="E53" s="162">
        <v>1.15E-2</v>
      </c>
      <c r="F53" s="161"/>
      <c r="G53" s="163">
        <f t="shared" si="5"/>
        <v>292.14690000000002</v>
      </c>
      <c r="H53" s="200">
        <f>G52+G53</f>
        <v>18153.17308</v>
      </c>
      <c r="I53" s="200">
        <v>6</v>
      </c>
      <c r="J53" s="984"/>
      <c r="K53" s="209">
        <f t="shared" si="21"/>
        <v>5</v>
      </c>
      <c r="L53" s="183">
        <f t="shared" si="18"/>
        <v>23.281728219125164</v>
      </c>
      <c r="N53" s="160">
        <v>33.9</v>
      </c>
      <c r="O53" s="161">
        <v>4.17E-4</v>
      </c>
      <c r="P53" s="162">
        <v>1.3699999999999999E-3</v>
      </c>
      <c r="Q53" s="161"/>
      <c r="R53" s="163">
        <f t="shared" si="7"/>
        <v>34.274726000000001</v>
      </c>
      <c r="S53" s="200">
        <f>R52+R53</f>
        <v>1864.9299148000002</v>
      </c>
      <c r="T53" s="200">
        <v>4</v>
      </c>
      <c r="U53" s="984"/>
      <c r="V53" s="182">
        <f t="shared" si="22"/>
        <v>0</v>
      </c>
      <c r="W53" s="183">
        <f t="shared" si="19"/>
        <v>-0.46371851091081434</v>
      </c>
      <c r="AF53" s="160">
        <f t="shared" si="27"/>
        <v>322.89999999999998</v>
      </c>
      <c r="AG53" s="161">
        <f t="shared" si="28"/>
        <v>3.967E-3</v>
      </c>
      <c r="AH53" s="162">
        <f t="shared" si="29"/>
        <v>1.2869999999999999E-2</v>
      </c>
      <c r="AI53" s="161"/>
      <c r="AJ53" s="163">
        <f t="shared" si="6"/>
        <v>326.421626</v>
      </c>
      <c r="AK53" s="200">
        <f>AJ52+AJ53</f>
        <v>20018.1029948</v>
      </c>
      <c r="AL53" s="200">
        <f t="shared" si="30"/>
        <v>10</v>
      </c>
      <c r="AM53" s="984"/>
      <c r="AN53" s="182">
        <f t="shared" si="23"/>
        <v>1</v>
      </c>
      <c r="AO53" s="183">
        <f t="shared" si="20"/>
        <v>3.2982239674816651</v>
      </c>
      <c r="BO53" t="s">
        <v>959</v>
      </c>
      <c r="BP53">
        <f t="shared" si="26"/>
        <v>2019.6666666666629</v>
      </c>
      <c r="BQ53" s="194">
        <v>69422.600000000006</v>
      </c>
      <c r="BS53" s="95">
        <f t="shared" si="31"/>
        <v>0.10124857431563192</v>
      </c>
      <c r="BZ53" s="195" t="s">
        <v>959</v>
      </c>
      <c r="CA53" s="196">
        <v>50404.6</v>
      </c>
      <c r="CC53" s="95">
        <f t="shared" si="32"/>
        <v>3.3160609017193081E-2</v>
      </c>
    </row>
    <row r="54" spans="1:88" ht="14.4" x14ac:dyDescent="0.3">
      <c r="A54" s="981"/>
      <c r="B54" s="159" t="s">
        <v>902</v>
      </c>
      <c r="C54" s="160">
        <v>16500</v>
      </c>
      <c r="D54" s="161">
        <v>0.17599999999999999</v>
      </c>
      <c r="E54" s="162">
        <v>0.64</v>
      </c>
      <c r="F54" s="161"/>
      <c r="G54" s="163">
        <f t="shared" si="5"/>
        <v>16674.527999999998</v>
      </c>
      <c r="H54" s="200">
        <f>G54+G53+G52</f>
        <v>34827.701079999999</v>
      </c>
      <c r="I54" s="200">
        <v>103</v>
      </c>
      <c r="J54" s="984"/>
      <c r="K54" s="209">
        <f t="shared" si="21"/>
        <v>0.24096385542168675</v>
      </c>
      <c r="L54" s="183">
        <f t="shared" ref="L54:L73" si="33">(G54-G41)/G41</f>
        <v>0.34149219667902292</v>
      </c>
      <c r="N54" s="160">
        <v>2210</v>
      </c>
      <c r="O54" s="161">
        <v>2.8899999999999999E-2</v>
      </c>
      <c r="P54" s="162">
        <v>9.2999999999999999E-2</v>
      </c>
      <c r="Q54" s="161"/>
      <c r="R54" s="163">
        <f t="shared" si="7"/>
        <v>2235.4542000000001</v>
      </c>
      <c r="S54" s="200">
        <f>R54+R53+R52</f>
        <v>4100.3841148000001</v>
      </c>
      <c r="T54" s="200">
        <v>62</v>
      </c>
      <c r="U54" s="984"/>
      <c r="V54" s="182">
        <f t="shared" si="22"/>
        <v>0</v>
      </c>
      <c r="W54" s="183">
        <f t="shared" ref="W54:W73" si="34">(R54-R41)/R41</f>
        <v>0.12180564879733258</v>
      </c>
      <c r="AF54" s="160">
        <f t="shared" si="27"/>
        <v>18710</v>
      </c>
      <c r="AG54" s="161">
        <f t="shared" si="28"/>
        <v>0.2049</v>
      </c>
      <c r="AH54" s="162">
        <f t="shared" si="29"/>
        <v>0.73299999999999998</v>
      </c>
      <c r="AI54" s="161"/>
      <c r="AJ54" s="163">
        <f t="shared" si="6"/>
        <v>18909.982199999999</v>
      </c>
      <c r="AK54" s="200">
        <f>AJ54+AJ53+AJ52</f>
        <v>38928.085194799998</v>
      </c>
      <c r="AL54" s="200">
        <f t="shared" si="30"/>
        <v>165</v>
      </c>
      <c r="AM54" s="984"/>
      <c r="AN54" s="182">
        <f t="shared" si="23"/>
        <v>0.13793103448275862</v>
      </c>
      <c r="AO54" s="183">
        <f t="shared" ref="AO54:AO73" si="35">(AJ54-AJ41)/AJ41</f>
        <v>0.31113867224418595</v>
      </c>
      <c r="AR54" t="s">
        <v>902</v>
      </c>
      <c r="AS54" t="s">
        <v>899</v>
      </c>
      <c r="AT54" t="s">
        <v>960</v>
      </c>
      <c r="BO54" t="s">
        <v>961</v>
      </c>
      <c r="BP54">
        <f t="shared" si="26"/>
        <v>2019.7499999999961</v>
      </c>
      <c r="BQ54" s="194">
        <v>64734.1</v>
      </c>
      <c r="BS54" s="95">
        <f t="shared" si="31"/>
        <v>-0.11416709201651415</v>
      </c>
      <c r="BZ54" s="195" t="s">
        <v>961</v>
      </c>
      <c r="CA54" s="196">
        <v>65051.4</v>
      </c>
      <c r="CC54" s="95">
        <f t="shared" si="32"/>
        <v>6.7091635034628463E-2</v>
      </c>
    </row>
    <row r="55" spans="1:88" ht="14.4" x14ac:dyDescent="0.3">
      <c r="A55" s="981"/>
      <c r="B55" s="159" t="s">
        <v>905</v>
      </c>
      <c r="C55" s="160">
        <f>C54+C53</f>
        <v>16789</v>
      </c>
      <c r="D55" s="161">
        <f>D54+D53</f>
        <v>0.17954999999999999</v>
      </c>
      <c r="E55" s="162">
        <f>E54+E53</f>
        <v>0.65149999999999997</v>
      </c>
      <c r="F55" s="161"/>
      <c r="G55" s="163">
        <f t="shared" si="5"/>
        <v>16966.674899999998</v>
      </c>
      <c r="H55" s="200">
        <f>G55+G52</f>
        <v>34827.701079999999</v>
      </c>
      <c r="I55" s="200">
        <f>I54+I53</f>
        <v>109</v>
      </c>
      <c r="J55" s="984"/>
      <c r="K55" s="209">
        <f t="shared" si="21"/>
        <v>0.29761904761904762</v>
      </c>
      <c r="L55" s="183">
        <f t="shared" si="33"/>
        <v>0.36367589734621236</v>
      </c>
      <c r="N55" s="160">
        <f>N54+N53</f>
        <v>2243.9</v>
      </c>
      <c r="O55" s="161">
        <f>O54+O53</f>
        <v>2.9316999999999999E-2</v>
      </c>
      <c r="P55" s="162">
        <f>P54+P53</f>
        <v>9.4369999999999996E-2</v>
      </c>
      <c r="Q55" s="161"/>
      <c r="R55" s="163">
        <f t="shared" si="7"/>
        <v>2269.7289260000002</v>
      </c>
      <c r="S55" s="200">
        <f>R55+R52</f>
        <v>4100.3841148000001</v>
      </c>
      <c r="T55" s="200">
        <f>T54+T53</f>
        <v>66</v>
      </c>
      <c r="U55" s="984"/>
      <c r="V55" s="182">
        <f t="shared" si="22"/>
        <v>0</v>
      </c>
      <c r="W55" s="183">
        <f t="shared" si="34"/>
        <v>0.10360999615090713</v>
      </c>
      <c r="AF55" s="160">
        <f t="shared" si="27"/>
        <v>19032.900000000001</v>
      </c>
      <c r="AG55" s="161">
        <f t="shared" si="28"/>
        <v>0.208867</v>
      </c>
      <c r="AH55" s="162">
        <f t="shared" si="29"/>
        <v>0.74586999999999992</v>
      </c>
      <c r="AI55" s="161"/>
      <c r="AJ55" s="163">
        <f t="shared" si="6"/>
        <v>19236.403826000002</v>
      </c>
      <c r="AK55" s="200">
        <f>AJ55+AJ52</f>
        <v>38928.085194800005</v>
      </c>
      <c r="AL55" s="200">
        <f t="shared" si="30"/>
        <v>175</v>
      </c>
      <c r="AM55" s="984"/>
      <c r="AN55" s="182">
        <f t="shared" si="23"/>
        <v>0.16666666666666666</v>
      </c>
      <c r="AO55" s="183">
        <f t="shared" si="35"/>
        <v>0.32678506380264771</v>
      </c>
      <c r="AQ55">
        <v>2016</v>
      </c>
      <c r="AR55" s="206">
        <f>AJ15/AJ21</f>
        <v>0.34584183528553203</v>
      </c>
      <c r="AS55" s="206">
        <f>AJ13/AJ21</f>
        <v>0.28502914184080569</v>
      </c>
      <c r="AT55" s="206">
        <f>AJ10/AJ21</f>
        <v>0.21525364987925383</v>
      </c>
      <c r="BO55" t="s">
        <v>962</v>
      </c>
      <c r="BP55">
        <f t="shared" si="26"/>
        <v>2019.8333333333294</v>
      </c>
      <c r="BQ55" s="194">
        <v>57174.6</v>
      </c>
      <c r="BS55" s="95">
        <f t="shared" si="31"/>
        <v>-0.21232135033932067</v>
      </c>
      <c r="BZ55" s="195" t="s">
        <v>962</v>
      </c>
      <c r="CA55" s="196">
        <v>52114.1</v>
      </c>
      <c r="CC55" s="95">
        <f t="shared" si="32"/>
        <v>-3.1255402403546795E-2</v>
      </c>
    </row>
    <row r="56" spans="1:88" ht="14.4" x14ac:dyDescent="0.3">
      <c r="A56" s="981"/>
      <c r="B56" s="159" t="s">
        <v>909</v>
      </c>
      <c r="C56" s="160">
        <f>C55+C52</f>
        <v>34455</v>
      </c>
      <c r="D56" s="202">
        <f>D55+D52</f>
        <v>0.40336</v>
      </c>
      <c r="E56" s="203">
        <f>E55+E52</f>
        <v>1.3637999999999999</v>
      </c>
      <c r="F56" s="202"/>
      <c r="G56" s="163">
        <f t="shared" si="5"/>
        <v>34827.701079999999</v>
      </c>
      <c r="H56" s="200">
        <f>G56</f>
        <v>34827.701079999999</v>
      </c>
      <c r="I56" s="200">
        <f>I55+I52</f>
        <v>586</v>
      </c>
      <c r="J56" s="984"/>
      <c r="K56" s="209">
        <f t="shared" si="21"/>
        <v>0.12909441233140656</v>
      </c>
      <c r="L56" s="183">
        <f t="shared" si="33"/>
        <v>0.3447345706282981</v>
      </c>
      <c r="N56" s="160">
        <f>N55+N52</f>
        <v>4054.51</v>
      </c>
      <c r="O56" s="202">
        <f>O55+O52</f>
        <v>5.2241599999999999E-2</v>
      </c>
      <c r="P56" s="203">
        <f>P55+P52</f>
        <v>0.16759000000000002</v>
      </c>
      <c r="Q56" s="202"/>
      <c r="R56" s="163">
        <f t="shared" si="7"/>
        <v>4100.3841148000001</v>
      </c>
      <c r="S56" s="200">
        <f>R56</f>
        <v>4100.3841148000001</v>
      </c>
      <c r="T56" s="200">
        <f>T55+T52</f>
        <v>209</v>
      </c>
      <c r="U56" s="984"/>
      <c r="V56" s="182">
        <f t="shared" si="22"/>
        <v>0.10582010582010581</v>
      </c>
      <c r="W56" s="183">
        <f t="shared" si="34"/>
        <v>0.31209372905354582</v>
      </c>
      <c r="AF56" s="160">
        <f t="shared" si="27"/>
        <v>38509.51</v>
      </c>
      <c r="AG56" s="161">
        <f t="shared" si="28"/>
        <v>0.4556016</v>
      </c>
      <c r="AH56" s="162">
        <f t="shared" si="29"/>
        <v>1.53139</v>
      </c>
      <c r="AI56" s="161"/>
      <c r="AJ56" s="163">
        <f t="shared" si="6"/>
        <v>38928.085194800005</v>
      </c>
      <c r="AK56" s="200">
        <f>AJ56</f>
        <v>38928.085194800005</v>
      </c>
      <c r="AL56" s="200">
        <f t="shared" si="30"/>
        <v>795</v>
      </c>
      <c r="AM56" s="984"/>
      <c r="AN56" s="182">
        <f t="shared" si="23"/>
        <v>0.1228813559322034</v>
      </c>
      <c r="AO56" s="183">
        <f t="shared" si="35"/>
        <v>0.34122011514780265</v>
      </c>
      <c r="AQ56">
        <v>2017</v>
      </c>
      <c r="AR56" s="206">
        <f>AJ28/AJ34</f>
        <v>0.32126569137189587</v>
      </c>
      <c r="AS56" s="206">
        <f>AJ26/AJ34</f>
        <v>0.37896485296848614</v>
      </c>
      <c r="AT56" s="206">
        <f>AJ23/AJ34</f>
        <v>0.30329226830316036</v>
      </c>
      <c r="BO56" t="s">
        <v>963</v>
      </c>
      <c r="BP56">
        <f t="shared" si="26"/>
        <v>2019.9166666666626</v>
      </c>
      <c r="BQ56" s="194">
        <v>53624.7</v>
      </c>
      <c r="BS56" s="95">
        <f t="shared" si="31"/>
        <v>-0.16537821613284304</v>
      </c>
      <c r="BZ56" s="195" t="s">
        <v>963</v>
      </c>
      <c r="CA56" s="196">
        <v>42871.1</v>
      </c>
      <c r="CC56" s="95">
        <f t="shared" si="32"/>
        <v>-0.19234870349577626</v>
      </c>
    </row>
    <row r="57" spans="1:88" ht="14.4" x14ac:dyDescent="0.3">
      <c r="A57" s="981"/>
      <c r="B57" s="159" t="s">
        <v>10</v>
      </c>
      <c r="C57" s="160">
        <v>1860</v>
      </c>
      <c r="D57" s="161">
        <v>2.5000000000000001E-2</v>
      </c>
      <c r="E57" s="162">
        <v>7.5899999999999995E-2</v>
      </c>
      <c r="F57" s="161"/>
      <c r="G57" s="163">
        <f t="shared" si="5"/>
        <v>1880.8135</v>
      </c>
      <c r="H57" s="200">
        <f>G56+G57</f>
        <v>36708.514579999995</v>
      </c>
      <c r="I57" s="200">
        <v>42</v>
      </c>
      <c r="J57" s="984"/>
      <c r="K57" s="209">
        <f t="shared" si="21"/>
        <v>-0.46153846153846156</v>
      </c>
      <c r="L57" s="183">
        <f t="shared" si="33"/>
        <v>-5.5822014289475051E-2</v>
      </c>
      <c r="N57" s="160">
        <v>8060</v>
      </c>
      <c r="O57" s="161">
        <v>0.106</v>
      </c>
      <c r="P57" s="162">
        <v>0.33400000000000002</v>
      </c>
      <c r="Q57" s="161"/>
      <c r="R57" s="163">
        <f t="shared" si="7"/>
        <v>8151.4780000000001</v>
      </c>
      <c r="S57" s="200">
        <f>R56+R57</f>
        <v>12251.8621148</v>
      </c>
      <c r="T57" s="200">
        <v>294</v>
      </c>
      <c r="U57" s="984"/>
      <c r="V57" s="182">
        <f t="shared" si="22"/>
        <v>-0.20108695652173914</v>
      </c>
      <c r="W57" s="183">
        <f t="shared" si="34"/>
        <v>7.7617772842346097E-2</v>
      </c>
      <c r="AF57" s="160">
        <f t="shared" si="27"/>
        <v>9920</v>
      </c>
      <c r="AG57" s="161">
        <f t="shared" si="28"/>
        <v>0.13100000000000001</v>
      </c>
      <c r="AH57" s="162">
        <f t="shared" si="29"/>
        <v>0.40990000000000004</v>
      </c>
      <c r="AI57" s="161"/>
      <c r="AJ57" s="163">
        <f t="shared" si="6"/>
        <v>10032.291499999999</v>
      </c>
      <c r="AK57" s="200">
        <f>AJ56+AJ57</f>
        <v>48960.376694800005</v>
      </c>
      <c r="AL57" s="200">
        <f t="shared" si="30"/>
        <v>336</v>
      </c>
      <c r="AM57" s="984"/>
      <c r="AN57" s="182">
        <f t="shared" si="23"/>
        <v>-0.24663677130044842</v>
      </c>
      <c r="AO57" s="183">
        <f t="shared" si="35"/>
        <v>4.9802416434304782E-2</v>
      </c>
      <c r="AQ57">
        <v>2018</v>
      </c>
      <c r="AR57" s="206">
        <f>AJ41/AJ47</f>
        <v>0.34730553209050863</v>
      </c>
      <c r="AS57" s="206">
        <f>AJ39/AJ47</f>
        <v>0.3497933000571597</v>
      </c>
      <c r="AT57" s="206">
        <f>AJ36/AJ47</f>
        <v>0.28940741797494324</v>
      </c>
      <c r="BO57" t="s">
        <v>964</v>
      </c>
      <c r="BP57">
        <f t="shared" si="26"/>
        <v>2019.9999999999959</v>
      </c>
      <c r="BQ57" s="194">
        <v>50798</v>
      </c>
      <c r="BS57" s="95">
        <f t="shared" si="31"/>
        <v>-3.4172254935326975E-2</v>
      </c>
      <c r="BZ57" s="195" t="s">
        <v>964</v>
      </c>
      <c r="CA57" s="196">
        <v>46755.4</v>
      </c>
      <c r="CC57" s="95">
        <f t="shared" si="32"/>
        <v>-0.38927335188160456</v>
      </c>
    </row>
    <row r="58" spans="1:88" ht="14.4" x14ac:dyDescent="0.3">
      <c r="A58" s="981"/>
      <c r="B58" s="159" t="s">
        <v>920</v>
      </c>
      <c r="C58" s="160">
        <v>0</v>
      </c>
      <c r="D58" s="161">
        <v>0</v>
      </c>
      <c r="E58" s="162">
        <v>0</v>
      </c>
      <c r="F58" s="161"/>
      <c r="G58" s="163">
        <f t="shared" si="5"/>
        <v>0</v>
      </c>
      <c r="H58" s="200">
        <f>SUM(G56:G58)</f>
        <v>36708.514579999995</v>
      </c>
      <c r="I58" s="200">
        <v>0</v>
      </c>
      <c r="J58" s="984"/>
      <c r="K58" s="209" t="e">
        <f>(I58-I45)/I45</f>
        <v>#DIV/0!</v>
      </c>
      <c r="L58" s="183" t="e">
        <f t="shared" si="33"/>
        <v>#DIV/0!</v>
      </c>
      <c r="N58" s="160">
        <v>884</v>
      </c>
      <c r="O58" s="161">
        <v>1.0500000000000001E-2</v>
      </c>
      <c r="P58" s="162">
        <v>3.7999999999999999E-2</v>
      </c>
      <c r="Q58" s="161"/>
      <c r="R58" s="163">
        <f t="shared" si="7"/>
        <v>894.36400000000003</v>
      </c>
      <c r="S58" s="200">
        <f>SUM(R56:R58)</f>
        <v>13146.2261148</v>
      </c>
      <c r="T58" s="200">
        <v>5542</v>
      </c>
      <c r="U58" s="984"/>
      <c r="V58" s="182">
        <f t="shared" si="22"/>
        <v>0.22610619469026549</v>
      </c>
      <c r="W58" s="183">
        <f t="shared" si="34"/>
        <v>8.9963856201656589E-2</v>
      </c>
      <c r="AF58" s="160">
        <f t="shared" si="27"/>
        <v>884</v>
      </c>
      <c r="AG58" s="161">
        <f t="shared" si="28"/>
        <v>1.0500000000000001E-2</v>
      </c>
      <c r="AH58" s="162">
        <f t="shared" si="29"/>
        <v>3.7999999999999999E-2</v>
      </c>
      <c r="AI58" s="161"/>
      <c r="AJ58" s="163">
        <f t="shared" si="6"/>
        <v>894.36400000000003</v>
      </c>
      <c r="AK58" s="200">
        <f>SUM(AJ56:AJ58)</f>
        <v>49854.740694800006</v>
      </c>
      <c r="AL58" s="200">
        <f t="shared" si="30"/>
        <v>5542</v>
      </c>
      <c r="AM58" s="984"/>
      <c r="AN58" s="182">
        <f>(AL58-AL45)/AL45</f>
        <v>0.22610619469026549</v>
      </c>
      <c r="AO58" s="183">
        <f t="shared" si="35"/>
        <v>8.9963856201656589E-2</v>
      </c>
      <c r="AQ58">
        <v>2019</v>
      </c>
      <c r="AR58" s="206">
        <f>AJ54/AJ60</f>
        <v>0.37024854317091321</v>
      </c>
      <c r="AS58" s="206">
        <f>AJ52/AJ60</f>
        <v>0.3855538446452908</v>
      </c>
      <c r="AT58" s="206">
        <f>AJ49/AJ60</f>
        <v>0.28454534328206887</v>
      </c>
      <c r="BO58" t="s">
        <v>965</v>
      </c>
      <c r="BP58">
        <f t="shared" si="26"/>
        <v>2020.0833333333292</v>
      </c>
      <c r="BQ58" s="194">
        <v>49383.5</v>
      </c>
      <c r="BS58" s="95">
        <f t="shared" si="31"/>
        <v>-0.18278610801749487</v>
      </c>
      <c r="BZ58" s="195" t="s">
        <v>965</v>
      </c>
      <c r="CA58" s="196">
        <v>46096.2</v>
      </c>
      <c r="CC58" s="95">
        <f t="shared" si="32"/>
        <v>3.1119561570294087E-2</v>
      </c>
    </row>
    <row r="59" spans="1:88" ht="15" thickBot="1" x14ac:dyDescent="0.35">
      <c r="A59" s="987"/>
      <c r="B59" s="159" t="s">
        <v>922</v>
      </c>
      <c r="C59" s="168">
        <v>150</v>
      </c>
      <c r="D59" s="169">
        <v>1.6999999999999999E-3</v>
      </c>
      <c r="E59" s="170">
        <v>5.6299999999999996E-3</v>
      </c>
      <c r="F59" s="169"/>
      <c r="G59" s="204">
        <f t="shared" si="5"/>
        <v>151.53954999999999</v>
      </c>
      <c r="H59" s="200">
        <f>SUM(G56:G59)</f>
        <v>36860.054129999997</v>
      </c>
      <c r="I59" s="200">
        <v>9</v>
      </c>
      <c r="J59" s="984"/>
      <c r="K59" s="210">
        <f t="shared" si="21"/>
        <v>-0.70967741935483875</v>
      </c>
      <c r="L59" s="187">
        <f t="shared" si="33"/>
        <v>-0.81651307552242047</v>
      </c>
      <c r="N59" s="168">
        <v>1060</v>
      </c>
      <c r="O59" s="169">
        <v>7.5199999999999998E-3</v>
      </c>
      <c r="P59" s="170">
        <v>2.7400000000000001E-2</v>
      </c>
      <c r="Q59" s="169"/>
      <c r="R59" s="204">
        <f t="shared" si="7"/>
        <v>1067.47156</v>
      </c>
      <c r="S59" s="200">
        <f>SUM(R56:R59)</f>
        <v>14213.6976748</v>
      </c>
      <c r="T59" s="200">
        <v>83</v>
      </c>
      <c r="U59" s="984"/>
      <c r="V59" s="186">
        <f>(T59-T46)/T46</f>
        <v>-0.24545454545454545</v>
      </c>
      <c r="W59" s="187">
        <f t="shared" si="34"/>
        <v>-0.17877106258315881</v>
      </c>
      <c r="AF59" s="168">
        <f t="shared" si="27"/>
        <v>1210</v>
      </c>
      <c r="AG59" s="169">
        <f t="shared" si="28"/>
        <v>9.219999999999999E-3</v>
      </c>
      <c r="AH59" s="170">
        <f t="shared" si="29"/>
        <v>3.3030000000000004E-2</v>
      </c>
      <c r="AI59" s="169"/>
      <c r="AJ59" s="204">
        <f t="shared" si="6"/>
        <v>1219.0111100000001</v>
      </c>
      <c r="AK59" s="200">
        <f>SUM(AJ56:AJ59)</f>
        <v>51073.751804800006</v>
      </c>
      <c r="AL59" s="200">
        <f t="shared" si="30"/>
        <v>92</v>
      </c>
      <c r="AM59" s="984"/>
      <c r="AN59" s="186">
        <f>(AL59-AL46)/AL46</f>
        <v>-0.3475177304964539</v>
      </c>
      <c r="AO59" s="187">
        <f t="shared" si="35"/>
        <v>-0.42654577998085885</v>
      </c>
      <c r="AQ59">
        <v>2020</v>
      </c>
      <c r="AR59" s="206">
        <f>AJ67/AJ73</f>
        <v>2.2807290361616821E-2</v>
      </c>
      <c r="AS59" s="206">
        <f>AJ65/AJ73</f>
        <v>0.58091399595854654</v>
      </c>
      <c r="AT59" s="206">
        <f>AJ62/AJ73</f>
        <v>0.51679250504834062</v>
      </c>
      <c r="BO59" t="s">
        <v>966</v>
      </c>
      <c r="BP59">
        <f t="shared" si="26"/>
        <v>2020.1666666666624</v>
      </c>
      <c r="BQ59" s="194">
        <v>68943.5</v>
      </c>
      <c r="BS59" s="95">
        <f t="shared" si="31"/>
        <v>0.11686651741309649</v>
      </c>
      <c r="BZ59" s="195" t="s">
        <v>966</v>
      </c>
      <c r="CA59" s="196">
        <v>56167.5</v>
      </c>
      <c r="CC59" s="95">
        <f t="shared" si="32"/>
        <v>6.5697876288542401E-2</v>
      </c>
    </row>
    <row r="60" spans="1:88" ht="15" thickBot="1" x14ac:dyDescent="0.35">
      <c r="A60" s="172" t="s">
        <v>3</v>
      </c>
      <c r="B60" s="173">
        <f>A48</f>
        <v>2019</v>
      </c>
      <c r="C60" s="174">
        <f>SUM(C56:C59)</f>
        <v>36465</v>
      </c>
      <c r="D60" s="205">
        <f>SUM(D56:D59)</f>
        <v>0.43006</v>
      </c>
      <c r="E60" s="205">
        <f>SUM(E56:E59)</f>
        <v>1.44533</v>
      </c>
      <c r="F60" s="867"/>
      <c r="G60" s="175">
        <f t="shared" si="5"/>
        <v>36860.054130000004</v>
      </c>
      <c r="H60" s="175">
        <f>H59</f>
        <v>36860.054129999997</v>
      </c>
      <c r="I60" s="175">
        <f>SUM(I56:I59)</f>
        <v>637</v>
      </c>
      <c r="J60" s="985"/>
      <c r="K60" s="190">
        <f t="shared" si="21"/>
        <v>1.4331210191082803E-2</v>
      </c>
      <c r="L60" s="191">
        <f t="shared" si="33"/>
        <v>0.28355268256471511</v>
      </c>
      <c r="N60" s="174">
        <f>SUM(N56:N59)</f>
        <v>14058.51</v>
      </c>
      <c r="O60" s="205">
        <f>SUM(O56:O59)</f>
        <v>0.17626159999999999</v>
      </c>
      <c r="P60" s="205">
        <f>SUM(P56:P59)</f>
        <v>0.56698999999999999</v>
      </c>
      <c r="Q60" s="867"/>
      <c r="R60" s="175">
        <f>N60+O60*$O$6+P60*$P$6</f>
        <v>14213.697674800002</v>
      </c>
      <c r="S60" s="175">
        <f>S59</f>
        <v>14213.6976748</v>
      </c>
      <c r="T60" s="175">
        <f>SUM(T56:T59)</f>
        <v>6128</v>
      </c>
      <c r="U60" s="985"/>
      <c r="V60" s="190">
        <f>(T60-T47)/T47</f>
        <v>0.18141507615191826</v>
      </c>
      <c r="W60" s="191">
        <f t="shared" si="34"/>
        <v>0.10959467368414488</v>
      </c>
      <c r="AF60" s="174">
        <f t="shared" si="27"/>
        <v>50523.51</v>
      </c>
      <c r="AG60" s="174">
        <f t="shared" si="28"/>
        <v>0.60632160000000002</v>
      </c>
      <c r="AH60" s="174">
        <f t="shared" si="29"/>
        <v>2.0123199999999999</v>
      </c>
      <c r="AI60" s="449"/>
      <c r="AJ60" s="175">
        <f t="shared" si="6"/>
        <v>51073.751804799998</v>
      </c>
      <c r="AK60" s="175">
        <f>AK59</f>
        <v>51073.751804800006</v>
      </c>
      <c r="AL60" s="175">
        <f t="shared" si="30"/>
        <v>6765</v>
      </c>
      <c r="AM60" s="985"/>
      <c r="AN60" s="190">
        <f>(AL60-AL47)/AL47</f>
        <v>0.16337059329320722</v>
      </c>
      <c r="AO60" s="191">
        <f t="shared" si="35"/>
        <v>0.22989198096049024</v>
      </c>
      <c r="AQ60">
        <v>2021</v>
      </c>
      <c r="AR60" s="206">
        <f>AJ80/AJ86</f>
        <v>0.13863853026285078</v>
      </c>
      <c r="BO60" t="s">
        <v>967</v>
      </c>
      <c r="BP60">
        <f t="shared" si="26"/>
        <v>2020.2499999999957</v>
      </c>
      <c r="BQ60" s="194">
        <v>47735.9</v>
      </c>
      <c r="BS60" s="95">
        <f t="shared" si="31"/>
        <v>-0.2719612370706353</v>
      </c>
      <c r="BU60" s="194">
        <f>SUM(BQ9:BQ16)</f>
        <v>446284.9</v>
      </c>
      <c r="BZ60" s="195" t="s">
        <v>967</v>
      </c>
      <c r="CA60" s="196">
        <v>47267.199999999997</v>
      </c>
      <c r="CC60" s="95">
        <f t="shared" si="32"/>
        <v>-5.9025883795652989E-2</v>
      </c>
      <c r="CE60" s="194">
        <f>SUM(CA9:CA16)</f>
        <v>359424.50000000006</v>
      </c>
      <c r="CI60" s="194">
        <f>BU60+CE60</f>
        <v>805709.40000000014</v>
      </c>
    </row>
    <row r="61" spans="1:88" ht="15" customHeight="1" x14ac:dyDescent="0.3">
      <c r="A61" s="981">
        <v>2020</v>
      </c>
      <c r="B61" s="151" t="s">
        <v>891</v>
      </c>
      <c r="C61" s="152">
        <v>0</v>
      </c>
      <c r="D61" s="153">
        <v>0</v>
      </c>
      <c r="E61" s="154">
        <v>0</v>
      </c>
      <c r="F61" s="153"/>
      <c r="G61" s="155">
        <f t="shared" ref="G61:G73" si="36">C61+D61*$D$6+E61*$E$6</f>
        <v>0</v>
      </c>
      <c r="H61" s="199">
        <f>G61</f>
        <v>0</v>
      </c>
      <c r="I61" s="199">
        <v>0</v>
      </c>
      <c r="J61" s="983" t="str">
        <f>"Milli áranna "&amp; $A48 &amp;" og "&amp; $A61</f>
        <v>Milli áranna 2019 og 2020</v>
      </c>
      <c r="K61" s="208">
        <f t="shared" ref="K61:K73" si="37">(I61-I48)/I48</f>
        <v>-1</v>
      </c>
      <c r="L61" s="179">
        <f t="shared" si="33"/>
        <v>-1</v>
      </c>
      <c r="N61" s="152">
        <v>0</v>
      </c>
      <c r="O61" s="153">
        <v>0</v>
      </c>
      <c r="P61" s="154">
        <v>0</v>
      </c>
      <c r="Q61" s="153"/>
      <c r="R61" s="155">
        <f t="shared" ref="R61:R72" si="38">N61+O61*$O$6+P61*$P$6</f>
        <v>0</v>
      </c>
      <c r="S61" s="199">
        <f>R61</f>
        <v>0</v>
      </c>
      <c r="T61" s="199">
        <v>0</v>
      </c>
      <c r="U61" s="983" t="str">
        <f>"Milli áranna "&amp; $A48 &amp;" og "&amp; $A61</f>
        <v>Milli áranna 2019 og 2020</v>
      </c>
      <c r="V61" s="178">
        <f t="shared" ref="V61:V71" si="39">(T61-T48)/T48</f>
        <v>-1</v>
      </c>
      <c r="W61" s="179">
        <f t="shared" si="34"/>
        <v>-1</v>
      </c>
      <c r="AF61" s="152">
        <f t="shared" si="27"/>
        <v>0</v>
      </c>
      <c r="AG61" s="216">
        <f t="shared" si="28"/>
        <v>0</v>
      </c>
      <c r="AH61" s="219">
        <f t="shared" si="29"/>
        <v>0</v>
      </c>
      <c r="AI61" s="216"/>
      <c r="AJ61" s="155">
        <f t="shared" ref="AJ61:AJ72" si="40">AF61+AG61*$AG$6+AH61*$AH$6</f>
        <v>0</v>
      </c>
      <c r="AK61" s="199">
        <f>AJ61</f>
        <v>0</v>
      </c>
      <c r="AL61" s="199">
        <f t="shared" si="30"/>
        <v>0</v>
      </c>
      <c r="AM61" s="983" t="str">
        <f>"Milli áranna "&amp; $A48 &amp;" og "&amp; $A61</f>
        <v>Milli áranna 2019 og 2020</v>
      </c>
      <c r="AN61" s="178">
        <f t="shared" ref="AN61:AN70" si="41">(AL61-AL48)/AL48</f>
        <v>-1</v>
      </c>
      <c r="AO61" s="179">
        <f t="shared" si="35"/>
        <v>-1</v>
      </c>
      <c r="AQ61">
        <v>2022</v>
      </c>
      <c r="AR61" s="206">
        <f>AJ93/AJ99</f>
        <v>0.41743529277523156</v>
      </c>
      <c r="BO61" t="s">
        <v>968</v>
      </c>
      <c r="BP61">
        <f t="shared" si="26"/>
        <v>2020.3333333333289</v>
      </c>
      <c r="BQ61" s="194">
        <v>51382.8</v>
      </c>
      <c r="BS61" s="95">
        <f t="shared" si="31"/>
        <v>-0.2220290943446504</v>
      </c>
      <c r="BU61" s="194">
        <f>SUM(BQ21:BQ28)</f>
        <v>443910</v>
      </c>
      <c r="BV61" s="95">
        <f>(BU61-BU60)/BU60</f>
        <v>-5.3214885827417039E-3</v>
      </c>
      <c r="BZ61" s="195" t="s">
        <v>968</v>
      </c>
      <c r="CA61" s="196">
        <v>52949.1</v>
      </c>
      <c r="CC61" s="95">
        <f t="shared" si="32"/>
        <v>-0.16260190888890649</v>
      </c>
      <c r="CE61" s="194">
        <f>SUM(CA21:CA28)</f>
        <v>329973.8</v>
      </c>
      <c r="CF61" s="95">
        <f>(CE61-CE60)/CE60</f>
        <v>-8.1938487776988117E-2</v>
      </c>
      <c r="CI61" s="194">
        <f>BU61+CE61</f>
        <v>773883.8</v>
      </c>
      <c r="CJ61" s="95">
        <f>(CI61-CI60)/CI60</f>
        <v>-3.9500097677897375E-2</v>
      </c>
    </row>
    <row r="62" spans="1:88" ht="14.4" x14ac:dyDescent="0.3">
      <c r="A62" s="981"/>
      <c r="B62" s="159" t="s">
        <v>893</v>
      </c>
      <c r="C62" s="160">
        <v>19000</v>
      </c>
      <c r="D62" s="161">
        <v>0.245</v>
      </c>
      <c r="E62" s="162">
        <v>0.76600000000000001</v>
      </c>
      <c r="F62" s="161"/>
      <c r="G62" s="163">
        <f t="shared" si="36"/>
        <v>19209.850000000002</v>
      </c>
      <c r="H62" s="200">
        <f>G62+G61</f>
        <v>19209.850000000002</v>
      </c>
      <c r="I62" s="200">
        <v>267</v>
      </c>
      <c r="J62" s="984"/>
      <c r="K62" s="209">
        <f t="shared" si="37"/>
        <v>-0.1981981981981982</v>
      </c>
      <c r="L62" s="183">
        <f t="shared" si="33"/>
        <v>0.33802353365650012</v>
      </c>
      <c r="N62" s="160">
        <v>205</v>
      </c>
      <c r="O62" s="161">
        <v>2.5400000000000002E-3</v>
      </c>
      <c r="P62" s="162">
        <v>8.1499999999999993E-3</v>
      </c>
      <c r="Q62" s="161"/>
      <c r="R62" s="163">
        <f t="shared" si="38"/>
        <v>207.23087000000001</v>
      </c>
      <c r="S62" s="200">
        <f>R62+R61</f>
        <v>207.23087000000001</v>
      </c>
      <c r="T62" s="200">
        <v>3</v>
      </c>
      <c r="U62" s="984"/>
      <c r="V62" s="182">
        <f t="shared" si="39"/>
        <v>-0.5</v>
      </c>
      <c r="W62" s="183">
        <f t="shared" si="34"/>
        <v>0.17802883967119251</v>
      </c>
      <c r="AF62" s="160">
        <f t="shared" si="27"/>
        <v>19205</v>
      </c>
      <c r="AG62" s="217">
        <f t="shared" si="28"/>
        <v>0.24753999999999998</v>
      </c>
      <c r="AH62" s="220">
        <f t="shared" si="29"/>
        <v>0.77415</v>
      </c>
      <c r="AI62" s="217"/>
      <c r="AJ62" s="163">
        <f t="shared" si="40"/>
        <v>19417.080870000002</v>
      </c>
      <c r="AK62" s="200">
        <f>AJ62+AJ61</f>
        <v>19417.080870000002</v>
      </c>
      <c r="AL62" s="200">
        <f t="shared" si="30"/>
        <v>270</v>
      </c>
      <c r="AM62" s="984"/>
      <c r="AN62" s="182">
        <f t="shared" si="41"/>
        <v>-0.20353982300884957</v>
      </c>
      <c r="AO62" s="183">
        <f t="shared" si="35"/>
        <v>0.33608686705334745</v>
      </c>
      <c r="AQ62" s="23"/>
      <c r="BO62" t="s">
        <v>969</v>
      </c>
      <c r="BP62">
        <f>BP61+$BP$2</f>
        <v>2020.4166666666622</v>
      </c>
      <c r="BQ62" s="194">
        <v>59472</v>
      </c>
      <c r="BS62" s="95">
        <f t="shared" si="31"/>
        <v>-0.20360808176033257</v>
      </c>
      <c r="BU62" s="194">
        <f>SUM(BQ33:BQ40)</f>
        <v>506662.70000000007</v>
      </c>
      <c r="BV62" s="95">
        <f>(BU62-BU61)/BU61</f>
        <v>0.14136356468653571</v>
      </c>
      <c r="BZ62" s="195" t="s">
        <v>969</v>
      </c>
      <c r="CA62" s="196">
        <v>46495.1</v>
      </c>
      <c r="CC62" s="95">
        <f t="shared" si="32"/>
        <v>1.765878791725662E-2</v>
      </c>
      <c r="CE62" s="194">
        <f>SUM(CA33:CA40)</f>
        <v>385477.5</v>
      </c>
      <c r="CF62" s="95">
        <f>(CE62-CE61)/CE61</f>
        <v>0.16820638487055642</v>
      </c>
      <c r="CI62" s="194">
        <f>BU62+CE62</f>
        <v>892140.20000000007</v>
      </c>
      <c r="CJ62" s="95">
        <f>(CI62-CI61)/CI61</f>
        <v>0.15280898760253156</v>
      </c>
    </row>
    <row r="63" spans="1:88" ht="14.4" x14ac:dyDescent="0.3">
      <c r="A63" s="981"/>
      <c r="B63" s="159" t="s">
        <v>895</v>
      </c>
      <c r="C63" s="160">
        <v>1210</v>
      </c>
      <c r="D63" s="161">
        <v>1.6299999999999999E-2</v>
      </c>
      <c r="E63" s="162">
        <v>5.1700000000000003E-2</v>
      </c>
      <c r="F63" s="161"/>
      <c r="G63" s="163">
        <f>C63+D63*$D$6+E63*$E$6</f>
        <v>1224.1569</v>
      </c>
      <c r="H63" s="200">
        <f>G63+G62+G61</f>
        <v>20434.0069</v>
      </c>
      <c r="I63" s="200">
        <v>100</v>
      </c>
      <c r="J63" s="984"/>
      <c r="K63" s="209">
        <f t="shared" si="37"/>
        <v>-0.18032786885245902</v>
      </c>
      <c r="L63" s="183">
        <f t="shared" si="33"/>
        <v>-0.29651180665657045</v>
      </c>
      <c r="N63" s="160">
        <v>0</v>
      </c>
      <c r="O63" s="161">
        <v>0</v>
      </c>
      <c r="P63" s="162">
        <v>0</v>
      </c>
      <c r="Q63" s="161"/>
      <c r="R63" s="163">
        <f t="shared" si="38"/>
        <v>0</v>
      </c>
      <c r="S63" s="200">
        <f>R63+R62+R61</f>
        <v>207.23087000000001</v>
      </c>
      <c r="T63" s="200">
        <v>0</v>
      </c>
      <c r="U63" s="984"/>
      <c r="V63" s="182">
        <f t="shared" si="39"/>
        <v>-1</v>
      </c>
      <c r="W63" s="183">
        <f t="shared" si="34"/>
        <v>-1</v>
      </c>
      <c r="AF63" s="160">
        <f t="shared" si="27"/>
        <v>1210</v>
      </c>
      <c r="AG63" s="217">
        <f t="shared" si="28"/>
        <v>1.6299999999999999E-2</v>
      </c>
      <c r="AH63" s="220">
        <f t="shared" si="29"/>
        <v>5.1700000000000003E-2</v>
      </c>
      <c r="AI63" s="217"/>
      <c r="AJ63" s="163">
        <f t="shared" si="40"/>
        <v>1224.1569</v>
      </c>
      <c r="AK63" s="200">
        <f>AJ63+AJ62+AJ61</f>
        <v>20641.23777</v>
      </c>
      <c r="AL63" s="200">
        <f t="shared" si="30"/>
        <v>100</v>
      </c>
      <c r="AM63" s="984"/>
      <c r="AN63" s="182">
        <f t="shared" si="41"/>
        <v>-0.19354838709677419</v>
      </c>
      <c r="AO63" s="183">
        <f t="shared" si="35"/>
        <v>-0.29960998549167389</v>
      </c>
      <c r="BO63" t="s">
        <v>970</v>
      </c>
      <c r="BP63">
        <f t="shared" si="26"/>
        <v>2020.4999999999955</v>
      </c>
      <c r="BQ63" s="194">
        <v>58235</v>
      </c>
      <c r="BS63" s="95">
        <f t="shared" si="31"/>
        <v>-0.18621306446992406</v>
      </c>
      <c r="BU63" s="194">
        <f>SUM(BQ45:BQ52)</f>
        <v>510699.5</v>
      </c>
      <c r="BV63" s="95">
        <f>(BU63-BU62)/BU62</f>
        <v>7.9674307976488681E-3</v>
      </c>
      <c r="BZ63" s="195" t="s">
        <v>970</v>
      </c>
      <c r="CA63" s="196">
        <v>46768.1</v>
      </c>
      <c r="CC63" s="95">
        <f t="shared" si="32"/>
        <v>-9.2036700524958923E-2</v>
      </c>
      <c r="CE63" s="194">
        <f>SUM(CA45:CA52)</f>
        <v>430513.1</v>
      </c>
      <c r="CF63" s="95">
        <f>(CE63-CE62)/CE62</f>
        <v>0.11683068402176515</v>
      </c>
      <c r="CI63" s="194">
        <f>BU63+CE63</f>
        <v>941212.6</v>
      </c>
      <c r="CJ63" s="95">
        <f>(CI63-CI62)/CI62</f>
        <v>5.5005255900361739E-2</v>
      </c>
    </row>
    <row r="64" spans="1:88" ht="14.4" x14ac:dyDescent="0.3">
      <c r="A64" s="981"/>
      <c r="B64" s="159" t="s">
        <v>897</v>
      </c>
      <c r="C64" s="160">
        <v>68</v>
      </c>
      <c r="D64" s="161">
        <v>7.8299999999999995E-4</v>
      </c>
      <c r="E64" s="162">
        <v>2.5200000000000001E-3</v>
      </c>
      <c r="F64" s="161"/>
      <c r="G64" s="163">
        <f t="shared" si="36"/>
        <v>68.689723999999998</v>
      </c>
      <c r="H64" s="200">
        <f>SUM(G61:G64)</f>
        <v>20502.696624</v>
      </c>
      <c r="I64" s="200">
        <v>2</v>
      </c>
      <c r="J64" s="984"/>
      <c r="K64" s="209">
        <f t="shared" si="37"/>
        <v>-0.77777777777777779</v>
      </c>
      <c r="L64" s="183">
        <f t="shared" si="33"/>
        <v>-0.90631508171760866</v>
      </c>
      <c r="N64" s="160">
        <v>1100</v>
      </c>
      <c r="O64" s="161">
        <v>0.17299999999999999</v>
      </c>
      <c r="P64" s="162">
        <v>4.3400000000000001E-2</v>
      </c>
      <c r="Q64" s="161"/>
      <c r="R64" s="163">
        <f t="shared" si="38"/>
        <v>1116.345</v>
      </c>
      <c r="S64" s="200">
        <f>SUM(R61:R64)</f>
        <v>1323.5758700000001</v>
      </c>
      <c r="T64" s="200">
        <v>150</v>
      </c>
      <c r="U64" s="984"/>
      <c r="V64" s="182">
        <f t="shared" si="39"/>
        <v>0.11940298507462686</v>
      </c>
      <c r="W64" s="183">
        <f t="shared" si="34"/>
        <v>-1.3916092526857653E-2</v>
      </c>
      <c r="AF64" s="160">
        <f t="shared" si="27"/>
        <v>1168</v>
      </c>
      <c r="AG64" s="217">
        <f t="shared" si="28"/>
        <v>0.17378299999999999</v>
      </c>
      <c r="AH64" s="220">
        <f t="shared" si="29"/>
        <v>4.5920000000000002E-2</v>
      </c>
      <c r="AI64" s="217"/>
      <c r="AJ64" s="163">
        <f t="shared" si="40"/>
        <v>1185.0347239999999</v>
      </c>
      <c r="AK64" s="200">
        <f>SUM(AJ61:AJ64)</f>
        <v>21826.272494000001</v>
      </c>
      <c r="AL64" s="200">
        <f t="shared" si="30"/>
        <v>152</v>
      </c>
      <c r="AM64" s="984"/>
      <c r="AN64" s="182">
        <f t="shared" si="41"/>
        <v>6.2937062937062943E-2</v>
      </c>
      <c r="AO64" s="183">
        <f t="shared" si="35"/>
        <v>-0.36469441962536425</v>
      </c>
      <c r="BO64" t="s">
        <v>971</v>
      </c>
      <c r="BP64">
        <f t="shared" si="26"/>
        <v>2020.5833333333287</v>
      </c>
      <c r="BQ64" s="194">
        <v>55303.6</v>
      </c>
      <c r="BS64" s="95">
        <f>(BQ64-BQ52)/BQ52</f>
        <v>-4.8022666946675577E-2</v>
      </c>
      <c r="BU64" s="194">
        <f>SUM(BQ57:BQ64)</f>
        <v>441254.3</v>
      </c>
      <c r="BV64" s="95">
        <f>(BU64-BU63)/BU63</f>
        <v>-0.13598055216423752</v>
      </c>
      <c r="BZ64" s="195" t="s">
        <v>971</v>
      </c>
      <c r="CA64" s="196">
        <v>44056.6</v>
      </c>
      <c r="CC64" s="95">
        <f>(CA64-CA52)/CA52</f>
        <v>-3.9876739077373748E-2</v>
      </c>
      <c r="CE64" s="194">
        <f>SUM(CA57:CA64)</f>
        <v>386555.19999999995</v>
      </c>
      <c r="CF64" s="95">
        <f>(CE64-CE63)/CE63</f>
        <v>-0.10210583603611603</v>
      </c>
      <c r="CI64" s="194">
        <f>BU64+CE64</f>
        <v>827809.5</v>
      </c>
      <c r="CJ64" s="95">
        <f>(CI64-CI63)/CI63</f>
        <v>-0.12048616858720333</v>
      </c>
    </row>
    <row r="65" spans="1:79" ht="13.8" x14ac:dyDescent="0.25">
      <c r="A65" s="981"/>
      <c r="B65" s="193" t="s">
        <v>899</v>
      </c>
      <c r="C65" s="160">
        <f>SUM(C61:C64)</f>
        <v>20278</v>
      </c>
      <c r="D65" s="161">
        <f>SUM(D61:D64)</f>
        <v>0.26208299999999995</v>
      </c>
      <c r="E65" s="162">
        <f>SUM(E61:E64)</f>
        <v>0.82021999999999995</v>
      </c>
      <c r="F65" s="161"/>
      <c r="G65" s="163">
        <f t="shared" si="36"/>
        <v>20502.696624</v>
      </c>
      <c r="H65" s="200">
        <f>SUM(G65)</f>
        <v>20502.696624</v>
      </c>
      <c r="I65" s="200">
        <f>SUM(I61:I64)</f>
        <v>369</v>
      </c>
      <c r="J65" s="984"/>
      <c r="K65" s="209">
        <f t="shared" si="37"/>
        <v>-0.22641509433962265</v>
      </c>
      <c r="L65" s="183">
        <f t="shared" si="33"/>
        <v>0.14790138133037545</v>
      </c>
      <c r="N65" s="160">
        <f>SUM(N61:N64)</f>
        <v>1305</v>
      </c>
      <c r="O65" s="161">
        <f>SUM(O61:O64)</f>
        <v>0.17553999999999997</v>
      </c>
      <c r="P65" s="162">
        <f>SUM(P61:P64)</f>
        <v>5.1549999999999999E-2</v>
      </c>
      <c r="Q65" s="161"/>
      <c r="R65" s="163">
        <f t="shared" si="38"/>
        <v>1323.5758699999999</v>
      </c>
      <c r="S65" s="200">
        <f>SUM(R65)</f>
        <v>1323.5758699999999</v>
      </c>
      <c r="T65" s="200">
        <f>SUM(T61:T64)</f>
        <v>153</v>
      </c>
      <c r="U65" s="984"/>
      <c r="V65" s="182">
        <f t="shared" si="39"/>
        <v>6.9930069930069935E-2</v>
      </c>
      <c r="W65" s="183">
        <f t="shared" si="34"/>
        <v>-0.27699335292758887</v>
      </c>
      <c r="AF65" s="160">
        <f t="shared" si="27"/>
        <v>21583</v>
      </c>
      <c r="AG65" s="217">
        <f t="shared" si="28"/>
        <v>0.43762299999999993</v>
      </c>
      <c r="AH65" s="220">
        <f t="shared" si="29"/>
        <v>0.87176999999999993</v>
      </c>
      <c r="AI65" s="217"/>
      <c r="AJ65" s="163">
        <f>AF65+AG65*$AG$6+AH65*$AH$6</f>
        <v>21826.272494000001</v>
      </c>
      <c r="AK65" s="200">
        <f>SUM(AJ65)</f>
        <v>21826.272494000001</v>
      </c>
      <c r="AL65" s="200">
        <f t="shared" si="30"/>
        <v>522</v>
      </c>
      <c r="AM65" s="984"/>
      <c r="AN65" s="182">
        <f t="shared" si="41"/>
        <v>-0.15806451612903225</v>
      </c>
      <c r="AO65" s="183">
        <f t="shared" si="35"/>
        <v>0.1084006533125252</v>
      </c>
    </row>
    <row r="66" spans="1:79" ht="13.8" x14ac:dyDescent="0.25">
      <c r="A66" s="981"/>
      <c r="B66" s="159" t="s">
        <v>901</v>
      </c>
      <c r="C66" s="160">
        <v>17</v>
      </c>
      <c r="D66" s="161">
        <v>1.94E-4</v>
      </c>
      <c r="E66" s="162">
        <v>6.9399999999999996E-4</v>
      </c>
      <c r="F66" s="161"/>
      <c r="G66" s="163">
        <f t="shared" si="36"/>
        <v>17.189342</v>
      </c>
      <c r="H66" s="200">
        <f>G65+G66</f>
        <v>20519.885966000002</v>
      </c>
      <c r="I66" s="200">
        <v>1</v>
      </c>
      <c r="J66" s="984"/>
      <c r="K66" s="209">
        <f t="shared" si="37"/>
        <v>-0.83333333333333337</v>
      </c>
      <c r="L66" s="183">
        <f t="shared" si="33"/>
        <v>-0.94116199076560458</v>
      </c>
      <c r="N66" s="160">
        <v>0</v>
      </c>
      <c r="O66" s="161">
        <v>0</v>
      </c>
      <c r="P66" s="162">
        <v>0</v>
      </c>
      <c r="Q66" s="161"/>
      <c r="R66" s="163">
        <f t="shared" si="38"/>
        <v>0</v>
      </c>
      <c r="S66" s="200">
        <f>R65+R66</f>
        <v>1323.5758699999999</v>
      </c>
      <c r="T66" s="200">
        <v>0</v>
      </c>
      <c r="U66" s="984"/>
      <c r="V66" s="182">
        <f t="shared" si="39"/>
        <v>-1</v>
      </c>
      <c r="W66" s="183">
        <f t="shared" si="34"/>
        <v>-1</v>
      </c>
      <c r="AF66" s="160">
        <f t="shared" si="27"/>
        <v>17</v>
      </c>
      <c r="AG66" s="217">
        <f t="shared" si="28"/>
        <v>1.94E-4</v>
      </c>
      <c r="AH66" s="220">
        <f t="shared" si="29"/>
        <v>6.9399999999999996E-4</v>
      </c>
      <c r="AI66" s="217"/>
      <c r="AJ66" s="163">
        <f t="shared" si="40"/>
        <v>17.189342</v>
      </c>
      <c r="AK66" s="200">
        <f>AJ65+AJ66</f>
        <v>21843.461836000002</v>
      </c>
      <c r="AL66" s="200">
        <f t="shared" si="30"/>
        <v>1</v>
      </c>
      <c r="AM66" s="984"/>
      <c r="AN66" s="182">
        <f t="shared" si="41"/>
        <v>-0.9</v>
      </c>
      <c r="AO66" s="183">
        <f t="shared" si="35"/>
        <v>-0.94734006379834645</v>
      </c>
      <c r="BQ66" s="580"/>
      <c r="BR66" s="580"/>
      <c r="BS66" s="580"/>
      <c r="BT66" s="580"/>
      <c r="BU66" s="580"/>
      <c r="BV66" s="580"/>
      <c r="BW66" s="580"/>
      <c r="BX66" s="580"/>
      <c r="BY66" s="580"/>
      <c r="BZ66" s="580"/>
      <c r="CA66" s="580"/>
    </row>
    <row r="67" spans="1:79" ht="13.8" x14ac:dyDescent="0.25">
      <c r="A67" s="981"/>
      <c r="B67" s="159" t="s">
        <v>902</v>
      </c>
      <c r="C67" s="160">
        <v>300</v>
      </c>
      <c r="D67" s="161">
        <v>4.1000000000000003E-3</v>
      </c>
      <c r="E67" s="162">
        <v>1.2699999999999999E-2</v>
      </c>
      <c r="F67" s="161"/>
      <c r="G67" s="163">
        <f t="shared" si="36"/>
        <v>303.4803</v>
      </c>
      <c r="H67" s="200">
        <f>G67+G66+G65</f>
        <v>20823.366266000001</v>
      </c>
      <c r="I67" s="200">
        <v>1</v>
      </c>
      <c r="J67" s="984"/>
      <c r="K67" s="209">
        <f t="shared" si="37"/>
        <v>-0.99029126213592233</v>
      </c>
      <c r="L67" s="183">
        <f t="shared" si="33"/>
        <v>-0.98179976668604951</v>
      </c>
      <c r="N67" s="160">
        <v>548</v>
      </c>
      <c r="O67" s="161">
        <v>5.0699999999999999E-3</v>
      </c>
      <c r="P67" s="162">
        <v>0.02</v>
      </c>
      <c r="Q67" s="161"/>
      <c r="R67" s="163">
        <f t="shared" si="38"/>
        <v>553.44195999999999</v>
      </c>
      <c r="S67" s="200">
        <f>R67+R66+R65</f>
        <v>1877.0178299999998</v>
      </c>
      <c r="T67" s="200">
        <v>6</v>
      </c>
      <c r="U67" s="984"/>
      <c r="V67" s="182">
        <f t="shared" si="39"/>
        <v>-0.90322580645161288</v>
      </c>
      <c r="W67" s="183">
        <f t="shared" si="34"/>
        <v>-0.75242527446994889</v>
      </c>
      <c r="AF67" s="160">
        <f t="shared" si="27"/>
        <v>848</v>
      </c>
      <c r="AG67" s="217">
        <f t="shared" si="28"/>
        <v>9.1700000000000011E-3</v>
      </c>
      <c r="AH67" s="220">
        <f t="shared" si="29"/>
        <v>3.27E-2</v>
      </c>
      <c r="AI67" s="217"/>
      <c r="AJ67" s="163">
        <f t="shared" si="40"/>
        <v>856.92225999999994</v>
      </c>
      <c r="AK67" s="200">
        <f>AJ67+AJ66+AJ65</f>
        <v>22700.384096000002</v>
      </c>
      <c r="AL67" s="200">
        <f t="shared" si="30"/>
        <v>7</v>
      </c>
      <c r="AM67" s="984"/>
      <c r="AN67" s="182">
        <f t="shared" si="41"/>
        <v>-0.95757575757575752</v>
      </c>
      <c r="AO67" s="183">
        <f t="shared" si="35"/>
        <v>-0.95468413185497347</v>
      </c>
    </row>
    <row r="68" spans="1:79" ht="13.8" x14ac:dyDescent="0.25">
      <c r="A68" s="981"/>
      <c r="B68" s="159" t="s">
        <v>905</v>
      </c>
      <c r="C68" s="160">
        <f>C67+C66</f>
        <v>317</v>
      </c>
      <c r="D68" s="161">
        <f>D67+D66</f>
        <v>4.2940000000000001E-3</v>
      </c>
      <c r="E68" s="162">
        <f>E67+E66</f>
        <v>1.3394E-2</v>
      </c>
      <c r="F68" s="161"/>
      <c r="G68" s="163">
        <f t="shared" si="36"/>
        <v>320.66964200000001</v>
      </c>
      <c r="H68" s="200">
        <f>G68+G65</f>
        <v>20823.366266000001</v>
      </c>
      <c r="I68" s="200">
        <f>I67+I66</f>
        <v>2</v>
      </c>
      <c r="J68" s="984"/>
      <c r="K68" s="209">
        <f t="shared" si="37"/>
        <v>-0.98165137614678899</v>
      </c>
      <c r="L68" s="183">
        <f t="shared" si="33"/>
        <v>-0.98110003027169446</v>
      </c>
      <c r="N68" s="160">
        <f>N67+N66</f>
        <v>548</v>
      </c>
      <c r="O68" s="161">
        <f>O67+O66</f>
        <v>5.0699999999999999E-3</v>
      </c>
      <c r="P68" s="162">
        <f>P67+P66</f>
        <v>0.02</v>
      </c>
      <c r="Q68" s="161"/>
      <c r="R68" s="163">
        <f t="shared" si="38"/>
        <v>553.44195999999999</v>
      </c>
      <c r="S68" s="200">
        <f>R68+R65</f>
        <v>1877.0178299999998</v>
      </c>
      <c r="T68" s="200">
        <f>T67+T66</f>
        <v>6</v>
      </c>
      <c r="U68" s="984"/>
      <c r="V68" s="182">
        <f t="shared" si="39"/>
        <v>-0.90909090909090906</v>
      </c>
      <c r="W68" s="183">
        <f t="shared" si="34"/>
        <v>-0.75616385125983099</v>
      </c>
      <c r="AF68" s="160">
        <f t="shared" si="27"/>
        <v>865</v>
      </c>
      <c r="AG68" s="217">
        <f t="shared" si="28"/>
        <v>9.3640000000000008E-3</v>
      </c>
      <c r="AH68" s="220">
        <f t="shared" si="29"/>
        <v>3.3394E-2</v>
      </c>
      <c r="AI68" s="217"/>
      <c r="AJ68" s="163">
        <f t="shared" si="40"/>
        <v>874.11160200000006</v>
      </c>
      <c r="AK68" s="200">
        <f>AJ68+AJ65</f>
        <v>22700.384096000002</v>
      </c>
      <c r="AL68" s="200">
        <f t="shared" si="30"/>
        <v>8</v>
      </c>
      <c r="AM68" s="984"/>
      <c r="AN68" s="182">
        <f t="shared" si="41"/>
        <v>-0.95428571428571429</v>
      </c>
      <c r="AO68" s="183">
        <f t="shared" si="35"/>
        <v>-0.95455951071173983</v>
      </c>
      <c r="BO68" t="s">
        <v>972</v>
      </c>
    </row>
    <row r="69" spans="1:79" ht="13.8" x14ac:dyDescent="0.25">
      <c r="A69" s="981"/>
      <c r="B69" s="159" t="s">
        <v>909</v>
      </c>
      <c r="C69" s="160">
        <f>C68+C65</f>
        <v>20595</v>
      </c>
      <c r="D69" s="202">
        <f>D68+D65</f>
        <v>0.26637699999999997</v>
      </c>
      <c r="E69" s="203">
        <f>E68+E65</f>
        <v>0.83361399999999997</v>
      </c>
      <c r="F69" s="202"/>
      <c r="G69" s="163">
        <f t="shared" si="36"/>
        <v>20823.366266000001</v>
      </c>
      <c r="H69" s="200">
        <f>G69</f>
        <v>20823.366266000001</v>
      </c>
      <c r="I69" s="200">
        <f>I68+I65</f>
        <v>371</v>
      </c>
      <c r="J69" s="984"/>
      <c r="K69" s="209">
        <f t="shared" si="37"/>
        <v>-0.36689419795221845</v>
      </c>
      <c r="L69" s="183">
        <f t="shared" si="33"/>
        <v>-0.40210333670407161</v>
      </c>
      <c r="N69" s="160">
        <f>N68+N65</f>
        <v>1853</v>
      </c>
      <c r="O69" s="202">
        <f>O68+O65</f>
        <v>0.18060999999999997</v>
      </c>
      <c r="P69" s="203">
        <f>P68+P65</f>
        <v>7.1550000000000002E-2</v>
      </c>
      <c r="Q69" s="202"/>
      <c r="R69" s="163">
        <f t="shared" si="38"/>
        <v>1877.01783</v>
      </c>
      <c r="S69" s="200">
        <f>R69</f>
        <v>1877.01783</v>
      </c>
      <c r="T69" s="200">
        <f>T68+T65</f>
        <v>159</v>
      </c>
      <c r="U69" s="984"/>
      <c r="V69" s="182">
        <f t="shared" si="39"/>
        <v>-0.23923444976076555</v>
      </c>
      <c r="W69" s="183">
        <f t="shared" si="34"/>
        <v>-0.54223365971371851</v>
      </c>
      <c r="AF69" s="160">
        <f t="shared" si="27"/>
        <v>22448</v>
      </c>
      <c r="AG69" s="217">
        <f t="shared" si="28"/>
        <v>0.44698699999999991</v>
      </c>
      <c r="AH69" s="220">
        <f t="shared" si="29"/>
        <v>0.90516399999999997</v>
      </c>
      <c r="AI69" s="217"/>
      <c r="AJ69" s="163">
        <f t="shared" si="40"/>
        <v>22700.384096000002</v>
      </c>
      <c r="AK69" s="200">
        <f>AJ69</f>
        <v>22700.384096000002</v>
      </c>
      <c r="AL69" s="200">
        <f t="shared" si="30"/>
        <v>530</v>
      </c>
      <c r="AM69" s="984"/>
      <c r="AN69" s="182">
        <f t="shared" si="41"/>
        <v>-0.33333333333333331</v>
      </c>
      <c r="AO69" s="183">
        <f t="shared" si="35"/>
        <v>-0.41686358364648496</v>
      </c>
    </row>
    <row r="70" spans="1:79" ht="13.8" x14ac:dyDescent="0.25">
      <c r="A70" s="981"/>
      <c r="B70" s="159" t="s">
        <v>10</v>
      </c>
      <c r="C70" s="160">
        <v>4740</v>
      </c>
      <c r="D70" s="161">
        <v>6.0400000000000002E-2</v>
      </c>
      <c r="E70" s="162">
        <v>0.191</v>
      </c>
      <c r="F70" s="161"/>
      <c r="G70" s="163">
        <f t="shared" si="36"/>
        <v>4792.3062</v>
      </c>
      <c r="H70" s="200">
        <f>G69+G70</f>
        <v>25615.672466</v>
      </c>
      <c r="I70" s="200">
        <v>53</v>
      </c>
      <c r="J70" s="984"/>
      <c r="K70" s="209">
        <f t="shared" si="37"/>
        <v>0.26190476190476192</v>
      </c>
      <c r="L70" s="183">
        <f t="shared" si="33"/>
        <v>1.5479964919435127</v>
      </c>
      <c r="N70" s="160">
        <v>8770</v>
      </c>
      <c r="O70" s="161">
        <v>0.114</v>
      </c>
      <c r="P70" s="162">
        <v>0.35899999999999999</v>
      </c>
      <c r="Q70" s="161"/>
      <c r="R70" s="163">
        <f t="shared" si="38"/>
        <v>8868.3269999999993</v>
      </c>
      <c r="S70" s="200">
        <f>R69+R70</f>
        <v>10745.34483</v>
      </c>
      <c r="T70" s="200">
        <v>240</v>
      </c>
      <c r="U70" s="984"/>
      <c r="V70" s="182">
        <f t="shared" si="39"/>
        <v>-0.18367346938775511</v>
      </c>
      <c r="W70" s="183">
        <f t="shared" si="34"/>
        <v>8.7940984444784029E-2</v>
      </c>
      <c r="AF70" s="160">
        <f t="shared" si="27"/>
        <v>13510</v>
      </c>
      <c r="AG70" s="217">
        <f t="shared" si="28"/>
        <v>0.1744</v>
      </c>
      <c r="AH70" s="220">
        <f t="shared" si="29"/>
        <v>0.55000000000000004</v>
      </c>
      <c r="AI70" s="217"/>
      <c r="AJ70" s="163">
        <f t="shared" si="40"/>
        <v>13660.6332</v>
      </c>
      <c r="AK70" s="200">
        <f>AJ69+AJ70</f>
        <v>36361.017296000005</v>
      </c>
      <c r="AL70" s="200">
        <f t="shared" si="30"/>
        <v>293</v>
      </c>
      <c r="AM70" s="984"/>
      <c r="AN70" s="182">
        <f t="shared" si="41"/>
        <v>-0.12797619047619047</v>
      </c>
      <c r="AO70" s="183">
        <f t="shared" si="35"/>
        <v>0.36166629528258831</v>
      </c>
    </row>
    <row r="71" spans="1:79" ht="13.8" x14ac:dyDescent="0.25">
      <c r="A71" s="981"/>
      <c r="B71" s="159" t="s">
        <v>920</v>
      </c>
      <c r="C71" s="160">
        <v>0</v>
      </c>
      <c r="D71" s="161">
        <v>0</v>
      </c>
      <c r="E71" s="162">
        <v>0</v>
      </c>
      <c r="F71" s="161"/>
      <c r="G71" s="163">
        <f t="shared" si="36"/>
        <v>0</v>
      </c>
      <c r="H71" s="200">
        <f>SUM(G69:G71)</f>
        <v>25615.672466</v>
      </c>
      <c r="I71" s="200">
        <v>0</v>
      </c>
      <c r="J71" s="984"/>
      <c r="K71" s="209" t="e">
        <f t="shared" si="37"/>
        <v>#DIV/0!</v>
      </c>
      <c r="L71" s="183" t="e">
        <f t="shared" si="33"/>
        <v>#DIV/0!</v>
      </c>
      <c r="N71" s="160">
        <v>346</v>
      </c>
      <c r="O71" s="161">
        <v>4.1099999999999999E-3</v>
      </c>
      <c r="P71" s="162">
        <v>1.4999999999999999E-2</v>
      </c>
      <c r="Q71" s="161"/>
      <c r="R71" s="163">
        <f t="shared" si="38"/>
        <v>350.09008</v>
      </c>
      <c r="S71" s="200">
        <f>SUM(R69:R71)</f>
        <v>11095.43491</v>
      </c>
      <c r="T71" s="200">
        <v>1773</v>
      </c>
      <c r="U71" s="984"/>
      <c r="V71" s="182">
        <f t="shared" si="39"/>
        <v>-0.68007939372067849</v>
      </c>
      <c r="W71" s="183">
        <f t="shared" si="34"/>
        <v>-0.6085597363042341</v>
      </c>
      <c r="AF71" s="160">
        <f t="shared" si="27"/>
        <v>346</v>
      </c>
      <c r="AG71" s="217">
        <f t="shared" si="28"/>
        <v>4.1099999999999999E-3</v>
      </c>
      <c r="AH71" s="220">
        <f t="shared" si="29"/>
        <v>1.4999999999999999E-2</v>
      </c>
      <c r="AI71" s="217"/>
      <c r="AJ71" s="163">
        <f t="shared" si="40"/>
        <v>350.09008</v>
      </c>
      <c r="AK71" s="200">
        <f>SUM(AJ69:AJ71)</f>
        <v>36711.107376000007</v>
      </c>
      <c r="AL71" s="200">
        <f t="shared" si="30"/>
        <v>1773</v>
      </c>
      <c r="AM71" s="984"/>
      <c r="AN71" s="182">
        <f>(AL71-AL58)/AL58</f>
        <v>-0.68007939372067849</v>
      </c>
      <c r="AO71" s="183">
        <f t="shared" si="35"/>
        <v>-0.6085597363042341</v>
      </c>
    </row>
    <row r="72" spans="1:79" ht="14.4" thickBot="1" x14ac:dyDescent="0.3">
      <c r="A72" s="987"/>
      <c r="B72" s="159" t="s">
        <v>922</v>
      </c>
      <c r="C72" s="168">
        <v>177</v>
      </c>
      <c r="D72" s="169">
        <v>1.8600000000000001E-3</v>
      </c>
      <c r="E72" s="170">
        <v>6.1700000000000001E-3</v>
      </c>
      <c r="F72" s="169"/>
      <c r="G72" s="204">
        <f t="shared" si="36"/>
        <v>178.68713</v>
      </c>
      <c r="H72" s="200">
        <f>SUM(G69:G72)</f>
        <v>25794.359595999998</v>
      </c>
      <c r="I72" s="200">
        <v>14</v>
      </c>
      <c r="J72" s="984"/>
      <c r="K72" s="210">
        <f t="shared" si="37"/>
        <v>0.55555555555555558</v>
      </c>
      <c r="L72" s="187">
        <f t="shared" si="33"/>
        <v>0.17914518025162413</v>
      </c>
      <c r="N72" s="168">
        <v>678</v>
      </c>
      <c r="O72" s="169">
        <v>4.5999999999999999E-3</v>
      </c>
      <c r="P72" s="170">
        <v>1.6500000000000001E-2</v>
      </c>
      <c r="Q72" s="169"/>
      <c r="R72" s="204">
        <f t="shared" si="38"/>
        <v>682.5012999999999</v>
      </c>
      <c r="S72" s="200">
        <f>SUM(R69:R72)</f>
        <v>11777.93621</v>
      </c>
      <c r="T72" s="200">
        <v>43</v>
      </c>
      <c r="U72" s="984"/>
      <c r="V72" s="186">
        <f>(T72-T59)/T59</f>
        <v>-0.48192771084337349</v>
      </c>
      <c r="W72" s="187">
        <f t="shared" si="34"/>
        <v>-0.36063748621087394</v>
      </c>
      <c r="AF72" s="168">
        <f t="shared" si="27"/>
        <v>855</v>
      </c>
      <c r="AG72" s="218">
        <f t="shared" si="28"/>
        <v>6.4600000000000005E-3</v>
      </c>
      <c r="AH72" s="221">
        <f t="shared" si="29"/>
        <v>2.2670000000000003E-2</v>
      </c>
      <c r="AI72" s="218"/>
      <c r="AJ72" s="204">
        <f t="shared" si="40"/>
        <v>861.18843000000004</v>
      </c>
      <c r="AK72" s="200">
        <f>SUM(AJ69:AJ72)</f>
        <v>37572.295806000009</v>
      </c>
      <c r="AL72" s="200">
        <f t="shared" si="30"/>
        <v>57</v>
      </c>
      <c r="AM72" s="984"/>
      <c r="AN72" s="186">
        <f>(AL72-AL59)/AL59</f>
        <v>-0.38043478260869568</v>
      </c>
      <c r="AO72" s="187">
        <f t="shared" si="35"/>
        <v>-0.29353520822299978</v>
      </c>
    </row>
    <row r="73" spans="1:79" ht="14.4" thickBot="1" x14ac:dyDescent="0.3">
      <c r="A73" s="172" t="s">
        <v>3</v>
      </c>
      <c r="B73" s="173">
        <f>A61</f>
        <v>2020</v>
      </c>
      <c r="C73" s="174">
        <f>SUM(C69:C72)</f>
        <v>25512</v>
      </c>
      <c r="D73" s="205">
        <f>SUM(D69:D72)</f>
        <v>0.32863699999999996</v>
      </c>
      <c r="E73" s="205">
        <f>SUM(E69:E72)</f>
        <v>1.0307839999999999</v>
      </c>
      <c r="F73" s="867"/>
      <c r="G73" s="175">
        <f t="shared" si="36"/>
        <v>25794.359595999998</v>
      </c>
      <c r="H73" s="175">
        <f>H72</f>
        <v>25794.359595999998</v>
      </c>
      <c r="I73" s="175">
        <f>SUM(I69:I72)</f>
        <v>438</v>
      </c>
      <c r="J73" s="985"/>
      <c r="K73" s="190">
        <f t="shared" si="37"/>
        <v>-0.31240188383045525</v>
      </c>
      <c r="L73" s="191">
        <f t="shared" si="33"/>
        <v>-0.30020830937938736</v>
      </c>
      <c r="N73" s="174">
        <f>SUM(N69:N72)</f>
        <v>11647</v>
      </c>
      <c r="O73" s="205">
        <f>SUM(O69:O72)</f>
        <v>0.30331999999999998</v>
      </c>
      <c r="P73" s="205">
        <f>SUM(P69:P72)</f>
        <v>0.46205000000000002</v>
      </c>
      <c r="Q73" s="867"/>
      <c r="R73" s="175">
        <f>N73+O73*$O$6+P73*$P$6</f>
        <v>11777.93621</v>
      </c>
      <c r="S73" s="175">
        <f>S72</f>
        <v>11777.93621</v>
      </c>
      <c r="T73" s="175">
        <f>SUM(T69:T72)</f>
        <v>2215</v>
      </c>
      <c r="U73" s="985"/>
      <c r="V73" s="190">
        <f>(T73-T60)/T60</f>
        <v>-0.63854438642297651</v>
      </c>
      <c r="W73" s="191">
        <f t="shared" si="34"/>
        <v>-0.17136719244552773</v>
      </c>
      <c r="AF73" s="174">
        <f t="shared" si="27"/>
        <v>37159</v>
      </c>
      <c r="AG73" s="486">
        <f t="shared" si="28"/>
        <v>0.63195699999999988</v>
      </c>
      <c r="AH73" s="487">
        <f t="shared" si="29"/>
        <v>1.492834</v>
      </c>
      <c r="AI73" s="869"/>
      <c r="AJ73" s="175">
        <f>AF73+AG73*$AG$6+AH73*$AH$6</f>
        <v>37572.295806000002</v>
      </c>
      <c r="AK73" s="175">
        <f>AK72</f>
        <v>37572.295806000009</v>
      </c>
      <c r="AL73" s="175">
        <f t="shared" si="30"/>
        <v>2653</v>
      </c>
      <c r="AM73" s="985"/>
      <c r="AN73" s="190">
        <f>(AL73-AL60)/AL60</f>
        <v>-0.6078344419807834</v>
      </c>
      <c r="AO73" s="191">
        <f t="shared" si="35"/>
        <v>-0.26435214805447493</v>
      </c>
    </row>
    <row r="74" spans="1:79" ht="13.8" x14ac:dyDescent="0.25">
      <c r="A74" s="981">
        <v>2021</v>
      </c>
      <c r="B74" s="151" t="s">
        <v>891</v>
      </c>
      <c r="C74" s="152">
        <v>399</v>
      </c>
      <c r="D74" s="153">
        <v>0</v>
      </c>
      <c r="E74" s="154">
        <v>0</v>
      </c>
      <c r="F74" s="153"/>
      <c r="G74" s="155">
        <v>510</v>
      </c>
      <c r="H74" s="199">
        <f>G74</f>
        <v>510</v>
      </c>
      <c r="I74" s="199">
        <v>5</v>
      </c>
      <c r="J74" s="983" t="str">
        <f>"Milli áranna "&amp; $A61 &amp;" og "&amp; $A74</f>
        <v>Milli áranna 2020 og 2021</v>
      </c>
      <c r="K74" s="208" t="e">
        <f t="shared" ref="K74:K86" si="42">(I74-I61)/I61</f>
        <v>#DIV/0!</v>
      </c>
      <c r="L74" s="179" t="e">
        <f t="shared" ref="L74:L86" si="43">(G74-G61)/G61</f>
        <v>#DIV/0!</v>
      </c>
      <c r="N74" s="152">
        <v>8</v>
      </c>
      <c r="O74" s="153">
        <v>0</v>
      </c>
      <c r="P74" s="154">
        <v>0</v>
      </c>
      <c r="Q74" s="153"/>
      <c r="R74" s="155">
        <v>10</v>
      </c>
      <c r="S74" s="199">
        <f>R74</f>
        <v>10</v>
      </c>
      <c r="T74" s="199">
        <v>1</v>
      </c>
      <c r="U74" s="983" t="str">
        <f>"Milli áranna "&amp; $A61 &amp;" og "&amp; $A74</f>
        <v>Milli áranna 2020 og 2021</v>
      </c>
      <c r="V74" s="178" t="e">
        <f t="shared" ref="V74:V84" si="44">(T74-T61)/T61</f>
        <v>#DIV/0!</v>
      </c>
      <c r="W74" s="179" t="e">
        <f t="shared" ref="W74:W86" si="45">(R74-R61)/R61</f>
        <v>#DIV/0!</v>
      </c>
      <c r="AF74" s="152">
        <f t="shared" ref="AF74:AF86" si="46">N74+C74</f>
        <v>407</v>
      </c>
      <c r="AG74" s="216">
        <f t="shared" ref="AG74:AG86" si="47">O74+D74</f>
        <v>0</v>
      </c>
      <c r="AH74" s="219">
        <f t="shared" ref="AH74:AH86" si="48">P74+E74</f>
        <v>0</v>
      </c>
      <c r="AI74" s="216"/>
      <c r="AJ74" s="155">
        <f t="shared" ref="AJ74:AJ84" si="49">R74+G74</f>
        <v>520</v>
      </c>
      <c r="AK74" s="199">
        <f>AJ74</f>
        <v>520</v>
      </c>
      <c r="AL74" s="199">
        <f t="shared" ref="AL74:AL86" si="50">T74+I74</f>
        <v>6</v>
      </c>
      <c r="AM74" s="983" t="str">
        <f>"Milli áranna "&amp; $A61 &amp;" og "&amp; $A74</f>
        <v>Milli áranna 2020 og 2021</v>
      </c>
      <c r="AN74" s="178" t="e">
        <f t="shared" ref="AN74:AN83" si="51">(AL74-AL61)/AL61</f>
        <v>#DIV/0!</v>
      </c>
      <c r="AO74" s="179" t="e">
        <f t="shared" ref="AO74:AO86" si="52">(AJ74-AJ61)/AJ61</f>
        <v>#DIV/0!</v>
      </c>
    </row>
    <row r="75" spans="1:79" ht="13.8" x14ac:dyDescent="0.25">
      <c r="A75" s="981"/>
      <c r="B75" s="159" t="s">
        <v>893</v>
      </c>
      <c r="C75" s="160">
        <v>11240</v>
      </c>
      <c r="D75" s="161">
        <v>0</v>
      </c>
      <c r="E75" s="162">
        <v>0</v>
      </c>
      <c r="F75" s="161"/>
      <c r="G75" s="163">
        <v>14200</v>
      </c>
      <c r="H75" s="200">
        <f>G75+G74</f>
        <v>14710</v>
      </c>
      <c r="I75" s="200">
        <v>288</v>
      </c>
      <c r="J75" s="984"/>
      <c r="K75" s="209">
        <f t="shared" si="42"/>
        <v>7.8651685393258425E-2</v>
      </c>
      <c r="L75" s="183">
        <f t="shared" si="43"/>
        <v>-0.26079589377324663</v>
      </c>
      <c r="N75" s="160">
        <v>153</v>
      </c>
      <c r="O75" s="161">
        <v>0</v>
      </c>
      <c r="P75" s="162">
        <v>0</v>
      </c>
      <c r="Q75" s="161"/>
      <c r="R75" s="163">
        <v>190</v>
      </c>
      <c r="S75" s="200">
        <f>R75+R74</f>
        <v>200</v>
      </c>
      <c r="T75" s="200">
        <v>10</v>
      </c>
      <c r="U75" s="984"/>
      <c r="V75" s="182">
        <f t="shared" si="44"/>
        <v>2.3333333333333335</v>
      </c>
      <c r="W75" s="183">
        <f t="shared" si="45"/>
        <v>-8.3148181542643765E-2</v>
      </c>
      <c r="AF75" s="160">
        <f t="shared" si="46"/>
        <v>11393</v>
      </c>
      <c r="AG75" s="217">
        <f t="shared" si="47"/>
        <v>0</v>
      </c>
      <c r="AH75" s="220">
        <f t="shared" si="48"/>
        <v>0</v>
      </c>
      <c r="AI75" s="217"/>
      <c r="AJ75" s="163">
        <f t="shared" si="49"/>
        <v>14390</v>
      </c>
      <c r="AK75" s="200">
        <f>AJ75+AJ74</f>
        <v>14910</v>
      </c>
      <c r="AL75" s="200">
        <f t="shared" si="50"/>
        <v>298</v>
      </c>
      <c r="AM75" s="984"/>
      <c r="AN75" s="182">
        <f t="shared" si="51"/>
        <v>0.1037037037037037</v>
      </c>
      <c r="AO75" s="183">
        <f t="shared" si="52"/>
        <v>-0.25889992958555369</v>
      </c>
    </row>
    <row r="76" spans="1:79" ht="13.8" x14ac:dyDescent="0.25">
      <c r="A76" s="981"/>
      <c r="B76" s="159" t="s">
        <v>895</v>
      </c>
      <c r="C76" s="160">
        <v>1000</v>
      </c>
      <c r="D76" s="161">
        <v>0</v>
      </c>
      <c r="E76" s="162">
        <v>0</v>
      </c>
      <c r="F76" s="161"/>
      <c r="G76" s="163">
        <v>1270</v>
      </c>
      <c r="H76" s="200">
        <f>G76+G75+G74</f>
        <v>15980</v>
      </c>
      <c r="I76" s="200">
        <v>108</v>
      </c>
      <c r="J76" s="984"/>
      <c r="K76" s="209">
        <f t="shared" si="42"/>
        <v>0.08</v>
      </c>
      <c r="L76" s="183">
        <f t="shared" si="43"/>
        <v>3.7448712660934275E-2</v>
      </c>
      <c r="N76" s="160">
        <v>0.1</v>
      </c>
      <c r="O76" s="161">
        <v>0</v>
      </c>
      <c r="P76" s="162">
        <v>0</v>
      </c>
      <c r="Q76" s="161"/>
      <c r="R76" s="163">
        <v>0.1</v>
      </c>
      <c r="S76" s="200">
        <f>R76+R75+R74</f>
        <v>200.1</v>
      </c>
      <c r="T76" s="200">
        <v>1</v>
      </c>
      <c r="U76" s="984"/>
      <c r="V76" s="182" t="e">
        <f>(T76-T63)/T63</f>
        <v>#DIV/0!</v>
      </c>
      <c r="W76" s="183" t="e">
        <f t="shared" si="45"/>
        <v>#DIV/0!</v>
      </c>
      <c r="AF76" s="160">
        <f t="shared" si="46"/>
        <v>1000.1</v>
      </c>
      <c r="AG76" s="217">
        <f t="shared" si="47"/>
        <v>0</v>
      </c>
      <c r="AH76" s="220">
        <f t="shared" si="48"/>
        <v>0</v>
      </c>
      <c r="AI76" s="217"/>
      <c r="AJ76" s="163">
        <f t="shared" si="49"/>
        <v>1270.0999999999999</v>
      </c>
      <c r="AK76" s="200">
        <f>AJ76+AJ75+AJ74</f>
        <v>16180.1</v>
      </c>
      <c r="AL76" s="200">
        <f t="shared" si="50"/>
        <v>109</v>
      </c>
      <c r="AM76" s="984"/>
      <c r="AN76" s="182">
        <f t="shared" si="51"/>
        <v>0.09</v>
      </c>
      <c r="AO76" s="183">
        <f t="shared" si="52"/>
        <v>3.7530401535946868E-2</v>
      </c>
    </row>
    <row r="77" spans="1:79" ht="13.8" x14ac:dyDescent="0.25">
      <c r="A77" s="981"/>
      <c r="B77" s="159" t="s">
        <v>897</v>
      </c>
      <c r="C77" s="160">
        <v>17.5</v>
      </c>
      <c r="D77" s="161">
        <v>0</v>
      </c>
      <c r="E77" s="162">
        <v>0</v>
      </c>
      <c r="F77" s="161"/>
      <c r="G77" s="163">
        <v>18</v>
      </c>
      <c r="H77" s="200">
        <f>SUM(G74:G77)</f>
        <v>15998</v>
      </c>
      <c r="I77" s="200">
        <v>1</v>
      </c>
      <c r="J77" s="984"/>
      <c r="K77" s="209">
        <f t="shared" si="42"/>
        <v>-0.5</v>
      </c>
      <c r="L77" s="183">
        <f t="shared" si="43"/>
        <v>-0.73795206980304651</v>
      </c>
      <c r="N77" s="160">
        <v>860</v>
      </c>
      <c r="O77" s="161">
        <v>0</v>
      </c>
      <c r="P77" s="162">
        <v>0</v>
      </c>
      <c r="Q77" s="161"/>
      <c r="R77" s="163">
        <v>1110</v>
      </c>
      <c r="S77" s="200">
        <f>SUM(R74:R77)</f>
        <v>1310.0999999999999</v>
      </c>
      <c r="T77" s="200">
        <v>149</v>
      </c>
      <c r="U77" s="984"/>
      <c r="V77" s="182">
        <f t="shared" si="44"/>
        <v>-6.6666666666666671E-3</v>
      </c>
      <c r="W77" s="183">
        <f t="shared" si="45"/>
        <v>-5.6837268048856105E-3</v>
      </c>
      <c r="AF77" s="160">
        <f t="shared" si="46"/>
        <v>877.5</v>
      </c>
      <c r="AG77" s="217">
        <f t="shared" si="47"/>
        <v>0</v>
      </c>
      <c r="AH77" s="220">
        <f t="shared" si="48"/>
        <v>0</v>
      </c>
      <c r="AI77" s="217"/>
      <c r="AJ77" s="163">
        <f t="shared" si="49"/>
        <v>1128</v>
      </c>
      <c r="AK77" s="200">
        <f>SUM(AJ74:AJ77)</f>
        <v>17308.099999999999</v>
      </c>
      <c r="AL77" s="200">
        <f t="shared" si="50"/>
        <v>150</v>
      </c>
      <c r="AM77" s="984"/>
      <c r="AN77" s="182">
        <f t="shared" si="51"/>
        <v>-1.3157894736842105E-2</v>
      </c>
      <c r="AO77" s="183">
        <f t="shared" si="52"/>
        <v>-4.812915844987499E-2</v>
      </c>
    </row>
    <row r="78" spans="1:79" ht="13.8" x14ac:dyDescent="0.25">
      <c r="A78" s="981"/>
      <c r="B78" s="193" t="s">
        <v>899</v>
      </c>
      <c r="C78" s="160">
        <f>SUM(C74:C77)</f>
        <v>12656.5</v>
      </c>
      <c r="D78" s="161">
        <v>0</v>
      </c>
      <c r="E78" s="162">
        <v>0</v>
      </c>
      <c r="F78" s="161"/>
      <c r="G78" s="163">
        <f>SUM(G74:G77)</f>
        <v>15998</v>
      </c>
      <c r="H78" s="200">
        <f>SUM(G78)</f>
        <v>15998</v>
      </c>
      <c r="I78" s="200">
        <f>SUM(I74:I77)</f>
        <v>402</v>
      </c>
      <c r="J78" s="984"/>
      <c r="K78" s="209">
        <f t="shared" si="42"/>
        <v>8.943089430894309E-2</v>
      </c>
      <c r="L78" s="183">
        <f t="shared" si="43"/>
        <v>-0.21971239718422711</v>
      </c>
      <c r="N78" s="160">
        <f>SUM(N74:N77)</f>
        <v>1021.1</v>
      </c>
      <c r="O78" s="161">
        <v>0</v>
      </c>
      <c r="P78" s="162">
        <v>0</v>
      </c>
      <c r="Q78" s="161"/>
      <c r="R78" s="163">
        <f>SUM(R74:R77)</f>
        <v>1310.0999999999999</v>
      </c>
      <c r="S78" s="200">
        <f>SUM(R78)</f>
        <v>1310.0999999999999</v>
      </c>
      <c r="T78" s="200">
        <f>SUM(T74:T77)</f>
        <v>161</v>
      </c>
      <c r="U78" s="984"/>
      <c r="V78" s="182">
        <f t="shared" si="44"/>
        <v>5.2287581699346407E-2</v>
      </c>
      <c r="W78" s="183">
        <f t="shared" si="45"/>
        <v>-1.0181411058815985E-2</v>
      </c>
      <c r="AF78" s="160">
        <f t="shared" si="46"/>
        <v>13677.6</v>
      </c>
      <c r="AG78" s="217">
        <f t="shared" si="47"/>
        <v>0</v>
      </c>
      <c r="AH78" s="220">
        <f t="shared" si="48"/>
        <v>0</v>
      </c>
      <c r="AI78" s="217"/>
      <c r="AJ78" s="163">
        <f t="shared" si="49"/>
        <v>17308.099999999999</v>
      </c>
      <c r="AK78" s="200">
        <f>SUM(AJ78)</f>
        <v>17308.099999999999</v>
      </c>
      <c r="AL78" s="200">
        <f t="shared" si="50"/>
        <v>563</v>
      </c>
      <c r="AM78" s="984"/>
      <c r="AN78" s="182">
        <f t="shared" si="51"/>
        <v>7.8544061302681989E-2</v>
      </c>
      <c r="AO78" s="183">
        <f t="shared" si="52"/>
        <v>-0.20700614341005955</v>
      </c>
    </row>
    <row r="79" spans="1:79" ht="13.8" x14ac:dyDescent="0.25">
      <c r="A79" s="981"/>
      <c r="B79" s="159" t="s">
        <v>901</v>
      </c>
      <c r="C79" s="160">
        <v>0</v>
      </c>
      <c r="D79" s="161">
        <v>0</v>
      </c>
      <c r="E79" s="162">
        <v>0</v>
      </c>
      <c r="F79" s="161"/>
      <c r="G79" s="163">
        <v>0</v>
      </c>
      <c r="H79" s="200">
        <f>G78+G79</f>
        <v>15998</v>
      </c>
      <c r="I79" s="200">
        <v>0</v>
      </c>
      <c r="J79" s="984"/>
      <c r="K79" s="209">
        <f t="shared" si="42"/>
        <v>-1</v>
      </c>
      <c r="L79" s="183">
        <f t="shared" si="43"/>
        <v>-1</v>
      </c>
      <c r="N79" s="160">
        <v>35.700000000000003</v>
      </c>
      <c r="O79" s="161">
        <v>0</v>
      </c>
      <c r="P79" s="162">
        <v>0</v>
      </c>
      <c r="Q79" s="161"/>
      <c r="R79" s="163">
        <v>1900</v>
      </c>
      <c r="S79" s="200">
        <f>R78+R79</f>
        <v>3210.1</v>
      </c>
      <c r="T79" s="200">
        <v>1</v>
      </c>
      <c r="U79" s="984"/>
      <c r="V79" s="182" t="e">
        <f t="shared" si="44"/>
        <v>#DIV/0!</v>
      </c>
      <c r="W79" s="183" t="e">
        <f t="shared" si="45"/>
        <v>#DIV/0!</v>
      </c>
      <c r="AF79" s="160">
        <f t="shared" si="46"/>
        <v>35.700000000000003</v>
      </c>
      <c r="AG79" s="217">
        <f t="shared" si="47"/>
        <v>0</v>
      </c>
      <c r="AH79" s="220">
        <f t="shared" si="48"/>
        <v>0</v>
      </c>
      <c r="AI79" s="217"/>
      <c r="AJ79" s="163">
        <f t="shared" si="49"/>
        <v>1900</v>
      </c>
      <c r="AK79" s="200">
        <f>AJ78+AJ79</f>
        <v>19208.099999999999</v>
      </c>
      <c r="AL79" s="200">
        <f t="shared" si="50"/>
        <v>1</v>
      </c>
      <c r="AM79" s="984"/>
      <c r="AN79" s="182">
        <f t="shared" si="51"/>
        <v>0</v>
      </c>
      <c r="AO79" s="183">
        <f t="shared" si="52"/>
        <v>109.53360855814027</v>
      </c>
    </row>
    <row r="80" spans="1:79" ht="13.8" x14ac:dyDescent="0.25">
      <c r="A80" s="981"/>
      <c r="B80" s="159" t="s">
        <v>902</v>
      </c>
      <c r="C80" s="160">
        <v>3950</v>
      </c>
      <c r="D80" s="161">
        <v>0</v>
      </c>
      <c r="E80" s="162">
        <v>0</v>
      </c>
      <c r="F80" s="161"/>
      <c r="G80" s="163">
        <v>4880</v>
      </c>
      <c r="H80" s="200">
        <f>G80+G79+G78</f>
        <v>20878</v>
      </c>
      <c r="I80" s="200">
        <v>34</v>
      </c>
      <c r="J80" s="984"/>
      <c r="K80" s="209">
        <f t="shared" si="42"/>
        <v>33</v>
      </c>
      <c r="L80" s="183">
        <f t="shared" si="43"/>
        <v>15.080121180847652</v>
      </c>
      <c r="N80" s="160">
        <v>1530</v>
      </c>
      <c r="O80" s="161">
        <v>0</v>
      </c>
      <c r="P80" s="162">
        <v>0</v>
      </c>
      <c r="Q80" s="161"/>
      <c r="R80" s="163">
        <v>50</v>
      </c>
      <c r="S80" s="200">
        <f>R80+R79+R78</f>
        <v>3260.1</v>
      </c>
      <c r="T80" s="200">
        <v>24</v>
      </c>
      <c r="U80" s="984"/>
      <c r="V80" s="182">
        <f t="shared" si="44"/>
        <v>3</v>
      </c>
      <c r="W80" s="183">
        <f t="shared" si="45"/>
        <v>-0.90965628988448943</v>
      </c>
      <c r="AF80" s="160">
        <f t="shared" si="46"/>
        <v>5480</v>
      </c>
      <c r="AG80" s="217">
        <f t="shared" si="47"/>
        <v>0</v>
      </c>
      <c r="AH80" s="220">
        <f t="shared" si="48"/>
        <v>0</v>
      </c>
      <c r="AI80" s="217"/>
      <c r="AJ80" s="163">
        <f t="shared" si="49"/>
        <v>4930</v>
      </c>
      <c r="AK80" s="200">
        <f>AJ80+AJ79+AJ78</f>
        <v>24138.1</v>
      </c>
      <c r="AL80" s="200">
        <f t="shared" si="50"/>
        <v>58</v>
      </c>
      <c r="AM80" s="984"/>
      <c r="AN80" s="182">
        <f t="shared" si="51"/>
        <v>7.2857142857142856</v>
      </c>
      <c r="AO80" s="183">
        <f t="shared" si="52"/>
        <v>4.7531473158370288</v>
      </c>
    </row>
    <row r="81" spans="1:41" ht="13.8" x14ac:dyDescent="0.25">
      <c r="A81" s="981"/>
      <c r="B81" s="159" t="s">
        <v>905</v>
      </c>
      <c r="C81" s="160">
        <f>C80+C79</f>
        <v>3950</v>
      </c>
      <c r="D81" s="161">
        <v>0</v>
      </c>
      <c r="E81" s="162">
        <v>0</v>
      </c>
      <c r="F81" s="161"/>
      <c r="G81" s="163">
        <f>SUM(G79:G80)</f>
        <v>4880</v>
      </c>
      <c r="H81" s="200">
        <f>G81+G78</f>
        <v>20878</v>
      </c>
      <c r="I81" s="200">
        <f>I80+I79</f>
        <v>34</v>
      </c>
      <c r="J81" s="984"/>
      <c r="K81" s="209">
        <f t="shared" si="42"/>
        <v>16</v>
      </c>
      <c r="L81" s="183">
        <f t="shared" si="43"/>
        <v>14.218154015340186</v>
      </c>
      <c r="N81" s="160">
        <f>N80+N79</f>
        <v>1565.7</v>
      </c>
      <c r="O81" s="161">
        <v>0</v>
      </c>
      <c r="P81" s="162">
        <v>0</v>
      </c>
      <c r="Q81" s="161"/>
      <c r="R81" s="163">
        <f>SUM(R79:R80)</f>
        <v>1950</v>
      </c>
      <c r="S81" s="200">
        <f>R81+R78</f>
        <v>3260.1</v>
      </c>
      <c r="T81" s="200">
        <f>T80+T79</f>
        <v>25</v>
      </c>
      <c r="U81" s="984"/>
      <c r="V81" s="182">
        <f t="shared" si="44"/>
        <v>3.1666666666666665</v>
      </c>
      <c r="W81" s="183">
        <f t="shared" si="45"/>
        <v>2.5234046945049124</v>
      </c>
      <c r="AF81" s="160">
        <f t="shared" si="46"/>
        <v>5515.7</v>
      </c>
      <c r="AG81" s="217">
        <f t="shared" si="47"/>
        <v>0</v>
      </c>
      <c r="AH81" s="220">
        <f t="shared" si="48"/>
        <v>0</v>
      </c>
      <c r="AI81" s="217"/>
      <c r="AJ81" s="163">
        <f t="shared" si="49"/>
        <v>6830</v>
      </c>
      <c r="AK81" s="200">
        <f>AJ81+AJ78</f>
        <v>24138.1</v>
      </c>
      <c r="AL81" s="200">
        <f t="shared" si="50"/>
        <v>59</v>
      </c>
      <c r="AM81" s="984"/>
      <c r="AN81" s="182">
        <f t="shared" si="51"/>
        <v>6.375</v>
      </c>
      <c r="AO81" s="183">
        <f t="shared" si="52"/>
        <v>6.8136475758618289</v>
      </c>
    </row>
    <row r="82" spans="1:41" ht="13.8" x14ac:dyDescent="0.25">
      <c r="A82" s="981"/>
      <c r="B82" s="159" t="s">
        <v>909</v>
      </c>
      <c r="C82" s="160">
        <f>C81+C78</f>
        <v>16606.5</v>
      </c>
      <c r="D82" s="202">
        <v>0</v>
      </c>
      <c r="E82" s="203">
        <v>0</v>
      </c>
      <c r="F82" s="202"/>
      <c r="G82" s="163">
        <f>G81+G78</f>
        <v>20878</v>
      </c>
      <c r="H82" s="200">
        <f>G82</f>
        <v>20878</v>
      </c>
      <c r="I82" s="200">
        <f>I81+I78</f>
        <v>436</v>
      </c>
      <c r="J82" s="984"/>
      <c r="K82" s="209">
        <f t="shared" si="42"/>
        <v>0.17520215633423181</v>
      </c>
      <c r="L82" s="183">
        <f t="shared" si="43"/>
        <v>2.6236744483145373E-3</v>
      </c>
      <c r="N82" s="160">
        <f>N81+N78</f>
        <v>2586.8000000000002</v>
      </c>
      <c r="O82" s="202">
        <v>0</v>
      </c>
      <c r="P82" s="203">
        <v>0</v>
      </c>
      <c r="Q82" s="202"/>
      <c r="R82" s="163">
        <f>R81+R78</f>
        <v>3260.1</v>
      </c>
      <c r="S82" s="200">
        <f>R82</f>
        <v>3260.1</v>
      </c>
      <c r="T82" s="200">
        <f>T81+T78</f>
        <v>186</v>
      </c>
      <c r="U82" s="984"/>
      <c r="V82" s="182">
        <f t="shared" si="44"/>
        <v>0.16981132075471697</v>
      </c>
      <c r="W82" s="183">
        <f t="shared" si="45"/>
        <v>0.73685084280739088</v>
      </c>
      <c r="AF82" s="160">
        <f t="shared" si="46"/>
        <v>19193.3</v>
      </c>
      <c r="AG82" s="217">
        <f t="shared" si="47"/>
        <v>0</v>
      </c>
      <c r="AH82" s="220">
        <f t="shared" si="48"/>
        <v>0</v>
      </c>
      <c r="AI82" s="217"/>
      <c r="AJ82" s="163">
        <f t="shared" si="49"/>
        <v>24138.1</v>
      </c>
      <c r="AK82" s="200">
        <f>AJ82</f>
        <v>24138.1</v>
      </c>
      <c r="AL82" s="200">
        <f t="shared" si="50"/>
        <v>622</v>
      </c>
      <c r="AM82" s="984"/>
      <c r="AN82" s="182">
        <f t="shared" si="51"/>
        <v>0.17358490566037735</v>
      </c>
      <c r="AO82" s="183">
        <f>(AJ82-AJ69)/AJ69</f>
        <v>6.3334430726805835E-2</v>
      </c>
    </row>
    <row r="83" spans="1:41" ht="13.8" x14ac:dyDescent="0.25">
      <c r="A83" s="981"/>
      <c r="B83" s="159" t="s">
        <v>10</v>
      </c>
      <c r="C83" s="160">
        <v>2900</v>
      </c>
      <c r="D83" s="161">
        <v>0</v>
      </c>
      <c r="E83" s="162">
        <v>0</v>
      </c>
      <c r="F83" s="161"/>
      <c r="G83" s="163">
        <v>3720</v>
      </c>
      <c r="H83" s="200">
        <f>G82+G83</f>
        <v>24598</v>
      </c>
      <c r="I83" s="200">
        <v>74</v>
      </c>
      <c r="J83" s="984"/>
      <c r="K83" s="209">
        <f t="shared" si="42"/>
        <v>0.39622641509433965</v>
      </c>
      <c r="L83" s="183">
        <f t="shared" si="43"/>
        <v>-0.22375577754192752</v>
      </c>
      <c r="N83" s="160">
        <v>4800</v>
      </c>
      <c r="O83" s="161">
        <v>0</v>
      </c>
      <c r="P83" s="162">
        <v>0</v>
      </c>
      <c r="Q83" s="161"/>
      <c r="R83" s="163">
        <v>6160</v>
      </c>
      <c r="S83" s="200">
        <f>R82+R83</f>
        <v>9420.1</v>
      </c>
      <c r="T83" s="200">
        <v>319</v>
      </c>
      <c r="U83" s="984"/>
      <c r="V83" s="182">
        <f t="shared" si="44"/>
        <v>0.32916666666666666</v>
      </c>
      <c r="W83" s="183">
        <f t="shared" si="45"/>
        <v>-0.30539322692994963</v>
      </c>
      <c r="AF83" s="160">
        <f t="shared" si="46"/>
        <v>7700</v>
      </c>
      <c r="AG83" s="217">
        <f t="shared" si="47"/>
        <v>0</v>
      </c>
      <c r="AH83" s="220">
        <f t="shared" si="48"/>
        <v>0</v>
      </c>
      <c r="AI83" s="217"/>
      <c r="AJ83" s="163">
        <f t="shared" si="49"/>
        <v>9880</v>
      </c>
      <c r="AK83" s="200">
        <f>AJ82+AJ83</f>
        <v>34018.1</v>
      </c>
      <c r="AL83" s="200">
        <f t="shared" si="50"/>
        <v>393</v>
      </c>
      <c r="AM83" s="984"/>
      <c r="AN83" s="182">
        <f t="shared" si="51"/>
        <v>0.34129692832764508</v>
      </c>
      <c r="AO83" s="183">
        <f t="shared" si="52"/>
        <v>-0.27675387697255499</v>
      </c>
    </row>
    <row r="84" spans="1:41" ht="13.8" x14ac:dyDescent="0.25">
      <c r="A84" s="981"/>
      <c r="B84" s="159" t="s">
        <v>920</v>
      </c>
      <c r="C84" s="160">
        <v>0</v>
      </c>
      <c r="D84" s="161">
        <v>0</v>
      </c>
      <c r="E84" s="162">
        <v>0</v>
      </c>
      <c r="F84" s="161"/>
      <c r="G84" s="163">
        <v>0</v>
      </c>
      <c r="H84" s="200">
        <f>SUM(G82:G84)</f>
        <v>24598</v>
      </c>
      <c r="I84" s="200">
        <v>0</v>
      </c>
      <c r="J84" s="984"/>
      <c r="K84" s="209">
        <f>IFERROR((I84-I71)/I71,0)</f>
        <v>0</v>
      </c>
      <c r="L84" s="183" t="e">
        <f t="shared" si="43"/>
        <v>#DIV/0!</v>
      </c>
      <c r="N84" s="160">
        <v>434</v>
      </c>
      <c r="O84" s="161">
        <v>0</v>
      </c>
      <c r="P84" s="162">
        <v>0</v>
      </c>
      <c r="Q84" s="161"/>
      <c r="R84" s="163">
        <v>542</v>
      </c>
      <c r="S84" s="200">
        <f>SUM(R82:R84)</f>
        <v>9962.1</v>
      </c>
      <c r="T84" s="200">
        <v>2383</v>
      </c>
      <c r="U84" s="984"/>
      <c r="V84" s="182">
        <f t="shared" si="44"/>
        <v>0.34404963338973493</v>
      </c>
      <c r="W84" s="183">
        <f t="shared" si="45"/>
        <v>0.5481729730816709</v>
      </c>
      <c r="AF84" s="160">
        <f t="shared" si="46"/>
        <v>434</v>
      </c>
      <c r="AG84" s="217">
        <f t="shared" si="47"/>
        <v>0</v>
      </c>
      <c r="AH84" s="220">
        <f t="shared" si="48"/>
        <v>0</v>
      </c>
      <c r="AI84" s="217"/>
      <c r="AJ84" s="163">
        <f t="shared" si="49"/>
        <v>542</v>
      </c>
      <c r="AK84" s="200">
        <f>SUM(AJ82:AJ84)</f>
        <v>34560.1</v>
      </c>
      <c r="AL84" s="200">
        <f t="shared" si="50"/>
        <v>2383</v>
      </c>
      <c r="AM84" s="984"/>
      <c r="AN84" s="182">
        <f>(AL84-AL71)/AL71</f>
        <v>0.34404963338973493</v>
      </c>
      <c r="AO84" s="183">
        <f t="shared" si="52"/>
        <v>0.5481729730816709</v>
      </c>
    </row>
    <row r="85" spans="1:41" ht="14.4" thickBot="1" x14ac:dyDescent="0.3">
      <c r="A85" s="987"/>
      <c r="B85" s="159" t="s">
        <v>922</v>
      </c>
      <c r="C85" s="168">
        <v>248</v>
      </c>
      <c r="D85" s="169">
        <v>0</v>
      </c>
      <c r="E85" s="170">
        <v>0</v>
      </c>
      <c r="F85" s="169"/>
      <c r="G85" s="204">
        <v>300</v>
      </c>
      <c r="H85" s="200">
        <f>SUM(G82:G85)</f>
        <v>24898</v>
      </c>
      <c r="I85" s="200">
        <v>18</v>
      </c>
      <c r="J85" s="984"/>
      <c r="K85" s="210">
        <f t="shared" si="42"/>
        <v>0.2857142857142857</v>
      </c>
      <c r="L85" s="187">
        <f t="shared" si="43"/>
        <v>0.67891218578528856</v>
      </c>
      <c r="N85" s="168">
        <v>585</v>
      </c>
      <c r="O85" s="169">
        <v>0</v>
      </c>
      <c r="P85" s="170">
        <v>0</v>
      </c>
      <c r="Q85" s="169"/>
      <c r="R85" s="204">
        <v>700</v>
      </c>
      <c r="S85" s="200">
        <f>SUM(R82:R85)</f>
        <v>10662.1</v>
      </c>
      <c r="T85" s="200">
        <v>60</v>
      </c>
      <c r="U85" s="984"/>
      <c r="V85" s="186">
        <f>(T85-T72)/T72</f>
        <v>0.39534883720930231</v>
      </c>
      <c r="W85" s="187">
        <f t="shared" si="45"/>
        <v>2.5639072042793327E-2</v>
      </c>
      <c r="AF85" s="168">
        <f t="shared" si="46"/>
        <v>833</v>
      </c>
      <c r="AG85" s="218">
        <f t="shared" si="47"/>
        <v>0</v>
      </c>
      <c r="AH85" s="221">
        <f t="shared" si="48"/>
        <v>0</v>
      </c>
      <c r="AI85" s="218"/>
      <c r="AJ85" s="204">
        <f>R85+G85</f>
        <v>1000</v>
      </c>
      <c r="AK85" s="200">
        <f>SUM(AJ82:AJ85)</f>
        <v>35560.1</v>
      </c>
      <c r="AL85" s="200">
        <f t="shared" si="50"/>
        <v>78</v>
      </c>
      <c r="AM85" s="984"/>
      <c r="AN85" s="186">
        <f>(AL85-AL72)/AL72</f>
        <v>0.36842105263157893</v>
      </c>
      <c r="AO85" s="187">
        <f t="shared" si="52"/>
        <v>0.16118606005888858</v>
      </c>
    </row>
    <row r="86" spans="1:41" ht="14.4" thickBot="1" x14ac:dyDescent="0.3">
      <c r="A86" s="172" t="s">
        <v>3</v>
      </c>
      <c r="B86" s="173">
        <f>A74</f>
        <v>2021</v>
      </c>
      <c r="C86" s="174">
        <f>SUM(C82:C85)</f>
        <v>19754.5</v>
      </c>
      <c r="D86" s="205">
        <f>SUM(D82:D85)</f>
        <v>0</v>
      </c>
      <c r="E86" s="205">
        <f>SUM(E82:E85)</f>
        <v>0</v>
      </c>
      <c r="F86" s="205"/>
      <c r="G86" s="174">
        <f>SUM(G82:G85)</f>
        <v>24898</v>
      </c>
      <c r="H86" s="175">
        <f>H85</f>
        <v>24898</v>
      </c>
      <c r="I86" s="175">
        <f>SUM(I82:I85)</f>
        <v>528</v>
      </c>
      <c r="J86" s="985"/>
      <c r="K86" s="190">
        <f t="shared" si="42"/>
        <v>0.20547945205479451</v>
      </c>
      <c r="L86" s="191">
        <f t="shared" si="43"/>
        <v>-3.4750217103238314E-2</v>
      </c>
      <c r="N86" s="174">
        <f>SUM(N82:N85)</f>
        <v>8405.7999999999993</v>
      </c>
      <c r="O86" s="205">
        <f>SUM(O82:O85)</f>
        <v>0</v>
      </c>
      <c r="P86" s="205">
        <f>SUM(P82:P85)</f>
        <v>0</v>
      </c>
      <c r="Q86" s="205"/>
      <c r="R86" s="174">
        <f>SUM(R82:R85)</f>
        <v>10662.1</v>
      </c>
      <c r="S86" s="175">
        <f>S85</f>
        <v>10662.1</v>
      </c>
      <c r="T86" s="175">
        <f>SUM(T82:T85)</f>
        <v>2948</v>
      </c>
      <c r="U86" s="985"/>
      <c r="V86" s="190">
        <f>(T86-T73)/T73</f>
        <v>0.33092550790067721</v>
      </c>
      <c r="W86" s="191">
        <f t="shared" si="45"/>
        <v>-9.4739535866445276E-2</v>
      </c>
      <c r="AF86" s="174">
        <f t="shared" si="46"/>
        <v>28160.3</v>
      </c>
      <c r="AG86" s="486">
        <f t="shared" si="47"/>
        <v>0</v>
      </c>
      <c r="AH86" s="487">
        <f t="shared" si="48"/>
        <v>0</v>
      </c>
      <c r="AI86" s="869"/>
      <c r="AJ86" s="175">
        <f>SUM(AJ82:AJ85)</f>
        <v>35560.1</v>
      </c>
      <c r="AK86" s="175">
        <f>AK85</f>
        <v>35560.1</v>
      </c>
      <c r="AL86" s="175">
        <f t="shared" si="50"/>
        <v>3476</v>
      </c>
      <c r="AM86" s="985"/>
      <c r="AN86" s="190">
        <f>(AL86-AL73)/AL73</f>
        <v>0.31021485111194874</v>
      </c>
      <c r="AO86" s="191">
        <f t="shared" si="52"/>
        <v>-5.3555306185965657E-2</v>
      </c>
    </row>
    <row r="87" spans="1:41" ht="13.8" x14ac:dyDescent="0.25">
      <c r="A87" s="981">
        <v>2022</v>
      </c>
      <c r="B87" s="151" t="s">
        <v>891</v>
      </c>
      <c r="C87" s="152">
        <v>20</v>
      </c>
      <c r="D87" s="153">
        <v>0</v>
      </c>
      <c r="E87" s="154">
        <v>0</v>
      </c>
      <c r="F87" s="153"/>
      <c r="G87" s="155">
        <v>30</v>
      </c>
      <c r="H87" s="199">
        <f>G87</f>
        <v>30</v>
      </c>
      <c r="I87" s="199">
        <v>1</v>
      </c>
      <c r="J87" s="983" t="str">
        <f>"Milli áranna "&amp; $A74 &amp;" og "&amp; $A87</f>
        <v>Milli áranna 2021 og 2022</v>
      </c>
      <c r="K87" s="208">
        <f>(I87-I74)/I74</f>
        <v>-0.8</v>
      </c>
      <c r="L87" s="179">
        <f t="shared" ref="L87:L99" si="53">(G87-G74)/G74</f>
        <v>-0.94117647058823528</v>
      </c>
      <c r="N87" s="152">
        <v>0</v>
      </c>
      <c r="O87" s="153">
        <v>0</v>
      </c>
      <c r="P87" s="154">
        <v>0</v>
      </c>
      <c r="Q87" s="153"/>
      <c r="R87" s="155">
        <v>0</v>
      </c>
      <c r="S87" s="199">
        <f>R87</f>
        <v>0</v>
      </c>
      <c r="T87" s="199">
        <v>0</v>
      </c>
      <c r="U87" s="983" t="str">
        <f>"Milli áranna "&amp; $A74 &amp;" og "&amp; $A87</f>
        <v>Milli áranna 2021 og 2022</v>
      </c>
      <c r="V87" s="178">
        <f>(T87-T74)/T74</f>
        <v>-1</v>
      </c>
      <c r="W87" s="179">
        <f t="shared" ref="W87:W99" si="54">(R87-R74)/R74</f>
        <v>-1</v>
      </c>
      <c r="AF87" s="152">
        <f>N87+C87</f>
        <v>20</v>
      </c>
      <c r="AG87" s="216">
        <f t="shared" ref="AG87:AG99" si="55">O87+D87</f>
        <v>0</v>
      </c>
      <c r="AH87" s="219">
        <f t="shared" ref="AH87:AH99" si="56">P87+E87</f>
        <v>0</v>
      </c>
      <c r="AI87" s="216"/>
      <c r="AJ87" s="155">
        <f t="shared" ref="AJ87:AJ98" si="57">R87+G87</f>
        <v>30</v>
      </c>
      <c r="AK87" s="199">
        <f>AJ87</f>
        <v>30</v>
      </c>
      <c r="AL87" s="199">
        <f t="shared" ref="AL87:AL99" si="58">T87+I87</f>
        <v>1</v>
      </c>
      <c r="AM87" s="983" t="str">
        <f>"Milli áranna "&amp; $A74 &amp;" og "&amp; $A87</f>
        <v>Milli áranna 2021 og 2022</v>
      </c>
      <c r="AN87" s="178">
        <f t="shared" ref="AN87:AN96" si="59">(AL87-AL74)/AL74</f>
        <v>-0.83333333333333337</v>
      </c>
      <c r="AO87" s="179">
        <f t="shared" ref="AO87:AO94" si="60">(AJ87-AJ74)/AJ74</f>
        <v>-0.94230769230769229</v>
      </c>
    </row>
    <row r="88" spans="1:41" ht="13.8" x14ac:dyDescent="0.25">
      <c r="A88" s="981"/>
      <c r="B88" s="159" t="s">
        <v>893</v>
      </c>
      <c r="C88" s="160">
        <v>11370</v>
      </c>
      <c r="D88" s="161">
        <v>0</v>
      </c>
      <c r="E88" s="162">
        <v>0</v>
      </c>
      <c r="F88" s="161"/>
      <c r="G88" s="163">
        <v>14360</v>
      </c>
      <c r="H88" s="200">
        <f>G88+G87</f>
        <v>14390</v>
      </c>
      <c r="I88" s="200">
        <v>289</v>
      </c>
      <c r="J88" s="984"/>
      <c r="K88" s="209">
        <f t="shared" ref="K88:K96" si="61">(I88-I75)/I75</f>
        <v>3.472222222222222E-3</v>
      </c>
      <c r="L88" s="183">
        <f t="shared" si="53"/>
        <v>1.1267605633802818E-2</v>
      </c>
      <c r="N88" s="160">
        <v>130</v>
      </c>
      <c r="O88" s="161">
        <v>0</v>
      </c>
      <c r="P88" s="162">
        <v>0</v>
      </c>
      <c r="Q88" s="161"/>
      <c r="R88" s="163">
        <v>170</v>
      </c>
      <c r="S88" s="200">
        <f>R88+R87</f>
        <v>170</v>
      </c>
      <c r="T88" s="200">
        <v>12</v>
      </c>
      <c r="U88" s="984"/>
      <c r="V88" s="182">
        <f>(T88-T75)/T75</f>
        <v>0.2</v>
      </c>
      <c r="W88" s="183">
        <f t="shared" si="54"/>
        <v>-0.10526315789473684</v>
      </c>
      <c r="AF88" s="160">
        <f t="shared" ref="AF88:AF99" si="62">N88+C88</f>
        <v>11500</v>
      </c>
      <c r="AG88" s="217">
        <f t="shared" si="55"/>
        <v>0</v>
      </c>
      <c r="AH88" s="220">
        <f t="shared" si="56"/>
        <v>0</v>
      </c>
      <c r="AI88" s="217"/>
      <c r="AJ88" s="163">
        <f t="shared" si="57"/>
        <v>14530</v>
      </c>
      <c r="AK88" s="200">
        <f>AJ88+AJ87</f>
        <v>14560</v>
      </c>
      <c r="AL88" s="200">
        <f t="shared" si="58"/>
        <v>301</v>
      </c>
      <c r="AM88" s="984"/>
      <c r="AN88" s="182">
        <f t="shared" si="59"/>
        <v>1.0067114093959731E-2</v>
      </c>
      <c r="AO88" s="183">
        <f t="shared" si="60"/>
        <v>9.7289784572619879E-3</v>
      </c>
    </row>
    <row r="89" spans="1:41" ht="13.8" x14ac:dyDescent="0.25">
      <c r="A89" s="981"/>
      <c r="B89" s="159" t="s">
        <v>895</v>
      </c>
      <c r="C89" s="160">
        <v>1311</v>
      </c>
      <c r="D89" s="161">
        <v>0</v>
      </c>
      <c r="E89" s="162">
        <v>0</v>
      </c>
      <c r="F89" s="161"/>
      <c r="G89" s="163">
        <v>1668</v>
      </c>
      <c r="H89" s="200">
        <f>G89+G88+G87</f>
        <v>16058</v>
      </c>
      <c r="I89" s="200">
        <v>118</v>
      </c>
      <c r="J89" s="984"/>
      <c r="K89" s="209">
        <f t="shared" si="61"/>
        <v>9.2592592592592587E-2</v>
      </c>
      <c r="L89" s="183">
        <f t="shared" si="53"/>
        <v>0.31338582677165355</v>
      </c>
      <c r="N89" s="160">
        <v>12</v>
      </c>
      <c r="O89" s="161">
        <v>0</v>
      </c>
      <c r="P89" s="162">
        <v>0</v>
      </c>
      <c r="Q89" s="161"/>
      <c r="R89" s="163">
        <v>15</v>
      </c>
      <c r="S89" s="200">
        <f>R89+R88+R87</f>
        <v>185</v>
      </c>
      <c r="T89" s="200">
        <v>5</v>
      </c>
      <c r="U89" s="984"/>
      <c r="V89" s="182">
        <f>(T89-T76)/T76</f>
        <v>4</v>
      </c>
      <c r="W89" s="183">
        <f t="shared" si="54"/>
        <v>149</v>
      </c>
      <c r="AF89" s="160">
        <f t="shared" si="62"/>
        <v>1323</v>
      </c>
      <c r="AG89" s="217">
        <f t="shared" si="55"/>
        <v>0</v>
      </c>
      <c r="AH89" s="220">
        <f t="shared" si="56"/>
        <v>0</v>
      </c>
      <c r="AI89" s="217"/>
      <c r="AJ89" s="163">
        <f t="shared" si="57"/>
        <v>1683</v>
      </c>
      <c r="AK89" s="200">
        <f>AJ89+AJ88+AJ87</f>
        <v>16243</v>
      </c>
      <c r="AL89" s="200">
        <f t="shared" si="58"/>
        <v>123</v>
      </c>
      <c r="AM89" s="984"/>
      <c r="AN89" s="182">
        <f t="shared" si="59"/>
        <v>0.12844036697247707</v>
      </c>
      <c r="AO89" s="183">
        <f t="shared" si="60"/>
        <v>0.3250925124005985</v>
      </c>
    </row>
    <row r="90" spans="1:41" ht="13.8" x14ac:dyDescent="0.25">
      <c r="A90" s="981"/>
      <c r="B90" s="159" t="s">
        <v>897</v>
      </c>
      <c r="C90" s="160">
        <v>50</v>
      </c>
      <c r="D90" s="161">
        <v>0</v>
      </c>
      <c r="E90" s="162">
        <v>0</v>
      </c>
      <c r="F90" s="161"/>
      <c r="G90" s="163">
        <v>50</v>
      </c>
      <c r="H90" s="200">
        <f>SUM(G87:G90)</f>
        <v>16108</v>
      </c>
      <c r="I90" s="200">
        <v>1</v>
      </c>
      <c r="J90" s="984"/>
      <c r="K90" s="209">
        <f t="shared" si="61"/>
        <v>0</v>
      </c>
      <c r="L90" s="183">
        <f t="shared" si="53"/>
        <v>1.7777777777777777</v>
      </c>
      <c r="N90" s="160">
        <v>940</v>
      </c>
      <c r="O90" s="161">
        <v>0</v>
      </c>
      <c r="P90" s="162">
        <v>0</v>
      </c>
      <c r="Q90" s="161"/>
      <c r="R90" s="163">
        <v>1210</v>
      </c>
      <c r="S90" s="200">
        <f>SUM(R87:R90)</f>
        <v>1395</v>
      </c>
      <c r="T90" s="200">
        <v>145</v>
      </c>
      <c r="U90" s="984"/>
      <c r="V90" s="182">
        <f t="shared" ref="V90:V97" si="63">(T90-T77)/T77</f>
        <v>-2.6845637583892617E-2</v>
      </c>
      <c r="W90" s="183">
        <f t="shared" si="54"/>
        <v>9.0090090090090086E-2</v>
      </c>
      <c r="AF90" s="160">
        <f t="shared" si="62"/>
        <v>990</v>
      </c>
      <c r="AG90" s="217">
        <f t="shared" si="55"/>
        <v>0</v>
      </c>
      <c r="AH90" s="220">
        <f t="shared" si="56"/>
        <v>0</v>
      </c>
      <c r="AI90" s="217"/>
      <c r="AJ90" s="163">
        <f>R90+G90</f>
        <v>1260</v>
      </c>
      <c r="AK90" s="200">
        <f>SUM(AJ87:AJ90)</f>
        <v>17503</v>
      </c>
      <c r="AL90" s="200">
        <f t="shared" si="58"/>
        <v>146</v>
      </c>
      <c r="AM90" s="984"/>
      <c r="AN90" s="182">
        <f t="shared" si="59"/>
        <v>-2.6666666666666668E-2</v>
      </c>
      <c r="AO90" s="183">
        <f t="shared" si="60"/>
        <v>0.11702127659574468</v>
      </c>
    </row>
    <row r="91" spans="1:41" ht="13.8" x14ac:dyDescent="0.25">
      <c r="A91" s="981"/>
      <c r="B91" s="193" t="s">
        <v>899</v>
      </c>
      <c r="C91" s="160">
        <f>SUM(C87:C90)</f>
        <v>12751</v>
      </c>
      <c r="D91" s="161">
        <v>0</v>
      </c>
      <c r="E91" s="162">
        <v>0</v>
      </c>
      <c r="F91" s="161"/>
      <c r="G91" s="163">
        <f>SUM(G87:G90)</f>
        <v>16108</v>
      </c>
      <c r="H91" s="200">
        <f>SUM(G91)</f>
        <v>16108</v>
      </c>
      <c r="I91" s="200">
        <f>SUM(I87:I90)</f>
        <v>409</v>
      </c>
      <c r="J91" s="984"/>
      <c r="K91" s="209">
        <f t="shared" si="61"/>
        <v>1.7412935323383085E-2</v>
      </c>
      <c r="L91" s="183">
        <f t="shared" si="53"/>
        <v>6.8758594824353042E-3</v>
      </c>
      <c r="N91" s="160">
        <f>SUM(N87:N90)</f>
        <v>1082</v>
      </c>
      <c r="O91" s="161">
        <v>0</v>
      </c>
      <c r="P91" s="162">
        <v>0</v>
      </c>
      <c r="Q91" s="161"/>
      <c r="R91" s="163">
        <f>SUM(R87:R90)</f>
        <v>1395</v>
      </c>
      <c r="S91" s="200">
        <f>SUM(R91)</f>
        <v>1395</v>
      </c>
      <c r="T91" s="200">
        <f>SUM(T87:T90)</f>
        <v>162</v>
      </c>
      <c r="U91" s="984"/>
      <c r="V91" s="182">
        <f>(T91-T78)/T78</f>
        <v>6.2111801242236021E-3</v>
      </c>
      <c r="W91" s="183">
        <f t="shared" si="54"/>
        <v>6.4804213418823059E-2</v>
      </c>
      <c r="AF91" s="160">
        <f t="shared" si="62"/>
        <v>13833</v>
      </c>
      <c r="AG91" s="217">
        <f t="shared" si="55"/>
        <v>0</v>
      </c>
      <c r="AH91" s="220">
        <f t="shared" si="56"/>
        <v>0</v>
      </c>
      <c r="AI91" s="217"/>
      <c r="AJ91" s="163">
        <f>R91+G91</f>
        <v>17503</v>
      </c>
      <c r="AK91" s="200">
        <f>SUM(AJ91)</f>
        <v>17503</v>
      </c>
      <c r="AL91" s="200">
        <f t="shared" si="58"/>
        <v>571</v>
      </c>
      <c r="AM91" s="984"/>
      <c r="AN91" s="182">
        <f t="shared" si="59"/>
        <v>1.4209591474245116E-2</v>
      </c>
      <c r="AO91" s="183">
        <f t="shared" si="60"/>
        <v>1.1260623638643264E-2</v>
      </c>
    </row>
    <row r="92" spans="1:41" ht="13.8" x14ac:dyDescent="0.25">
      <c r="A92" s="981"/>
      <c r="B92" s="159" t="s">
        <v>901</v>
      </c>
      <c r="C92" s="160">
        <v>0</v>
      </c>
      <c r="D92" s="161">
        <v>0</v>
      </c>
      <c r="E92" s="162">
        <v>0</v>
      </c>
      <c r="F92" s="161"/>
      <c r="G92" s="163">
        <v>0</v>
      </c>
      <c r="H92" s="200">
        <f>G91+G92</f>
        <v>16108</v>
      </c>
      <c r="I92" s="200">
        <v>0</v>
      </c>
      <c r="J92" s="984"/>
      <c r="K92" s="209" t="e">
        <f>(I92-I79)/I79</f>
        <v>#DIV/0!</v>
      </c>
      <c r="L92" s="183" t="e">
        <f t="shared" si="53"/>
        <v>#DIV/0!</v>
      </c>
      <c r="N92" s="160">
        <v>230</v>
      </c>
      <c r="O92" s="161">
        <v>0</v>
      </c>
      <c r="P92" s="162">
        <v>0</v>
      </c>
      <c r="Q92" s="161"/>
      <c r="R92" s="163">
        <v>290</v>
      </c>
      <c r="S92" s="200">
        <f>R91+R92</f>
        <v>1685</v>
      </c>
      <c r="T92" s="200">
        <v>5</v>
      </c>
      <c r="U92" s="984"/>
      <c r="V92" s="182">
        <f t="shared" si="63"/>
        <v>4</v>
      </c>
      <c r="W92" s="183">
        <f t="shared" si="54"/>
        <v>-0.84736842105263155</v>
      </c>
      <c r="AF92" s="160">
        <f t="shared" si="62"/>
        <v>230</v>
      </c>
      <c r="AG92" s="217">
        <f t="shared" si="55"/>
        <v>0</v>
      </c>
      <c r="AH92" s="220">
        <f t="shared" si="56"/>
        <v>0</v>
      </c>
      <c r="AI92" s="217"/>
      <c r="AJ92" s="163">
        <f t="shared" si="57"/>
        <v>290</v>
      </c>
      <c r="AK92" s="200">
        <f>AJ91+AJ92</f>
        <v>17793</v>
      </c>
      <c r="AL92" s="200">
        <f t="shared" si="58"/>
        <v>5</v>
      </c>
      <c r="AM92" s="984"/>
      <c r="AN92" s="182">
        <f t="shared" si="59"/>
        <v>4</v>
      </c>
      <c r="AO92" s="183">
        <f t="shared" si="60"/>
        <v>-0.84736842105263155</v>
      </c>
    </row>
    <row r="93" spans="1:41" ht="13.8" x14ac:dyDescent="0.25">
      <c r="A93" s="981"/>
      <c r="B93" s="159" t="s">
        <v>902</v>
      </c>
      <c r="C93" s="160">
        <v>15320</v>
      </c>
      <c r="D93" s="161">
        <v>0</v>
      </c>
      <c r="E93" s="162">
        <v>0</v>
      </c>
      <c r="F93" s="161"/>
      <c r="G93" s="163">
        <v>19030</v>
      </c>
      <c r="H93" s="200">
        <f>G93+G92+G91</f>
        <v>35138</v>
      </c>
      <c r="I93" s="200">
        <v>110</v>
      </c>
      <c r="J93" s="984"/>
      <c r="K93" s="209">
        <f t="shared" si="61"/>
        <v>2.2352941176470589</v>
      </c>
      <c r="L93" s="183">
        <f t="shared" si="53"/>
        <v>2.8995901639344264</v>
      </c>
      <c r="N93" s="160">
        <v>2300</v>
      </c>
      <c r="O93" s="161">
        <v>0</v>
      </c>
      <c r="P93" s="162">
        <v>0</v>
      </c>
      <c r="Q93" s="161"/>
      <c r="R93" s="163">
        <v>2920</v>
      </c>
      <c r="S93" s="200">
        <f>R93+R92+R91</f>
        <v>4605</v>
      </c>
      <c r="T93" s="200">
        <v>69</v>
      </c>
      <c r="U93" s="984"/>
      <c r="V93" s="182">
        <f t="shared" si="63"/>
        <v>1.875</v>
      </c>
      <c r="W93" s="183">
        <f t="shared" si="54"/>
        <v>57.4</v>
      </c>
      <c r="AF93" s="160">
        <f t="shared" si="62"/>
        <v>17620</v>
      </c>
      <c r="AG93" s="217">
        <f t="shared" si="55"/>
        <v>0</v>
      </c>
      <c r="AH93" s="220">
        <f t="shared" si="56"/>
        <v>0</v>
      </c>
      <c r="AI93" s="217"/>
      <c r="AJ93" s="163">
        <f t="shared" si="57"/>
        <v>21950</v>
      </c>
      <c r="AK93" s="200">
        <f>AJ93+AJ92+AJ91</f>
        <v>39743</v>
      </c>
      <c r="AL93" s="200">
        <f>T93+I93</f>
        <v>179</v>
      </c>
      <c r="AM93" s="984"/>
      <c r="AN93" s="182">
        <f t="shared" si="59"/>
        <v>2.0862068965517242</v>
      </c>
      <c r="AO93" s="183">
        <f t="shared" si="60"/>
        <v>3.4523326572008113</v>
      </c>
    </row>
    <row r="94" spans="1:41" ht="13.8" x14ac:dyDescent="0.25">
      <c r="A94" s="981"/>
      <c r="B94" s="159" t="s">
        <v>905</v>
      </c>
      <c r="C94" s="160">
        <f>C93+C92</f>
        <v>15320</v>
      </c>
      <c r="D94" s="161">
        <v>0</v>
      </c>
      <c r="E94" s="162">
        <v>0</v>
      </c>
      <c r="F94" s="161"/>
      <c r="G94" s="163">
        <f>SUM(G92:G93)</f>
        <v>19030</v>
      </c>
      <c r="H94" s="200">
        <f>G94+G91</f>
        <v>35138</v>
      </c>
      <c r="I94" s="200">
        <f>I93+I92</f>
        <v>110</v>
      </c>
      <c r="J94" s="984"/>
      <c r="K94" s="209">
        <f t="shared" si="61"/>
        <v>2.2352941176470589</v>
      </c>
      <c r="L94" s="183">
        <f t="shared" si="53"/>
        <v>2.8995901639344264</v>
      </c>
      <c r="N94" s="160">
        <f>N93+N92</f>
        <v>2530</v>
      </c>
      <c r="O94" s="161">
        <v>0</v>
      </c>
      <c r="P94" s="162">
        <v>0</v>
      </c>
      <c r="Q94" s="161"/>
      <c r="R94" s="163">
        <f>SUM(R92:R93)</f>
        <v>3210</v>
      </c>
      <c r="S94" s="200">
        <f>R94+R91</f>
        <v>4605</v>
      </c>
      <c r="T94" s="200">
        <f>T93+T92</f>
        <v>74</v>
      </c>
      <c r="U94" s="984"/>
      <c r="V94" s="182">
        <f>(T94-T81)/T81</f>
        <v>1.96</v>
      </c>
      <c r="W94" s="183">
        <f t="shared" si="54"/>
        <v>0.64615384615384619</v>
      </c>
      <c r="AF94" s="160">
        <f t="shared" si="62"/>
        <v>17850</v>
      </c>
      <c r="AG94" s="217">
        <f t="shared" si="55"/>
        <v>0</v>
      </c>
      <c r="AH94" s="220">
        <f t="shared" si="56"/>
        <v>0</v>
      </c>
      <c r="AI94" s="217"/>
      <c r="AJ94" s="163">
        <f t="shared" si="57"/>
        <v>22240</v>
      </c>
      <c r="AK94" s="200">
        <f>AJ94+AJ91</f>
        <v>39743</v>
      </c>
      <c r="AL94" s="200">
        <f t="shared" si="58"/>
        <v>184</v>
      </c>
      <c r="AM94" s="984"/>
      <c r="AN94" s="182">
        <f t="shared" si="59"/>
        <v>2.1186440677966103</v>
      </c>
      <c r="AO94" s="183">
        <f t="shared" si="60"/>
        <v>2.2562225475841875</v>
      </c>
    </row>
    <row r="95" spans="1:41" ht="13.8" x14ac:dyDescent="0.25">
      <c r="A95" s="981"/>
      <c r="B95" s="159" t="s">
        <v>909</v>
      </c>
      <c r="C95" s="160">
        <f>C94+C91</f>
        <v>28071</v>
      </c>
      <c r="D95" s="202">
        <v>0</v>
      </c>
      <c r="E95" s="203">
        <v>0</v>
      </c>
      <c r="F95" s="202"/>
      <c r="G95" s="163">
        <f>G94+G91</f>
        <v>35138</v>
      </c>
      <c r="H95" s="200">
        <f>G95</f>
        <v>35138</v>
      </c>
      <c r="I95" s="200">
        <f>I94+I91</f>
        <v>519</v>
      </c>
      <c r="J95" s="984"/>
      <c r="K95" s="209">
        <f t="shared" si="61"/>
        <v>0.19036697247706422</v>
      </c>
      <c r="L95" s="183">
        <f t="shared" si="53"/>
        <v>0.68301561452246384</v>
      </c>
      <c r="N95" s="160">
        <f>N94+N91</f>
        <v>3612</v>
      </c>
      <c r="O95" s="202">
        <v>0</v>
      </c>
      <c r="P95" s="203">
        <v>0</v>
      </c>
      <c r="Q95" s="202"/>
      <c r="R95" s="163">
        <f>R94+R91</f>
        <v>4605</v>
      </c>
      <c r="S95" s="200">
        <f>R95</f>
        <v>4605</v>
      </c>
      <c r="T95" s="200">
        <f>T94+T91</f>
        <v>236</v>
      </c>
      <c r="U95" s="984"/>
      <c r="V95" s="182">
        <f t="shared" si="63"/>
        <v>0.26881720430107525</v>
      </c>
      <c r="W95" s="183">
        <f>(R95-R82)/R82</f>
        <v>0.41253335787245793</v>
      </c>
      <c r="AF95" s="160">
        <f t="shared" si="62"/>
        <v>31683</v>
      </c>
      <c r="AG95" s="217">
        <f t="shared" si="55"/>
        <v>0</v>
      </c>
      <c r="AH95" s="220">
        <f t="shared" si="56"/>
        <v>0</v>
      </c>
      <c r="AI95" s="217"/>
      <c r="AJ95" s="163">
        <f t="shared" si="57"/>
        <v>39743</v>
      </c>
      <c r="AK95" s="200">
        <f>AJ95</f>
        <v>39743</v>
      </c>
      <c r="AL95" s="200">
        <f t="shared" si="58"/>
        <v>755</v>
      </c>
      <c r="AM95" s="984"/>
      <c r="AN95" s="182">
        <f t="shared" si="59"/>
        <v>0.21382636655948553</v>
      </c>
      <c r="AO95" s="183">
        <f>(AJ95-AJ82)/AJ82</f>
        <v>0.64648418889639214</v>
      </c>
    </row>
    <row r="96" spans="1:41" ht="13.8" x14ac:dyDescent="0.25">
      <c r="A96" s="981"/>
      <c r="B96" s="159" t="s">
        <v>10</v>
      </c>
      <c r="C96" s="160">
        <v>1540</v>
      </c>
      <c r="D96" s="161">
        <v>0</v>
      </c>
      <c r="E96" s="162">
        <v>0</v>
      </c>
      <c r="F96" s="161"/>
      <c r="G96" s="163">
        <v>1960</v>
      </c>
      <c r="H96" s="200">
        <f>G95+G96</f>
        <v>37098</v>
      </c>
      <c r="I96" s="200">
        <v>70</v>
      </c>
      <c r="J96" s="984"/>
      <c r="K96" s="209">
        <f t="shared" si="61"/>
        <v>-5.4054054054054057E-2</v>
      </c>
      <c r="L96" s="183">
        <f t="shared" si="53"/>
        <v>-0.4731182795698925</v>
      </c>
      <c r="N96" s="160">
        <v>5940</v>
      </c>
      <c r="O96" s="161">
        <v>0</v>
      </c>
      <c r="P96" s="162">
        <v>0</v>
      </c>
      <c r="Q96" s="161"/>
      <c r="R96" s="163">
        <v>7570</v>
      </c>
      <c r="S96" s="200">
        <f>R95+R96</f>
        <v>12175</v>
      </c>
      <c r="T96" s="200">
        <v>310</v>
      </c>
      <c r="U96" s="984"/>
      <c r="V96" s="182">
        <f t="shared" si="63"/>
        <v>-2.8213166144200628E-2</v>
      </c>
      <c r="W96" s="183">
        <f t="shared" si="54"/>
        <v>0.2288961038961039</v>
      </c>
      <c r="AF96" s="160">
        <f t="shared" si="62"/>
        <v>7480</v>
      </c>
      <c r="AG96" s="217">
        <f t="shared" si="55"/>
        <v>0</v>
      </c>
      <c r="AH96" s="220">
        <f t="shared" si="56"/>
        <v>0</v>
      </c>
      <c r="AI96" s="217"/>
      <c r="AJ96" s="163">
        <f t="shared" si="57"/>
        <v>9530</v>
      </c>
      <c r="AK96" s="200">
        <f>AJ95+AJ96</f>
        <v>49273</v>
      </c>
      <c r="AL96" s="200">
        <f t="shared" si="58"/>
        <v>380</v>
      </c>
      <c r="AM96" s="984"/>
      <c r="AN96" s="182">
        <f t="shared" si="59"/>
        <v>-3.3078880407124679E-2</v>
      </c>
      <c r="AO96" s="183">
        <f t="shared" ref="AO96:AO107" si="64">(AJ96-AJ83)/AJ83</f>
        <v>-3.54251012145749E-2</v>
      </c>
    </row>
    <row r="97" spans="1:41" ht="13.8" x14ac:dyDescent="0.25">
      <c r="A97" s="981"/>
      <c r="B97" s="159" t="s">
        <v>920</v>
      </c>
      <c r="C97" s="160">
        <v>0</v>
      </c>
      <c r="D97" s="161">
        <v>0</v>
      </c>
      <c r="E97" s="162">
        <v>0</v>
      </c>
      <c r="F97" s="161"/>
      <c r="G97" s="163">
        <v>0</v>
      </c>
      <c r="H97" s="200">
        <f>SUM(G95:G97)</f>
        <v>37098</v>
      </c>
      <c r="I97" s="200">
        <v>0</v>
      </c>
      <c r="J97" s="984"/>
      <c r="K97" s="209">
        <f>IFERROR((I97-I84)/I84,0)</f>
        <v>0</v>
      </c>
      <c r="L97" s="183" t="e">
        <f t="shared" si="53"/>
        <v>#DIV/0!</v>
      </c>
      <c r="N97" s="160">
        <v>780</v>
      </c>
      <c r="O97" s="161">
        <v>0</v>
      </c>
      <c r="P97" s="162">
        <v>0</v>
      </c>
      <c r="Q97" s="161"/>
      <c r="R97" s="163">
        <v>980</v>
      </c>
      <c r="S97" s="200">
        <f>SUM(R95:R97)</f>
        <v>13155</v>
      </c>
      <c r="T97" s="200">
        <v>3959</v>
      </c>
      <c r="U97" s="984"/>
      <c r="V97" s="182">
        <f t="shared" si="63"/>
        <v>0.66135123793537554</v>
      </c>
      <c r="W97" s="183">
        <f t="shared" si="54"/>
        <v>0.80811808118081185</v>
      </c>
      <c r="AF97" s="160">
        <f t="shared" si="62"/>
        <v>780</v>
      </c>
      <c r="AG97" s="217">
        <f t="shared" si="55"/>
        <v>0</v>
      </c>
      <c r="AH97" s="220">
        <f t="shared" si="56"/>
        <v>0</v>
      </c>
      <c r="AI97" s="217"/>
      <c r="AJ97" s="163">
        <f t="shared" si="57"/>
        <v>980</v>
      </c>
      <c r="AK97" s="200">
        <f>SUM(AJ95:AJ97)</f>
        <v>50253</v>
      </c>
      <c r="AL97" s="200">
        <f t="shared" si="58"/>
        <v>3959</v>
      </c>
      <c r="AM97" s="984"/>
      <c r="AN97" s="182">
        <f>(AL97-AL84)/AL84</f>
        <v>0.66135123793537554</v>
      </c>
      <c r="AO97" s="183">
        <f t="shared" si="64"/>
        <v>0.80811808118081185</v>
      </c>
    </row>
    <row r="98" spans="1:41" ht="14.4" thickBot="1" x14ac:dyDescent="0.3">
      <c r="A98" s="987"/>
      <c r="B98" s="159" t="s">
        <v>922</v>
      </c>
      <c r="C98" s="168">
        <v>760</v>
      </c>
      <c r="D98" s="169">
        <v>0</v>
      </c>
      <c r="E98" s="170">
        <v>0</v>
      </c>
      <c r="F98" s="169"/>
      <c r="G98" s="204">
        <v>970</v>
      </c>
      <c r="H98" s="200">
        <f>SUM(G95:G98)</f>
        <v>38068</v>
      </c>
      <c r="I98" s="200">
        <v>28</v>
      </c>
      <c r="J98" s="984"/>
      <c r="K98" s="210">
        <f t="shared" ref="K98:K104" si="65">(I98-I85)/I85</f>
        <v>0.55555555555555558</v>
      </c>
      <c r="L98" s="187">
        <f t="shared" si="53"/>
        <v>2.2333333333333334</v>
      </c>
      <c r="N98" s="168">
        <v>1070</v>
      </c>
      <c r="O98" s="169">
        <v>0</v>
      </c>
      <c r="P98" s="170">
        <v>0</v>
      </c>
      <c r="Q98" s="169"/>
      <c r="R98" s="204">
        <v>1360</v>
      </c>
      <c r="S98" s="200">
        <f>SUM(R95:R98)</f>
        <v>14515</v>
      </c>
      <c r="T98" s="200">
        <v>49</v>
      </c>
      <c r="U98" s="984"/>
      <c r="V98" s="186">
        <f t="shared" ref="V98:V125" si="66">(T98-T85)/T85</f>
        <v>-0.18333333333333332</v>
      </c>
      <c r="W98" s="187">
        <f t="shared" si="54"/>
        <v>0.94285714285714284</v>
      </c>
      <c r="AF98" s="168">
        <f t="shared" si="62"/>
        <v>1830</v>
      </c>
      <c r="AG98" s="218">
        <f t="shared" si="55"/>
        <v>0</v>
      </c>
      <c r="AH98" s="221">
        <f t="shared" si="56"/>
        <v>0</v>
      </c>
      <c r="AI98" s="218"/>
      <c r="AJ98" s="204">
        <f t="shared" si="57"/>
        <v>2330</v>
      </c>
      <c r="AK98" s="200">
        <f>SUM(AJ95:AJ98)</f>
        <v>52583</v>
      </c>
      <c r="AL98" s="200">
        <f t="shared" si="58"/>
        <v>77</v>
      </c>
      <c r="AM98" s="984"/>
      <c r="AN98" s="186">
        <f>(AL98-AL85)/AL85</f>
        <v>-1.282051282051282E-2</v>
      </c>
      <c r="AO98" s="187">
        <f t="shared" si="64"/>
        <v>1.33</v>
      </c>
    </row>
    <row r="99" spans="1:41" ht="14.4" thickBot="1" x14ac:dyDescent="0.3">
      <c r="A99" s="172" t="s">
        <v>973</v>
      </c>
      <c r="B99" s="173">
        <f>A87</f>
        <v>2022</v>
      </c>
      <c r="C99" s="174">
        <f>SUM(C95:C98)</f>
        <v>30371</v>
      </c>
      <c r="D99" s="205">
        <f>SUM(D95:D98)</f>
        <v>0</v>
      </c>
      <c r="E99" s="205">
        <f>SUM(E95:E98)</f>
        <v>0</v>
      </c>
      <c r="F99" s="205"/>
      <c r="G99" s="174">
        <f>SUM(G95:G98)</f>
        <v>38068</v>
      </c>
      <c r="H99" s="175">
        <f>H98</f>
        <v>38068</v>
      </c>
      <c r="I99" s="175">
        <f>SUM(I95:I98)</f>
        <v>617</v>
      </c>
      <c r="J99" s="985"/>
      <c r="K99" s="190">
        <f t="shared" si="65"/>
        <v>0.16856060606060605</v>
      </c>
      <c r="L99" s="191">
        <f t="shared" si="53"/>
        <v>0.52895814924893569</v>
      </c>
      <c r="N99" s="174">
        <f>SUM(N95:N98)</f>
        <v>11402</v>
      </c>
      <c r="O99" s="205">
        <f>SUM(O95:O98)</f>
        <v>0</v>
      </c>
      <c r="P99" s="205">
        <f>SUM(P95:P98)</f>
        <v>0</v>
      </c>
      <c r="Q99" s="205"/>
      <c r="R99" s="174">
        <f>SUM(R95:R98)</f>
        <v>14515</v>
      </c>
      <c r="S99" s="175">
        <f>S98</f>
        <v>14515</v>
      </c>
      <c r="T99" s="175">
        <f>SUM(T95:T98)</f>
        <v>4554</v>
      </c>
      <c r="U99" s="985"/>
      <c r="V99" s="190">
        <f t="shared" si="66"/>
        <v>0.54477611940298509</v>
      </c>
      <c r="W99" s="191">
        <f t="shared" si="54"/>
        <v>0.36136408399846182</v>
      </c>
      <c r="AF99" s="174">
        <f t="shared" si="62"/>
        <v>41773</v>
      </c>
      <c r="AG99" s="486">
        <f t="shared" si="55"/>
        <v>0</v>
      </c>
      <c r="AH99" s="487">
        <f t="shared" si="56"/>
        <v>0</v>
      </c>
      <c r="AI99" s="869"/>
      <c r="AJ99" s="175">
        <f>SUM(AJ95:AJ98)</f>
        <v>52583</v>
      </c>
      <c r="AK99" s="175">
        <f>AK98</f>
        <v>52583</v>
      </c>
      <c r="AL99" s="175">
        <f t="shared" si="58"/>
        <v>5171</v>
      </c>
      <c r="AM99" s="985"/>
      <c r="AN99" s="190">
        <f>(AL99-AL86)/AL86</f>
        <v>0.48762945914844646</v>
      </c>
      <c r="AO99" s="191">
        <f t="shared" si="64"/>
        <v>0.47870787764938799</v>
      </c>
    </row>
    <row r="100" spans="1:41" ht="14.25" customHeight="1" thickBot="1" x14ac:dyDescent="0.3">
      <c r="A100" s="981">
        <v>2023</v>
      </c>
      <c r="B100" s="151" t="s">
        <v>891</v>
      </c>
      <c r="C100" s="152">
        <v>82</v>
      </c>
      <c r="D100" s="153">
        <v>0</v>
      </c>
      <c r="E100" s="154">
        <v>0</v>
      </c>
      <c r="F100" s="153"/>
      <c r="G100" s="155">
        <v>105</v>
      </c>
      <c r="H100" s="199">
        <f>G100</f>
        <v>105</v>
      </c>
      <c r="I100" s="199">
        <v>2</v>
      </c>
      <c r="J100" s="983" t="str">
        <f>"Milli áranna "&amp; $A87 &amp;" og "&amp; $A100</f>
        <v>Milli áranna 2022 og 2023</v>
      </c>
      <c r="K100" s="208">
        <f>(I100-I87)/I87</f>
        <v>1</v>
      </c>
      <c r="L100" s="179">
        <f t="shared" ref="L100:L112" si="67">(G100-G87)/G87</f>
        <v>2.5</v>
      </c>
      <c r="N100" s="152">
        <v>0</v>
      </c>
      <c r="O100" s="153">
        <v>0</v>
      </c>
      <c r="P100" s="154">
        <v>0</v>
      </c>
      <c r="Q100" s="153"/>
      <c r="R100" s="155">
        <v>0</v>
      </c>
      <c r="S100" s="199">
        <f>R100</f>
        <v>0</v>
      </c>
      <c r="T100" s="199">
        <v>0</v>
      </c>
      <c r="U100" s="983" t="str">
        <f>"Milli áranna "&amp; $A87 &amp;" og "&amp; $A100</f>
        <v>Milli áranna 2022 og 2023</v>
      </c>
      <c r="V100" s="178" t="e">
        <f t="shared" si="66"/>
        <v>#DIV/0!</v>
      </c>
      <c r="W100" s="179" t="e">
        <f t="shared" ref="W100:W107" si="68">(R100-R87)/R87</f>
        <v>#DIV/0!</v>
      </c>
      <c r="AF100" s="152">
        <f>N100+C100</f>
        <v>82</v>
      </c>
      <c r="AG100" s="216">
        <f t="shared" ref="AG100:AG112" si="69">O100+D100</f>
        <v>0</v>
      </c>
      <c r="AH100" s="219">
        <f t="shared" ref="AH100:AH112" si="70">P100+E100</f>
        <v>0</v>
      </c>
      <c r="AI100" s="216"/>
      <c r="AJ100" s="155">
        <f>R100+G100</f>
        <v>105</v>
      </c>
      <c r="AK100" s="199">
        <f>AJ100</f>
        <v>105</v>
      </c>
      <c r="AL100" s="199">
        <f t="shared" ref="AL100:AL105" si="71">T100+I100</f>
        <v>2</v>
      </c>
      <c r="AM100" s="983" t="str">
        <f>"Milli áranna "&amp; $A87 &amp;" og "&amp; $A100</f>
        <v>Milli áranna 2022 og 2023</v>
      </c>
      <c r="AN100" s="178">
        <f t="shared" ref="AN100:AN109" si="72">(AL100-AL87)/AL87</f>
        <v>1</v>
      </c>
      <c r="AO100" s="179">
        <f t="shared" si="64"/>
        <v>2.5</v>
      </c>
    </row>
    <row r="101" spans="1:41" ht="13.8" x14ac:dyDescent="0.25">
      <c r="A101" s="981"/>
      <c r="B101" s="159" t="s">
        <v>893</v>
      </c>
      <c r="C101" s="160">
        <v>13504</v>
      </c>
      <c r="D101" s="161">
        <v>0</v>
      </c>
      <c r="E101" s="162">
        <v>0</v>
      </c>
      <c r="F101" s="161"/>
      <c r="G101" s="163">
        <v>17082</v>
      </c>
      <c r="H101" s="200">
        <f>G101+G100</f>
        <v>17187</v>
      </c>
      <c r="I101" s="200">
        <v>331</v>
      </c>
      <c r="J101" s="984"/>
      <c r="K101" s="209">
        <f t="shared" si="65"/>
        <v>0.1453287197231834</v>
      </c>
      <c r="L101" s="183">
        <f t="shared" si="67"/>
        <v>0.18955431754874652</v>
      </c>
      <c r="N101" s="160">
        <v>184</v>
      </c>
      <c r="O101" s="161">
        <v>0</v>
      </c>
      <c r="P101" s="162">
        <v>0</v>
      </c>
      <c r="Q101" s="161"/>
      <c r="R101" s="163">
        <v>231</v>
      </c>
      <c r="S101" s="200">
        <f>R101+R100</f>
        <v>231</v>
      </c>
      <c r="T101" s="200">
        <v>10</v>
      </c>
      <c r="U101" s="984"/>
      <c r="V101" s="182">
        <f t="shared" si="66"/>
        <v>-0.16666666666666666</v>
      </c>
      <c r="W101" s="183">
        <f t="shared" si="68"/>
        <v>0.35882352941176471</v>
      </c>
      <c r="AF101" s="152">
        <f>N101+C101</f>
        <v>13688</v>
      </c>
      <c r="AG101" s="217">
        <f t="shared" si="69"/>
        <v>0</v>
      </c>
      <c r="AH101" s="220">
        <f t="shared" si="70"/>
        <v>0</v>
      </c>
      <c r="AI101" s="217"/>
      <c r="AJ101" s="163">
        <f>R101+G101</f>
        <v>17313</v>
      </c>
      <c r="AK101" s="200">
        <f>AJ101+AJ100</f>
        <v>17418</v>
      </c>
      <c r="AL101" s="200">
        <f t="shared" si="71"/>
        <v>341</v>
      </c>
      <c r="AM101" s="984"/>
      <c r="AN101" s="182">
        <f t="shared" si="72"/>
        <v>0.13289036544850499</v>
      </c>
      <c r="AO101" s="183">
        <f t="shared" si="64"/>
        <v>0.19153475567790779</v>
      </c>
    </row>
    <row r="102" spans="1:41" ht="13.8" x14ac:dyDescent="0.25">
      <c r="A102" s="981"/>
      <c r="B102" s="943" t="s">
        <v>895</v>
      </c>
      <c r="C102" s="160">
        <v>1116</v>
      </c>
      <c r="D102" s="161">
        <v>0</v>
      </c>
      <c r="E102" s="162">
        <v>0</v>
      </c>
      <c r="F102" s="161"/>
      <c r="G102" s="163">
        <v>1420</v>
      </c>
      <c r="H102" s="200">
        <f>G102+G101+G100</f>
        <v>18607</v>
      </c>
      <c r="I102" s="200">
        <v>109</v>
      </c>
      <c r="J102" s="984"/>
      <c r="K102" s="209">
        <f t="shared" si="65"/>
        <v>-7.6271186440677971E-2</v>
      </c>
      <c r="L102" s="183">
        <f t="shared" si="67"/>
        <v>-0.14868105515587529</v>
      </c>
      <c r="N102" s="160">
        <v>2</v>
      </c>
      <c r="O102" s="161">
        <v>0</v>
      </c>
      <c r="P102" s="162">
        <v>0</v>
      </c>
      <c r="Q102" s="161"/>
      <c r="R102" s="163">
        <v>3</v>
      </c>
      <c r="S102" s="200">
        <f>R102+R101+R100</f>
        <v>234</v>
      </c>
      <c r="T102" s="200">
        <v>2</v>
      </c>
      <c r="U102" s="984"/>
      <c r="V102" s="182">
        <f t="shared" si="66"/>
        <v>-0.6</v>
      </c>
      <c r="W102" s="183">
        <f t="shared" si="68"/>
        <v>-0.8</v>
      </c>
      <c r="AF102" s="160">
        <f>N102+C102</f>
        <v>1118</v>
      </c>
      <c r="AG102" s="217">
        <f t="shared" si="69"/>
        <v>0</v>
      </c>
      <c r="AH102" s="220">
        <f t="shared" si="70"/>
        <v>0</v>
      </c>
      <c r="AI102" s="217"/>
      <c r="AJ102" s="163">
        <f>R102+G102</f>
        <v>1423</v>
      </c>
      <c r="AK102" s="200">
        <f>AJ102+AJ101+AJ100</f>
        <v>18841</v>
      </c>
      <c r="AL102" s="200">
        <f t="shared" si="71"/>
        <v>111</v>
      </c>
      <c r="AM102" s="984"/>
      <c r="AN102" s="182">
        <f t="shared" si="72"/>
        <v>-9.7560975609756101E-2</v>
      </c>
      <c r="AO102" s="183">
        <f t="shared" si="64"/>
        <v>-0.15448603683897802</v>
      </c>
    </row>
    <row r="103" spans="1:41" ht="13.8" x14ac:dyDescent="0.25">
      <c r="A103" s="981"/>
      <c r="B103" s="159" t="s">
        <v>897</v>
      </c>
      <c r="C103" s="160">
        <v>80</v>
      </c>
      <c r="D103" s="161">
        <v>0</v>
      </c>
      <c r="E103" s="162">
        <v>0</v>
      </c>
      <c r="F103" s="161"/>
      <c r="G103" s="163">
        <v>102</v>
      </c>
      <c r="H103" s="200">
        <f>SUM(G100:G103)</f>
        <v>18709</v>
      </c>
      <c r="I103" s="200">
        <v>4</v>
      </c>
      <c r="J103" s="984"/>
      <c r="K103" s="209">
        <f t="shared" si="65"/>
        <v>3</v>
      </c>
      <c r="L103" s="183">
        <f t="shared" si="67"/>
        <v>1.04</v>
      </c>
      <c r="N103" s="160">
        <v>934</v>
      </c>
      <c r="O103" s="161">
        <v>0</v>
      </c>
      <c r="P103" s="162">
        <v>0</v>
      </c>
      <c r="Q103" s="161"/>
      <c r="R103" s="163">
        <v>1200</v>
      </c>
      <c r="S103" s="200">
        <f>SUM(R100:R103)</f>
        <v>1434</v>
      </c>
      <c r="T103" s="200">
        <v>132</v>
      </c>
      <c r="U103" s="984"/>
      <c r="V103" s="182">
        <f t="shared" si="66"/>
        <v>-8.9655172413793102E-2</v>
      </c>
      <c r="W103" s="183">
        <f t="shared" si="68"/>
        <v>-8.2644628099173556E-3</v>
      </c>
      <c r="AF103" s="160">
        <f t="shared" ref="AF103:AF110" si="73">N103+C103</f>
        <v>1014</v>
      </c>
      <c r="AG103" s="217">
        <f t="shared" si="69"/>
        <v>0</v>
      </c>
      <c r="AH103" s="220">
        <f t="shared" si="70"/>
        <v>0</v>
      </c>
      <c r="AI103" s="217"/>
      <c r="AJ103" s="163">
        <f>R103+G103</f>
        <v>1302</v>
      </c>
      <c r="AK103" s="200">
        <f>SUM(AJ100:AJ103)</f>
        <v>20143</v>
      </c>
      <c r="AL103" s="200">
        <f t="shared" si="71"/>
        <v>136</v>
      </c>
      <c r="AM103" s="984"/>
      <c r="AN103" s="182">
        <f t="shared" si="72"/>
        <v>-6.8493150684931503E-2</v>
      </c>
      <c r="AO103" s="183">
        <f t="shared" si="64"/>
        <v>3.3333333333333333E-2</v>
      </c>
    </row>
    <row r="104" spans="1:41" ht="13.8" x14ac:dyDescent="0.25">
      <c r="A104" s="981"/>
      <c r="B104" s="193" t="s">
        <v>899</v>
      </c>
      <c r="C104" s="160">
        <f>SUM(C100:C103)</f>
        <v>14782</v>
      </c>
      <c r="D104" s="161">
        <v>0</v>
      </c>
      <c r="E104" s="162">
        <v>0</v>
      </c>
      <c r="F104" s="161"/>
      <c r="G104" s="163">
        <f>SUM(G100:G103)</f>
        <v>18709</v>
      </c>
      <c r="H104" s="200">
        <f>SUM(G104)</f>
        <v>18709</v>
      </c>
      <c r="I104" s="200">
        <f>SUM(I100:I103)</f>
        <v>446</v>
      </c>
      <c r="J104" s="984"/>
      <c r="K104" s="209">
        <f t="shared" si="65"/>
        <v>9.0464547677261614E-2</v>
      </c>
      <c r="L104" s="183">
        <f t="shared" si="67"/>
        <v>0.16147256021852496</v>
      </c>
      <c r="N104" s="160">
        <f>SUM(N100:N103)</f>
        <v>1120</v>
      </c>
      <c r="O104" s="161">
        <v>0</v>
      </c>
      <c r="P104" s="162">
        <v>0</v>
      </c>
      <c r="Q104" s="161"/>
      <c r="R104" s="163">
        <f>SUM(R100:R103)</f>
        <v>1434</v>
      </c>
      <c r="S104" s="200">
        <f>SUM(R104)</f>
        <v>1434</v>
      </c>
      <c r="T104" s="200">
        <f>SUM(T100:T103)</f>
        <v>144</v>
      </c>
      <c r="U104" s="984"/>
      <c r="V104" s="182">
        <f t="shared" si="66"/>
        <v>-0.1111111111111111</v>
      </c>
      <c r="W104" s="183">
        <f t="shared" si="68"/>
        <v>2.7956989247311829E-2</v>
      </c>
      <c r="AF104" s="160">
        <f t="shared" si="73"/>
        <v>15902</v>
      </c>
      <c r="AG104" s="217">
        <f t="shared" si="69"/>
        <v>0</v>
      </c>
      <c r="AH104" s="220">
        <f t="shared" si="70"/>
        <v>0</v>
      </c>
      <c r="AI104" s="217"/>
      <c r="AJ104" s="163">
        <f>R104+G104</f>
        <v>20143</v>
      </c>
      <c r="AK104" s="200">
        <f>SUM(AJ104)</f>
        <v>20143</v>
      </c>
      <c r="AL104" s="200">
        <f t="shared" si="71"/>
        <v>590</v>
      </c>
      <c r="AM104" s="984"/>
      <c r="AN104" s="182">
        <f t="shared" si="72"/>
        <v>3.3274956217162872E-2</v>
      </c>
      <c r="AO104" s="183">
        <f t="shared" si="64"/>
        <v>0.15083128606524596</v>
      </c>
    </row>
    <row r="105" spans="1:41" ht="13.8" x14ac:dyDescent="0.25">
      <c r="A105" s="981"/>
      <c r="B105" s="159" t="s">
        <v>901</v>
      </c>
      <c r="C105" s="160">
        <v>56</v>
      </c>
      <c r="D105" s="161">
        <v>0</v>
      </c>
      <c r="E105" s="162">
        <v>0</v>
      </c>
      <c r="F105" s="161"/>
      <c r="G105" s="163">
        <v>71</v>
      </c>
      <c r="H105" s="200">
        <f>G104+G105</f>
        <v>18780</v>
      </c>
      <c r="I105" s="200">
        <v>4</v>
      </c>
      <c r="J105" s="984"/>
      <c r="K105" s="209" t="e">
        <f>(I105-I92)/I92</f>
        <v>#DIV/0!</v>
      </c>
      <c r="L105" s="183" t="e">
        <f t="shared" si="67"/>
        <v>#DIV/0!</v>
      </c>
      <c r="N105" s="160">
        <v>222</v>
      </c>
      <c r="O105" s="161">
        <v>0</v>
      </c>
      <c r="P105" s="162">
        <v>0</v>
      </c>
      <c r="Q105" s="161"/>
      <c r="R105" s="163">
        <v>281</v>
      </c>
      <c r="S105" s="200">
        <f>R104+R105</f>
        <v>1715</v>
      </c>
      <c r="T105" s="200">
        <v>14</v>
      </c>
      <c r="U105" s="984"/>
      <c r="V105" s="182">
        <f t="shared" si="66"/>
        <v>1.8</v>
      </c>
      <c r="W105" s="183">
        <f t="shared" si="68"/>
        <v>-3.1034482758620689E-2</v>
      </c>
      <c r="AF105" s="160">
        <f t="shared" si="73"/>
        <v>278</v>
      </c>
      <c r="AG105" s="217">
        <f t="shared" si="69"/>
        <v>0</v>
      </c>
      <c r="AH105" s="220">
        <f t="shared" si="70"/>
        <v>0</v>
      </c>
      <c r="AI105" s="217"/>
      <c r="AJ105" s="163">
        <f t="shared" ref="AJ105:AJ111" si="74">R105+G105</f>
        <v>352</v>
      </c>
      <c r="AK105" s="200">
        <f>AJ104+AJ105</f>
        <v>20495</v>
      </c>
      <c r="AL105" s="200">
        <f t="shared" si="71"/>
        <v>18</v>
      </c>
      <c r="AM105" s="984"/>
      <c r="AN105" s="182">
        <f t="shared" si="72"/>
        <v>2.6</v>
      </c>
      <c r="AO105" s="183">
        <f t="shared" si="64"/>
        <v>0.21379310344827587</v>
      </c>
    </row>
    <row r="106" spans="1:41" ht="13.8" x14ac:dyDescent="0.25">
      <c r="A106" s="981"/>
      <c r="B106" s="159" t="s">
        <v>902</v>
      </c>
      <c r="C106" s="160">
        <v>22878</v>
      </c>
      <c r="D106" s="161">
        <v>0</v>
      </c>
      <c r="E106" s="162">
        <v>0</v>
      </c>
      <c r="F106" s="161"/>
      <c r="G106" s="163">
        <v>28399</v>
      </c>
      <c r="H106" s="200">
        <f>G106+G105+G104</f>
        <v>47179</v>
      </c>
      <c r="I106" s="200">
        <v>166</v>
      </c>
      <c r="J106" s="984"/>
      <c r="K106" s="209">
        <f>(I106-I93)/I93</f>
        <v>0.50909090909090904</v>
      </c>
      <c r="L106" s="183">
        <f t="shared" si="67"/>
        <v>0.49232790331056225</v>
      </c>
      <c r="N106" s="160">
        <v>2950</v>
      </c>
      <c r="O106" s="161">
        <v>0</v>
      </c>
      <c r="P106" s="162">
        <v>0</v>
      </c>
      <c r="Q106" s="161"/>
      <c r="R106" s="163">
        <v>3717</v>
      </c>
      <c r="S106" s="200">
        <f>R106+R105+R104</f>
        <v>5432</v>
      </c>
      <c r="T106" s="200">
        <v>80</v>
      </c>
      <c r="U106" s="984"/>
      <c r="V106" s="182">
        <f t="shared" si="66"/>
        <v>0.15942028985507245</v>
      </c>
      <c r="W106" s="183">
        <f t="shared" si="68"/>
        <v>0.27294520547945206</v>
      </c>
      <c r="AF106" s="160">
        <f t="shared" si="73"/>
        <v>25828</v>
      </c>
      <c r="AG106" s="217">
        <f t="shared" si="69"/>
        <v>0</v>
      </c>
      <c r="AH106" s="220">
        <f t="shared" si="70"/>
        <v>0</v>
      </c>
      <c r="AI106" s="217"/>
      <c r="AJ106" s="163">
        <f t="shared" si="74"/>
        <v>32116</v>
      </c>
      <c r="AK106" s="200">
        <f>AJ106+AJ105+AJ104</f>
        <v>52611</v>
      </c>
      <c r="AL106" s="200">
        <f>T106+I106</f>
        <v>246</v>
      </c>
      <c r="AM106" s="984"/>
      <c r="AN106" s="182">
        <f t="shared" si="72"/>
        <v>0.37430167597765363</v>
      </c>
      <c r="AO106" s="183">
        <f t="shared" si="64"/>
        <v>0.46314350797266512</v>
      </c>
    </row>
    <row r="107" spans="1:41" ht="13.8" x14ac:dyDescent="0.25">
      <c r="A107" s="981"/>
      <c r="B107" s="159" t="s">
        <v>905</v>
      </c>
      <c r="C107" s="160">
        <f>C106+C105</f>
        <v>22934</v>
      </c>
      <c r="D107" s="161">
        <v>0</v>
      </c>
      <c r="E107" s="162">
        <v>0</v>
      </c>
      <c r="F107" s="161"/>
      <c r="G107" s="163">
        <v>28399</v>
      </c>
      <c r="H107" s="200">
        <f>G107+G104</f>
        <v>47108</v>
      </c>
      <c r="I107" s="200">
        <v>166</v>
      </c>
      <c r="J107" s="984"/>
      <c r="K107" s="209">
        <f>(I107-I94)/I94</f>
        <v>0.50909090909090904</v>
      </c>
      <c r="L107" s="183">
        <f t="shared" si="67"/>
        <v>0.49232790331056225</v>
      </c>
      <c r="N107" s="160">
        <f>N106+N105</f>
        <v>3172</v>
      </c>
      <c r="O107" s="161">
        <v>0</v>
      </c>
      <c r="P107" s="162">
        <v>0</v>
      </c>
      <c r="Q107" s="161"/>
      <c r="R107" s="163">
        <f>SUM(R105:R106)</f>
        <v>3998</v>
      </c>
      <c r="S107" s="200">
        <f>R107+R104</f>
        <v>5432</v>
      </c>
      <c r="T107" s="200">
        <f>T106+T105</f>
        <v>94</v>
      </c>
      <c r="U107" s="984"/>
      <c r="V107" s="182">
        <f t="shared" si="66"/>
        <v>0.27027027027027029</v>
      </c>
      <c r="W107" s="183">
        <f t="shared" si="68"/>
        <v>0.24548286604361372</v>
      </c>
      <c r="AF107" s="160">
        <f t="shared" si="73"/>
        <v>26106</v>
      </c>
      <c r="AG107" s="217">
        <f t="shared" si="69"/>
        <v>0</v>
      </c>
      <c r="AH107" s="220">
        <f t="shared" si="70"/>
        <v>0</v>
      </c>
      <c r="AI107" s="217"/>
      <c r="AJ107" s="163">
        <f t="shared" si="74"/>
        <v>32397</v>
      </c>
      <c r="AK107" s="200">
        <f>AJ107+AJ104</f>
        <v>52540</v>
      </c>
      <c r="AL107" s="200">
        <f t="shared" ref="AL107:AL118" si="75">T107+I107</f>
        <v>260</v>
      </c>
      <c r="AM107" s="984"/>
      <c r="AN107" s="182">
        <f t="shared" si="72"/>
        <v>0.41304347826086957</v>
      </c>
      <c r="AO107" s="183">
        <f t="shared" si="64"/>
        <v>0.45669964028776977</v>
      </c>
    </row>
    <row r="108" spans="1:41" ht="13.8" x14ac:dyDescent="0.25">
      <c r="A108" s="981"/>
      <c r="B108" s="159" t="s">
        <v>909</v>
      </c>
      <c r="C108" s="160">
        <f>C104+C107</f>
        <v>37716</v>
      </c>
      <c r="D108" s="202">
        <v>0</v>
      </c>
      <c r="E108" s="203">
        <v>0</v>
      </c>
      <c r="F108" s="202"/>
      <c r="G108" s="163">
        <v>47180</v>
      </c>
      <c r="H108" s="200">
        <f>G108</f>
        <v>47180</v>
      </c>
      <c r="I108" s="200">
        <f>I107+I104</f>
        <v>612</v>
      </c>
      <c r="J108" s="984"/>
      <c r="K108" s="209">
        <f>(I108-I95)/I95</f>
        <v>0.1791907514450867</v>
      </c>
      <c r="L108" s="183">
        <f t="shared" si="67"/>
        <v>0.34270590244180088</v>
      </c>
      <c r="N108" s="160">
        <f>N107+N104</f>
        <v>4292</v>
      </c>
      <c r="O108" s="202">
        <v>0</v>
      </c>
      <c r="P108" s="203">
        <v>0</v>
      </c>
      <c r="Q108" s="202"/>
      <c r="R108" s="163">
        <f>R107+R104</f>
        <v>5432</v>
      </c>
      <c r="S108" s="200">
        <f>R108</f>
        <v>5432</v>
      </c>
      <c r="T108" s="200">
        <f>T107+T104</f>
        <v>238</v>
      </c>
      <c r="U108" s="984"/>
      <c r="V108" s="182">
        <f t="shared" si="66"/>
        <v>8.4745762711864406E-3</v>
      </c>
      <c r="W108" s="183">
        <f>(R108-R95)/R95</f>
        <v>0.17958740499457113</v>
      </c>
      <c r="AF108" s="160">
        <f t="shared" si="73"/>
        <v>42008</v>
      </c>
      <c r="AG108" s="217">
        <f t="shared" si="69"/>
        <v>0</v>
      </c>
      <c r="AH108" s="220">
        <f t="shared" si="70"/>
        <v>0</v>
      </c>
      <c r="AI108" s="217"/>
      <c r="AJ108" s="163">
        <f t="shared" si="74"/>
        <v>52612</v>
      </c>
      <c r="AK108" s="200">
        <f>AJ108</f>
        <v>52612</v>
      </c>
      <c r="AL108" s="200">
        <f t="shared" si="75"/>
        <v>850</v>
      </c>
      <c r="AM108" s="984"/>
      <c r="AN108" s="182">
        <f t="shared" si="72"/>
        <v>0.12582781456953643</v>
      </c>
      <c r="AO108" s="183">
        <f>(AJ108-AJ95)/AJ95</f>
        <v>0.32380545001635508</v>
      </c>
    </row>
    <row r="109" spans="1:41" ht="13.8" x14ac:dyDescent="0.25">
      <c r="A109" s="981"/>
      <c r="B109" s="159" t="s">
        <v>10</v>
      </c>
      <c r="C109" s="160">
        <v>2548</v>
      </c>
      <c r="D109" s="161">
        <v>0</v>
      </c>
      <c r="E109" s="162">
        <v>0</v>
      </c>
      <c r="F109" s="161"/>
      <c r="G109" s="163">
        <v>3246</v>
      </c>
      <c r="H109" s="200">
        <f>G108+G109</f>
        <v>50426</v>
      </c>
      <c r="I109" s="200">
        <v>67</v>
      </c>
      <c r="J109" s="984"/>
      <c r="K109" s="209">
        <f>(I109-I96)/I96</f>
        <v>-4.2857142857142858E-2</v>
      </c>
      <c r="L109" s="183">
        <f t="shared" si="67"/>
        <v>0.65612244897959182</v>
      </c>
      <c r="N109" s="160">
        <v>5132</v>
      </c>
      <c r="O109" s="161">
        <v>0</v>
      </c>
      <c r="P109" s="162">
        <v>0</v>
      </c>
      <c r="Q109" s="161"/>
      <c r="R109" s="163">
        <v>6540</v>
      </c>
      <c r="S109" s="200">
        <f>R108+R109</f>
        <v>11972</v>
      </c>
      <c r="T109" s="200">
        <v>333</v>
      </c>
      <c r="U109" s="984"/>
      <c r="V109" s="182">
        <f t="shared" si="66"/>
        <v>7.4193548387096769E-2</v>
      </c>
      <c r="W109" s="183">
        <f t="shared" ref="W109:W120" si="76">(R109-R96)/R96</f>
        <v>-0.13606340819022458</v>
      </c>
      <c r="AF109" s="160">
        <f t="shared" si="73"/>
        <v>7680</v>
      </c>
      <c r="AG109" s="217">
        <f t="shared" si="69"/>
        <v>0</v>
      </c>
      <c r="AH109" s="220">
        <f t="shared" si="70"/>
        <v>0</v>
      </c>
      <c r="AI109" s="217"/>
      <c r="AJ109" s="163">
        <f t="shared" si="74"/>
        <v>9786</v>
      </c>
      <c r="AK109" s="200">
        <f>AJ108+AJ109</f>
        <v>62398</v>
      </c>
      <c r="AL109" s="200">
        <f t="shared" si="75"/>
        <v>400</v>
      </c>
      <c r="AM109" s="984"/>
      <c r="AN109" s="182">
        <f t="shared" si="72"/>
        <v>5.2631578947368418E-2</v>
      </c>
      <c r="AO109" s="183">
        <f t="shared" ref="AO109:AO120" si="77">(AJ109-AJ96)/AJ96</f>
        <v>2.6862539349422874E-2</v>
      </c>
    </row>
    <row r="110" spans="1:41" ht="13.8" x14ac:dyDescent="0.25">
      <c r="A110" s="981"/>
      <c r="B110" s="159" t="s">
        <v>920</v>
      </c>
      <c r="C110" s="160">
        <v>0</v>
      </c>
      <c r="D110" s="161">
        <v>0</v>
      </c>
      <c r="E110" s="162">
        <v>0</v>
      </c>
      <c r="F110" s="161"/>
      <c r="G110" s="163">
        <v>0</v>
      </c>
      <c r="H110" s="200">
        <f>SUM(G108:G110)</f>
        <v>50426</v>
      </c>
      <c r="I110" s="200">
        <v>0</v>
      </c>
      <c r="J110" s="984"/>
      <c r="K110" s="209">
        <f>IFERROR((I110-I97)/I97,0)</f>
        <v>0</v>
      </c>
      <c r="L110" s="183" t="e">
        <f t="shared" si="67"/>
        <v>#DIV/0!</v>
      </c>
      <c r="N110" s="160">
        <v>786</v>
      </c>
      <c r="O110" s="161">
        <v>0</v>
      </c>
      <c r="P110" s="162">
        <v>0</v>
      </c>
      <c r="Q110" s="161"/>
      <c r="R110" s="163">
        <v>984</v>
      </c>
      <c r="S110" s="200">
        <f>SUM(R108:R110)</f>
        <v>12956</v>
      </c>
      <c r="T110" s="200">
        <v>4387</v>
      </c>
      <c r="U110" s="984"/>
      <c r="V110" s="182">
        <f t="shared" si="66"/>
        <v>0.10810810810810811</v>
      </c>
      <c r="W110" s="183">
        <f t="shared" si="76"/>
        <v>4.0816326530612249E-3</v>
      </c>
      <c r="AF110" s="160">
        <f t="shared" si="73"/>
        <v>786</v>
      </c>
      <c r="AG110" s="217">
        <f t="shared" si="69"/>
        <v>0</v>
      </c>
      <c r="AH110" s="220">
        <f t="shared" si="70"/>
        <v>0</v>
      </c>
      <c r="AI110" s="217"/>
      <c r="AJ110" s="163">
        <f t="shared" si="74"/>
        <v>984</v>
      </c>
      <c r="AK110" s="200">
        <f>SUM(AJ108:AJ110)</f>
        <v>63382</v>
      </c>
      <c r="AL110" s="200">
        <f t="shared" si="75"/>
        <v>4387</v>
      </c>
      <c r="AM110" s="984"/>
      <c r="AN110" s="182">
        <f>(AL110-AL97)/AL97</f>
        <v>0.10810810810810811</v>
      </c>
      <c r="AO110" s="183">
        <f t="shared" si="77"/>
        <v>4.0816326530612249E-3</v>
      </c>
    </row>
    <row r="111" spans="1:41" ht="14.4" thickBot="1" x14ac:dyDescent="0.3">
      <c r="A111" s="987"/>
      <c r="B111" s="159" t="s">
        <v>922</v>
      </c>
      <c r="C111" s="168">
        <v>225</v>
      </c>
      <c r="D111" s="169">
        <v>0</v>
      </c>
      <c r="E111" s="170">
        <v>0</v>
      </c>
      <c r="F111" s="169"/>
      <c r="G111" s="204">
        <v>284</v>
      </c>
      <c r="H111" s="200">
        <f>SUM(G108:G111)</f>
        <v>50710</v>
      </c>
      <c r="I111" s="200">
        <v>14</v>
      </c>
      <c r="J111" s="984"/>
      <c r="K111" s="210">
        <f t="shared" ref="K111:K122" si="78">(I111-I98)/I98</f>
        <v>-0.5</v>
      </c>
      <c r="L111" s="187">
        <f t="shared" si="67"/>
        <v>-0.70721649484536087</v>
      </c>
      <c r="N111" s="168">
        <v>560</v>
      </c>
      <c r="O111" s="169">
        <v>0</v>
      </c>
      <c r="P111" s="170">
        <v>0</v>
      </c>
      <c r="Q111" s="169"/>
      <c r="R111" s="204">
        <v>706</v>
      </c>
      <c r="S111" s="200">
        <f>SUM(R108:R111)</f>
        <v>13662</v>
      </c>
      <c r="T111" s="200">
        <v>44</v>
      </c>
      <c r="U111" s="984"/>
      <c r="V111" s="186">
        <f t="shared" si="66"/>
        <v>-0.10204081632653061</v>
      </c>
      <c r="W111" s="187">
        <f t="shared" si="76"/>
        <v>-0.48088235294117648</v>
      </c>
      <c r="AF111" s="168">
        <f>N111+C111</f>
        <v>785</v>
      </c>
      <c r="AG111" s="218">
        <f t="shared" si="69"/>
        <v>0</v>
      </c>
      <c r="AH111" s="221">
        <f t="shared" si="70"/>
        <v>0</v>
      </c>
      <c r="AI111" s="218"/>
      <c r="AJ111" s="204">
        <f t="shared" si="74"/>
        <v>990</v>
      </c>
      <c r="AK111" s="200">
        <f>SUM(AJ108:AJ111)</f>
        <v>64372</v>
      </c>
      <c r="AL111" s="200">
        <f t="shared" si="75"/>
        <v>58</v>
      </c>
      <c r="AM111" s="984"/>
      <c r="AN111" s="186">
        <f>(AL111-AL98)/AL98</f>
        <v>-0.24675324675324675</v>
      </c>
      <c r="AO111" s="187">
        <f t="shared" si="77"/>
        <v>-0.57510729613733902</v>
      </c>
    </row>
    <row r="112" spans="1:41" ht="14.4" thickBot="1" x14ac:dyDescent="0.3">
      <c r="A112" s="172" t="s">
        <v>973</v>
      </c>
      <c r="B112" s="173">
        <f>A100</f>
        <v>2023</v>
      </c>
      <c r="C112" s="174">
        <f>SUM(C108:C111)</f>
        <v>40489</v>
      </c>
      <c r="D112" s="205">
        <f>SUM(D108:D111)</f>
        <v>0</v>
      </c>
      <c r="E112" s="205">
        <f>SUM(E108:E111)</f>
        <v>0</v>
      </c>
      <c r="F112" s="205"/>
      <c r="G112" s="174">
        <f>SUM(G108:G111)</f>
        <v>50710</v>
      </c>
      <c r="H112" s="175">
        <f>H111</f>
        <v>50710</v>
      </c>
      <c r="I112" s="175">
        <f>SUM(I108:I111)</f>
        <v>693</v>
      </c>
      <c r="J112" s="985"/>
      <c r="K112" s="190">
        <f t="shared" si="78"/>
        <v>0.12317666126418152</v>
      </c>
      <c r="L112" s="191">
        <f t="shared" si="67"/>
        <v>0.33208994431018179</v>
      </c>
      <c r="N112" s="174">
        <f>SUM(N108:N111)</f>
        <v>10770</v>
      </c>
      <c r="O112" s="205">
        <f>SUM(O108:O111)</f>
        <v>0</v>
      </c>
      <c r="P112" s="205">
        <f>SUM(P108:P111)</f>
        <v>0</v>
      </c>
      <c r="Q112" s="205"/>
      <c r="R112" s="174">
        <f>SUM(R108:R111)</f>
        <v>13662</v>
      </c>
      <c r="S112" s="175">
        <f>S111</f>
        <v>13662</v>
      </c>
      <c r="T112" s="175">
        <f>SUM(T108:T111)</f>
        <v>5002</v>
      </c>
      <c r="U112" s="985"/>
      <c r="V112" s="190">
        <f t="shared" si="66"/>
        <v>9.8375054896794031E-2</v>
      </c>
      <c r="W112" s="191">
        <f t="shared" si="76"/>
        <v>-5.8766792972786773E-2</v>
      </c>
      <c r="AF112" s="174">
        <f>N112+C112</f>
        <v>51259</v>
      </c>
      <c r="AG112" s="486">
        <f t="shared" si="69"/>
        <v>0</v>
      </c>
      <c r="AH112" s="487">
        <f t="shared" si="70"/>
        <v>0</v>
      </c>
      <c r="AI112" s="869"/>
      <c r="AJ112" s="175">
        <f>SUM(AJ108:AJ111)</f>
        <v>64372</v>
      </c>
      <c r="AK112" s="175">
        <f>AK111</f>
        <v>64372</v>
      </c>
      <c r="AL112" s="175">
        <f t="shared" si="75"/>
        <v>5695</v>
      </c>
      <c r="AM112" s="985"/>
      <c r="AN112" s="190">
        <f>(AL112-AL99)/AL99</f>
        <v>0.10133436472635854</v>
      </c>
      <c r="AO112" s="191">
        <f t="shared" si="77"/>
        <v>0.22419793469372232</v>
      </c>
    </row>
    <row r="113" spans="1:41" ht="14.4" thickBot="1" x14ac:dyDescent="0.3">
      <c r="A113" s="981">
        <v>2024</v>
      </c>
      <c r="B113" s="151" t="s">
        <v>891</v>
      </c>
      <c r="C113" s="152">
        <v>58</v>
      </c>
      <c r="D113" s="153">
        <v>0</v>
      </c>
      <c r="E113" s="154">
        <v>0</v>
      </c>
      <c r="F113" s="153"/>
      <c r="G113" s="155">
        <v>74</v>
      </c>
      <c r="H113" s="199">
        <f>G113</f>
        <v>74</v>
      </c>
      <c r="I113" s="199">
        <v>3</v>
      </c>
      <c r="J113" s="983" t="str">
        <f>"Milli áranna "&amp; $A100 &amp;" og "&amp; $A113</f>
        <v>Milli áranna 2023 og 2024</v>
      </c>
      <c r="K113" s="208">
        <f t="shared" si="78"/>
        <v>0.5</v>
      </c>
      <c r="L113" s="179">
        <f t="shared" ref="L113:L125" si="79">(G113-G100)/G100</f>
        <v>-0.29523809523809524</v>
      </c>
      <c r="N113" s="152">
        <v>11</v>
      </c>
      <c r="O113" s="153">
        <v>0</v>
      </c>
      <c r="P113" s="154">
        <v>0</v>
      </c>
      <c r="Q113" s="153"/>
      <c r="R113" s="155">
        <v>15</v>
      </c>
      <c r="S113" s="199">
        <f>R113</f>
        <v>15</v>
      </c>
      <c r="T113" s="199">
        <v>1</v>
      </c>
      <c r="U113" s="983" t="str">
        <f>"Milli áranna "&amp; $A100 &amp;" og "&amp; $A113</f>
        <v>Milli áranna 2023 og 2024</v>
      </c>
      <c r="V113" s="178" t="e">
        <f t="shared" si="66"/>
        <v>#DIV/0!</v>
      </c>
      <c r="W113" s="179" t="e">
        <f t="shared" si="76"/>
        <v>#DIV/0!</v>
      </c>
      <c r="AF113" s="152">
        <f>N113+C113</f>
        <v>69</v>
      </c>
      <c r="AG113" s="216">
        <f t="shared" ref="AG113:AG125" si="80">O113+D113</f>
        <v>0</v>
      </c>
      <c r="AH113" s="219">
        <f t="shared" ref="AH113:AH125" si="81">P113+E113</f>
        <v>0</v>
      </c>
      <c r="AI113" s="216"/>
      <c r="AJ113" s="155">
        <f>R113+G113</f>
        <v>89</v>
      </c>
      <c r="AK113" s="199">
        <f>AJ113</f>
        <v>89</v>
      </c>
      <c r="AL113" s="199">
        <f t="shared" si="75"/>
        <v>4</v>
      </c>
      <c r="AM113" s="983" t="str">
        <f>"Milli áranna "&amp; $A100 &amp;" og "&amp; $A113</f>
        <v>Milli áranna 2023 og 2024</v>
      </c>
      <c r="AN113" s="178">
        <f t="shared" ref="AN113:AN122" si="82">(AL113-AL100)/AL100</f>
        <v>1</v>
      </c>
      <c r="AO113" s="179">
        <f t="shared" si="77"/>
        <v>-0.15238095238095239</v>
      </c>
    </row>
    <row r="114" spans="1:41" ht="13.8" x14ac:dyDescent="0.25">
      <c r="A114" s="981"/>
      <c r="B114" s="159" t="s">
        <v>893</v>
      </c>
      <c r="C114" s="160">
        <v>14221</v>
      </c>
      <c r="D114" s="161">
        <v>0</v>
      </c>
      <c r="E114" s="162">
        <v>0</v>
      </c>
      <c r="F114" s="161"/>
      <c r="G114" s="163">
        <v>17995</v>
      </c>
      <c r="H114" s="200">
        <f>G114+G113</f>
        <v>18069</v>
      </c>
      <c r="I114" s="200">
        <v>332</v>
      </c>
      <c r="J114" s="984"/>
      <c r="K114" s="209">
        <f t="shared" si="78"/>
        <v>3.0211480362537764E-3</v>
      </c>
      <c r="L114" s="183">
        <f t="shared" si="79"/>
        <v>5.3448073996019203E-2</v>
      </c>
      <c r="N114" s="160">
        <v>52</v>
      </c>
      <c r="O114" s="161">
        <v>0</v>
      </c>
      <c r="P114" s="162">
        <v>0</v>
      </c>
      <c r="Q114" s="161"/>
      <c r="R114" s="163">
        <v>66</v>
      </c>
      <c r="S114" s="200">
        <f>R114+R113</f>
        <v>81</v>
      </c>
      <c r="T114" s="200">
        <v>4</v>
      </c>
      <c r="U114" s="984"/>
      <c r="V114" s="182">
        <f t="shared" si="66"/>
        <v>-0.6</v>
      </c>
      <c r="W114" s="183">
        <f t="shared" si="76"/>
        <v>-0.7142857142857143</v>
      </c>
      <c r="AF114" s="152">
        <f>N114+C114</f>
        <v>14273</v>
      </c>
      <c r="AG114" s="217">
        <f t="shared" si="80"/>
        <v>0</v>
      </c>
      <c r="AH114" s="220">
        <f t="shared" si="81"/>
        <v>0</v>
      </c>
      <c r="AI114" s="217"/>
      <c r="AJ114" s="163">
        <f>R114+G114</f>
        <v>18061</v>
      </c>
      <c r="AK114" s="200">
        <f>AJ114+AJ113</f>
        <v>18150</v>
      </c>
      <c r="AL114" s="200">
        <f t="shared" si="75"/>
        <v>336</v>
      </c>
      <c r="AM114" s="984"/>
      <c r="AN114" s="182">
        <f t="shared" si="82"/>
        <v>-1.466275659824047E-2</v>
      </c>
      <c r="AO114" s="183">
        <f t="shared" si="77"/>
        <v>4.3204528389071795E-2</v>
      </c>
    </row>
    <row r="115" spans="1:41" ht="13.8" x14ac:dyDescent="0.25">
      <c r="A115" s="981"/>
      <c r="B115" s="943" t="s">
        <v>895</v>
      </c>
      <c r="C115" s="160">
        <v>1205</v>
      </c>
      <c r="D115" s="161">
        <v>0</v>
      </c>
      <c r="E115" s="162">
        <v>0</v>
      </c>
      <c r="F115" s="161"/>
      <c r="G115" s="163">
        <v>1534</v>
      </c>
      <c r="H115" s="200">
        <f>G115+G114+G113</f>
        <v>19603</v>
      </c>
      <c r="I115" s="200">
        <v>104</v>
      </c>
      <c r="J115" s="984"/>
      <c r="K115" s="209">
        <f t="shared" si="78"/>
        <v>-4.5871559633027525E-2</v>
      </c>
      <c r="L115" s="183">
        <f t="shared" si="79"/>
        <v>8.0281690140845074E-2</v>
      </c>
      <c r="N115" s="160">
        <v>16</v>
      </c>
      <c r="O115" s="161">
        <v>0</v>
      </c>
      <c r="P115" s="162">
        <v>0</v>
      </c>
      <c r="Q115" s="161"/>
      <c r="R115" s="163">
        <v>21</v>
      </c>
      <c r="S115" s="200">
        <f>R115+R114+R113</f>
        <v>102</v>
      </c>
      <c r="T115" s="200">
        <v>2</v>
      </c>
      <c r="U115" s="984"/>
      <c r="V115" s="182">
        <f t="shared" si="66"/>
        <v>0</v>
      </c>
      <c r="W115" s="183">
        <f t="shared" si="76"/>
        <v>6</v>
      </c>
      <c r="AF115" s="160">
        <f>N115+C115</f>
        <v>1221</v>
      </c>
      <c r="AG115" s="217">
        <f t="shared" si="80"/>
        <v>0</v>
      </c>
      <c r="AH115" s="220">
        <f t="shared" si="81"/>
        <v>0</v>
      </c>
      <c r="AI115" s="217"/>
      <c r="AJ115" s="163">
        <f>R115+G115</f>
        <v>1555</v>
      </c>
      <c r="AK115" s="200">
        <f>AJ115+AJ114+AJ113</f>
        <v>19705</v>
      </c>
      <c r="AL115" s="200">
        <f t="shared" si="75"/>
        <v>106</v>
      </c>
      <c r="AM115" s="984"/>
      <c r="AN115" s="182">
        <f t="shared" si="82"/>
        <v>-4.5045045045045043E-2</v>
      </c>
      <c r="AO115" s="183">
        <f t="shared" si="77"/>
        <v>9.2761770906535493E-2</v>
      </c>
    </row>
    <row r="116" spans="1:41" ht="13.8" x14ac:dyDescent="0.25">
      <c r="A116" s="981"/>
      <c r="B116" s="159" t="s">
        <v>897</v>
      </c>
      <c r="C116" s="160">
        <v>76</v>
      </c>
      <c r="D116" s="161">
        <v>0</v>
      </c>
      <c r="E116" s="162">
        <v>0</v>
      </c>
      <c r="F116" s="161"/>
      <c r="G116" s="163">
        <v>98</v>
      </c>
      <c r="H116" s="200">
        <f>SUM(G113:G116)</f>
        <v>19701</v>
      </c>
      <c r="I116" s="200">
        <v>5</v>
      </c>
      <c r="J116" s="984"/>
      <c r="K116" s="209">
        <f t="shared" si="78"/>
        <v>0.25</v>
      </c>
      <c r="L116" s="183">
        <f t="shared" si="79"/>
        <v>-3.9215686274509803E-2</v>
      </c>
      <c r="N116" s="160">
        <v>957</v>
      </c>
      <c r="O116" s="161">
        <v>0</v>
      </c>
      <c r="P116" s="162">
        <v>0</v>
      </c>
      <c r="Q116" s="161"/>
      <c r="R116" s="163">
        <v>1227</v>
      </c>
      <c r="S116" s="200">
        <f>SUM(R113:R116)</f>
        <v>1329</v>
      </c>
      <c r="T116" s="200">
        <v>120</v>
      </c>
      <c r="U116" s="984"/>
      <c r="V116" s="182">
        <f t="shared" si="66"/>
        <v>-9.0909090909090912E-2</v>
      </c>
      <c r="W116" s="183">
        <f t="shared" si="76"/>
        <v>2.2499999999999999E-2</v>
      </c>
      <c r="AF116" s="160">
        <f t="shared" ref="AF116:AF123" si="83">N116+C116</f>
        <v>1033</v>
      </c>
      <c r="AG116" s="217">
        <f t="shared" si="80"/>
        <v>0</v>
      </c>
      <c r="AH116" s="220">
        <f t="shared" si="81"/>
        <v>0</v>
      </c>
      <c r="AI116" s="217"/>
      <c r="AJ116" s="163">
        <f>R116+G116</f>
        <v>1325</v>
      </c>
      <c r="AK116" s="200">
        <f>SUM(AJ113:AJ116)</f>
        <v>21030</v>
      </c>
      <c r="AL116" s="200">
        <f t="shared" si="75"/>
        <v>125</v>
      </c>
      <c r="AM116" s="984"/>
      <c r="AN116" s="182">
        <f t="shared" si="82"/>
        <v>-8.0882352941176475E-2</v>
      </c>
      <c r="AO116" s="183">
        <f t="shared" si="77"/>
        <v>1.7665130568356373E-2</v>
      </c>
    </row>
    <row r="117" spans="1:41" ht="13.8" x14ac:dyDescent="0.25">
      <c r="A117" s="981"/>
      <c r="B117" s="193" t="s">
        <v>899</v>
      </c>
      <c r="C117" s="160">
        <f>SUM(C113:C116)</f>
        <v>15560</v>
      </c>
      <c r="D117" s="161">
        <v>0</v>
      </c>
      <c r="E117" s="162">
        <v>0</v>
      </c>
      <c r="F117" s="161"/>
      <c r="G117" s="163">
        <f>SUM(G113:G116)</f>
        <v>19701</v>
      </c>
      <c r="H117" s="200">
        <f>SUM(G117)</f>
        <v>19701</v>
      </c>
      <c r="I117" s="200">
        <f>SUM(I113:I116)</f>
        <v>444</v>
      </c>
      <c r="J117" s="984"/>
      <c r="K117" s="209">
        <f t="shared" si="78"/>
        <v>-4.4843049327354259E-3</v>
      </c>
      <c r="L117" s="183">
        <f t="shared" si="79"/>
        <v>5.3022609439307283E-2</v>
      </c>
      <c r="N117" s="160">
        <f>SUM(N113:N116)</f>
        <v>1036</v>
      </c>
      <c r="O117" s="161">
        <v>0</v>
      </c>
      <c r="P117" s="162">
        <v>0</v>
      </c>
      <c r="Q117" s="161"/>
      <c r="R117" s="163">
        <f>SUM(R113:R116)</f>
        <v>1329</v>
      </c>
      <c r="S117" s="200">
        <f>SUM(R117)</f>
        <v>1329</v>
      </c>
      <c r="T117" s="200">
        <f>SUM(T113:T116)</f>
        <v>127</v>
      </c>
      <c r="U117" s="984"/>
      <c r="V117" s="182">
        <f t="shared" si="66"/>
        <v>-0.11805555555555555</v>
      </c>
      <c r="W117" s="183">
        <f t="shared" si="76"/>
        <v>-7.3221757322175729E-2</v>
      </c>
      <c r="AF117" s="160">
        <f t="shared" si="83"/>
        <v>16596</v>
      </c>
      <c r="AG117" s="217">
        <f t="shared" si="80"/>
        <v>0</v>
      </c>
      <c r="AH117" s="220">
        <f t="shared" si="81"/>
        <v>0</v>
      </c>
      <c r="AI117" s="217"/>
      <c r="AJ117" s="163">
        <f>R117+G117</f>
        <v>21030</v>
      </c>
      <c r="AK117" s="200">
        <f>SUM(AJ117)</f>
        <v>21030</v>
      </c>
      <c r="AL117" s="200">
        <f t="shared" si="75"/>
        <v>571</v>
      </c>
      <c r="AM117" s="984"/>
      <c r="AN117" s="182">
        <f t="shared" si="82"/>
        <v>-3.2203389830508473E-2</v>
      </c>
      <c r="AO117" s="183">
        <f t="shared" si="77"/>
        <v>4.4035148686888743E-2</v>
      </c>
    </row>
    <row r="118" spans="1:41" ht="13.8" x14ac:dyDescent="0.25">
      <c r="A118" s="981"/>
      <c r="B118" s="159" t="s">
        <v>901</v>
      </c>
      <c r="C118" s="160">
        <v>380</v>
      </c>
      <c r="D118" s="161">
        <v>0</v>
      </c>
      <c r="E118" s="162">
        <v>0</v>
      </c>
      <c r="F118" s="161"/>
      <c r="G118" s="163">
        <v>484</v>
      </c>
      <c r="H118" s="200">
        <f>G117+G118</f>
        <v>20185</v>
      </c>
      <c r="I118" s="200">
        <v>5</v>
      </c>
      <c r="J118" s="984"/>
      <c r="K118" s="209">
        <f t="shared" si="78"/>
        <v>0.25</v>
      </c>
      <c r="L118" s="183">
        <f t="shared" si="79"/>
        <v>5.816901408450704</v>
      </c>
      <c r="N118" s="160">
        <v>420</v>
      </c>
      <c r="O118" s="161">
        <v>0</v>
      </c>
      <c r="P118" s="162">
        <v>0</v>
      </c>
      <c r="Q118" s="161"/>
      <c r="R118" s="163">
        <v>534</v>
      </c>
      <c r="S118" s="200">
        <f>R117+R118</f>
        <v>1863</v>
      </c>
      <c r="T118" s="200">
        <v>15</v>
      </c>
      <c r="U118" s="984"/>
      <c r="V118" s="182">
        <f t="shared" si="66"/>
        <v>7.1428571428571425E-2</v>
      </c>
      <c r="W118" s="183">
        <f t="shared" si="76"/>
        <v>0.90035587188612098</v>
      </c>
      <c r="AF118" s="160">
        <f t="shared" si="83"/>
        <v>800</v>
      </c>
      <c r="AG118" s="217">
        <f t="shared" si="80"/>
        <v>0</v>
      </c>
      <c r="AH118" s="220">
        <f t="shared" si="81"/>
        <v>0</v>
      </c>
      <c r="AI118" s="217"/>
      <c r="AJ118" s="163">
        <f t="shared" ref="AJ118:AJ124" si="84">R118+G118</f>
        <v>1018</v>
      </c>
      <c r="AK118" s="200">
        <f>AJ117+AJ118</f>
        <v>22048</v>
      </c>
      <c r="AL118" s="200">
        <f t="shared" si="75"/>
        <v>20</v>
      </c>
      <c r="AM118" s="984"/>
      <c r="AN118" s="182">
        <f t="shared" si="82"/>
        <v>0.1111111111111111</v>
      </c>
      <c r="AO118" s="183">
        <f t="shared" si="77"/>
        <v>1.8920454545454546</v>
      </c>
    </row>
    <row r="119" spans="1:41" ht="13.8" x14ac:dyDescent="0.25">
      <c r="A119" s="981"/>
      <c r="B119" s="159" t="s">
        <v>902</v>
      </c>
      <c r="C119" s="160">
        <v>22225</v>
      </c>
      <c r="D119" s="161">
        <v>0</v>
      </c>
      <c r="E119" s="162">
        <v>0</v>
      </c>
      <c r="F119" s="161"/>
      <c r="G119" s="163">
        <v>27616</v>
      </c>
      <c r="H119" s="200">
        <f>G119+G118+G117</f>
        <v>47801</v>
      </c>
      <c r="I119" s="200">
        <v>168</v>
      </c>
      <c r="J119" s="984"/>
      <c r="K119" s="209">
        <f t="shared" si="78"/>
        <v>1.2048192771084338E-2</v>
      </c>
      <c r="L119" s="183">
        <f t="shared" si="79"/>
        <v>-2.757139335892109E-2</v>
      </c>
      <c r="N119" s="160">
        <v>2604</v>
      </c>
      <c r="O119" s="161">
        <v>0</v>
      </c>
      <c r="P119" s="162">
        <v>0</v>
      </c>
      <c r="Q119" s="161"/>
      <c r="R119" s="163">
        <v>3308</v>
      </c>
      <c r="S119" s="200">
        <f>R119+R118+R117</f>
        <v>5171</v>
      </c>
      <c r="T119" s="200">
        <v>77</v>
      </c>
      <c r="U119" s="984"/>
      <c r="V119" s="182">
        <f t="shared" si="66"/>
        <v>-3.7499999999999999E-2</v>
      </c>
      <c r="W119" s="183">
        <f t="shared" si="76"/>
        <v>-0.1100349744417541</v>
      </c>
      <c r="AF119" s="160">
        <f t="shared" si="83"/>
        <v>24829</v>
      </c>
      <c r="AG119" s="217">
        <f t="shared" si="80"/>
        <v>0</v>
      </c>
      <c r="AH119" s="220">
        <f t="shared" si="81"/>
        <v>0</v>
      </c>
      <c r="AI119" s="217"/>
      <c r="AJ119" s="163">
        <f t="shared" si="84"/>
        <v>30924</v>
      </c>
      <c r="AK119" s="200">
        <f>AJ119+AJ118+AJ117</f>
        <v>52972</v>
      </c>
      <c r="AL119" s="200">
        <f>T119+I119</f>
        <v>245</v>
      </c>
      <c r="AM119" s="984"/>
      <c r="AN119" s="182">
        <f t="shared" si="82"/>
        <v>-4.0650406504065045E-3</v>
      </c>
      <c r="AO119" s="183">
        <f t="shared" si="77"/>
        <v>-3.7115456470295183E-2</v>
      </c>
    </row>
    <row r="120" spans="1:41" ht="13.8" x14ac:dyDescent="0.25">
      <c r="A120" s="981"/>
      <c r="B120" s="159" t="s">
        <v>905</v>
      </c>
      <c r="C120" s="160">
        <f>C119+C118</f>
        <v>22605</v>
      </c>
      <c r="D120" s="161">
        <v>0</v>
      </c>
      <c r="E120" s="162">
        <v>0</v>
      </c>
      <c r="F120" s="161"/>
      <c r="G120" s="163">
        <f>SUM(G118:G119)</f>
        <v>28100</v>
      </c>
      <c r="H120" s="200">
        <f>G120+G117</f>
        <v>47801</v>
      </c>
      <c r="I120" s="200">
        <v>168</v>
      </c>
      <c r="J120" s="984"/>
      <c r="K120" s="209">
        <f t="shared" si="78"/>
        <v>1.2048192771084338E-2</v>
      </c>
      <c r="L120" s="183">
        <f t="shared" si="79"/>
        <v>-1.0528539737314694E-2</v>
      </c>
      <c r="N120" s="160">
        <f>N119+N118</f>
        <v>3024</v>
      </c>
      <c r="O120" s="161">
        <v>0</v>
      </c>
      <c r="P120" s="162">
        <v>0</v>
      </c>
      <c r="Q120" s="161"/>
      <c r="R120" s="163">
        <f>SUM(R118:R119)</f>
        <v>3842</v>
      </c>
      <c r="S120" s="200">
        <f>R120+R117</f>
        <v>5171</v>
      </c>
      <c r="T120" s="200">
        <f>T119+T118</f>
        <v>92</v>
      </c>
      <c r="U120" s="984"/>
      <c r="V120" s="182">
        <f t="shared" si="66"/>
        <v>-2.1276595744680851E-2</v>
      </c>
      <c r="W120" s="183">
        <f t="shared" si="76"/>
        <v>-3.9019509754877439E-2</v>
      </c>
      <c r="AF120" s="160">
        <f t="shared" si="83"/>
        <v>25629</v>
      </c>
      <c r="AG120" s="217">
        <f t="shared" si="80"/>
        <v>0</v>
      </c>
      <c r="AH120" s="220">
        <f t="shared" si="81"/>
        <v>0</v>
      </c>
      <c r="AI120" s="217"/>
      <c r="AJ120" s="163">
        <f t="shared" si="84"/>
        <v>31942</v>
      </c>
      <c r="AK120" s="200">
        <f>AJ120+AJ117</f>
        <v>52972</v>
      </c>
      <c r="AL120" s="200">
        <f t="shared" ref="AL120:AL131" si="85">T120+I120</f>
        <v>260</v>
      </c>
      <c r="AM120" s="984"/>
      <c r="AN120" s="182">
        <f t="shared" si="82"/>
        <v>0</v>
      </c>
      <c r="AO120" s="183">
        <f t="shared" si="77"/>
        <v>-1.4044510294163039E-2</v>
      </c>
    </row>
    <row r="121" spans="1:41" ht="13.8" x14ac:dyDescent="0.25">
      <c r="A121" s="981"/>
      <c r="B121" s="159" t="s">
        <v>909</v>
      </c>
      <c r="C121" s="160">
        <f>C117+C120</f>
        <v>38165</v>
      </c>
      <c r="D121" s="202">
        <v>0</v>
      </c>
      <c r="E121" s="203">
        <v>0</v>
      </c>
      <c r="F121" s="202"/>
      <c r="G121" s="163">
        <f>G117+G120</f>
        <v>47801</v>
      </c>
      <c r="H121" s="200">
        <f>G121</f>
        <v>47801</v>
      </c>
      <c r="I121" s="200">
        <f>I120+I117+I118</f>
        <v>617</v>
      </c>
      <c r="J121" s="984"/>
      <c r="K121" s="209">
        <f t="shared" si="78"/>
        <v>8.1699346405228763E-3</v>
      </c>
      <c r="L121" s="183">
        <f t="shared" si="79"/>
        <v>1.3162356930902924E-2</v>
      </c>
      <c r="N121" s="160">
        <f>N120+N117</f>
        <v>4060</v>
      </c>
      <c r="O121" s="202">
        <v>0</v>
      </c>
      <c r="P121" s="203">
        <v>0</v>
      </c>
      <c r="Q121" s="202"/>
      <c r="R121" s="163">
        <f>R120+R117</f>
        <v>5171</v>
      </c>
      <c r="S121" s="200">
        <f>R121</f>
        <v>5171</v>
      </c>
      <c r="T121" s="200">
        <f>T120+T117</f>
        <v>219</v>
      </c>
      <c r="U121" s="984"/>
      <c r="V121" s="182">
        <f t="shared" si="66"/>
        <v>-7.9831932773109238E-2</v>
      </c>
      <c r="W121" s="183">
        <f>(R121-R108)/R108</f>
        <v>-4.8048600883652433E-2</v>
      </c>
      <c r="AF121" s="160">
        <f t="shared" si="83"/>
        <v>42225</v>
      </c>
      <c r="AG121" s="217">
        <f t="shared" si="80"/>
        <v>0</v>
      </c>
      <c r="AH121" s="220">
        <f t="shared" si="81"/>
        <v>0</v>
      </c>
      <c r="AI121" s="217"/>
      <c r="AJ121" s="163">
        <f t="shared" si="84"/>
        <v>52972</v>
      </c>
      <c r="AK121" s="200">
        <f>AJ121</f>
        <v>52972</v>
      </c>
      <c r="AL121" s="200">
        <f t="shared" si="85"/>
        <v>836</v>
      </c>
      <c r="AM121" s="984"/>
      <c r="AN121" s="182">
        <f t="shared" si="82"/>
        <v>-1.6470588235294119E-2</v>
      </c>
      <c r="AO121" s="183">
        <f>(AJ121-AJ108)/AJ108</f>
        <v>6.8425454268988065E-3</v>
      </c>
    </row>
    <row r="122" spans="1:41" ht="13.8" x14ac:dyDescent="0.25">
      <c r="A122" s="981"/>
      <c r="B122" s="159" t="s">
        <v>10</v>
      </c>
      <c r="C122" s="160">
        <v>2625</v>
      </c>
      <c r="D122" s="161">
        <v>0</v>
      </c>
      <c r="E122" s="162">
        <v>0</v>
      </c>
      <c r="F122" s="161"/>
      <c r="G122" s="163">
        <v>3345</v>
      </c>
      <c r="H122" s="200">
        <f>G121+G122</f>
        <v>51146</v>
      </c>
      <c r="I122" s="200">
        <v>55</v>
      </c>
      <c r="J122" s="984"/>
      <c r="K122" s="209">
        <f t="shared" si="78"/>
        <v>-0.17910447761194029</v>
      </c>
      <c r="L122" s="183">
        <f t="shared" si="79"/>
        <v>3.0499075785582256E-2</v>
      </c>
      <c r="N122" s="160">
        <v>5603</v>
      </c>
      <c r="O122" s="161">
        <v>0</v>
      </c>
      <c r="P122" s="162">
        <v>0</v>
      </c>
      <c r="Q122" s="161"/>
      <c r="R122" s="163">
        <v>7140</v>
      </c>
      <c r="S122" s="200">
        <f>R121+R122</f>
        <v>12311</v>
      </c>
      <c r="T122" s="200">
        <v>294</v>
      </c>
      <c r="U122" s="984"/>
      <c r="V122" s="182">
        <f t="shared" si="66"/>
        <v>-0.11711711711711711</v>
      </c>
      <c r="W122" s="183">
        <f>(R122-R109)/R109</f>
        <v>9.1743119266055051E-2</v>
      </c>
      <c r="AF122" s="160">
        <f t="shared" si="83"/>
        <v>8228</v>
      </c>
      <c r="AG122" s="217">
        <f t="shared" si="80"/>
        <v>0</v>
      </c>
      <c r="AH122" s="220">
        <f t="shared" si="81"/>
        <v>0</v>
      </c>
      <c r="AI122" s="217"/>
      <c r="AJ122" s="163">
        <f t="shared" si="84"/>
        <v>10485</v>
      </c>
      <c r="AK122" s="200">
        <f>AJ121+AJ122</f>
        <v>63457</v>
      </c>
      <c r="AL122" s="200">
        <f t="shared" si="85"/>
        <v>349</v>
      </c>
      <c r="AM122" s="984"/>
      <c r="AN122" s="182">
        <f t="shared" si="82"/>
        <v>-0.1275</v>
      </c>
      <c r="AO122" s="183">
        <f>(AJ122-AJ109)/AJ109</f>
        <v>7.1428571428571425E-2</v>
      </c>
    </row>
    <row r="123" spans="1:41" ht="13.8" x14ac:dyDescent="0.25">
      <c r="A123" s="981"/>
      <c r="B123" s="159" t="s">
        <v>920</v>
      </c>
      <c r="C123" s="160">
        <v>0</v>
      </c>
      <c r="D123" s="161">
        <v>0</v>
      </c>
      <c r="E123" s="162">
        <v>0</v>
      </c>
      <c r="F123" s="161"/>
      <c r="G123" s="163">
        <v>0</v>
      </c>
      <c r="H123" s="200">
        <f>SUM(G121:G123)</f>
        <v>51146</v>
      </c>
      <c r="I123" s="200">
        <v>0</v>
      </c>
      <c r="J123" s="984"/>
      <c r="K123" s="209">
        <f>IFERROR((I123-I110)/I110,0)</f>
        <v>0</v>
      </c>
      <c r="L123" s="183" t="e">
        <f>(G123-G110)/G110</f>
        <v>#DIV/0!</v>
      </c>
      <c r="N123" s="160">
        <v>799</v>
      </c>
      <c r="O123" s="161">
        <v>0</v>
      </c>
      <c r="P123" s="162">
        <v>0</v>
      </c>
      <c r="Q123" s="161"/>
      <c r="R123" s="163">
        <v>1000</v>
      </c>
      <c r="S123" s="200">
        <f>SUM(R121:R123)</f>
        <v>13311</v>
      </c>
      <c r="T123" s="200">
        <v>4589</v>
      </c>
      <c r="U123" s="984"/>
      <c r="V123" s="182">
        <f t="shared" si="66"/>
        <v>4.6045133348529749E-2</v>
      </c>
      <c r="W123" s="183">
        <f>(R123-R110)/R110</f>
        <v>1.6260162601626018E-2</v>
      </c>
      <c r="AF123" s="160">
        <f t="shared" si="83"/>
        <v>799</v>
      </c>
      <c r="AG123" s="217">
        <f t="shared" si="80"/>
        <v>0</v>
      </c>
      <c r="AH123" s="220">
        <f t="shared" si="81"/>
        <v>0</v>
      </c>
      <c r="AI123" s="217"/>
      <c r="AJ123" s="163">
        <f t="shared" si="84"/>
        <v>1000</v>
      </c>
      <c r="AK123" s="200">
        <f>SUM(AJ121:AJ123)</f>
        <v>64457</v>
      </c>
      <c r="AL123" s="200">
        <f t="shared" si="85"/>
        <v>4589</v>
      </c>
      <c r="AM123" s="984"/>
      <c r="AN123" s="182">
        <f>(AL123-AL110)/AL110</f>
        <v>4.6045133348529749E-2</v>
      </c>
      <c r="AO123" s="183">
        <f>(AJ123-AJ110)/AJ110</f>
        <v>1.6260162601626018E-2</v>
      </c>
    </row>
    <row r="124" spans="1:41" ht="14.4" thickBot="1" x14ac:dyDescent="0.3">
      <c r="A124" s="987"/>
      <c r="B124" s="159" t="s">
        <v>922</v>
      </c>
      <c r="C124" s="168">
        <v>85</v>
      </c>
      <c r="D124" s="169">
        <v>0</v>
      </c>
      <c r="E124" s="170">
        <v>0</v>
      </c>
      <c r="F124" s="169"/>
      <c r="G124" s="204">
        <v>107</v>
      </c>
      <c r="H124" s="200">
        <f>SUM(G121:G124)</f>
        <v>51253</v>
      </c>
      <c r="I124" s="200">
        <v>5</v>
      </c>
      <c r="J124" s="984"/>
      <c r="K124" s="210">
        <f>(I124-I111)/I111</f>
        <v>-0.6428571428571429</v>
      </c>
      <c r="L124" s="187">
        <f t="shared" si="79"/>
        <v>-0.62323943661971826</v>
      </c>
      <c r="N124" s="168">
        <v>926</v>
      </c>
      <c r="O124" s="169">
        <v>0</v>
      </c>
      <c r="P124" s="170">
        <v>0</v>
      </c>
      <c r="Q124" s="169"/>
      <c r="R124" s="204">
        <v>1172</v>
      </c>
      <c r="S124" s="200">
        <f>SUM(R121:R124)</f>
        <v>14483</v>
      </c>
      <c r="T124" s="200">
        <v>44</v>
      </c>
      <c r="U124" s="984"/>
      <c r="V124" s="186">
        <f t="shared" si="66"/>
        <v>0</v>
      </c>
      <c r="W124" s="187">
        <f>(R124-R111)/R111</f>
        <v>0.66005665722379603</v>
      </c>
      <c r="AF124" s="168">
        <f>N124+C124</f>
        <v>1011</v>
      </c>
      <c r="AG124" s="218">
        <f t="shared" si="80"/>
        <v>0</v>
      </c>
      <c r="AH124" s="221">
        <f t="shared" si="81"/>
        <v>0</v>
      </c>
      <c r="AI124" s="218"/>
      <c r="AJ124" s="204">
        <f t="shared" si="84"/>
        <v>1279</v>
      </c>
      <c r="AK124" s="200">
        <f>SUM(AJ121:AJ124)</f>
        <v>65736</v>
      </c>
      <c r="AL124" s="200">
        <f t="shared" si="85"/>
        <v>49</v>
      </c>
      <c r="AM124" s="984"/>
      <c r="AN124" s="186">
        <f>(AL124-AL111)/AL111</f>
        <v>-0.15517241379310345</v>
      </c>
      <c r="AO124" s="187">
        <f>(AJ124-AJ111)/AJ111</f>
        <v>0.29191919191919191</v>
      </c>
    </row>
    <row r="125" spans="1:41" ht="14.4" thickBot="1" x14ac:dyDescent="0.3">
      <c r="A125" s="172" t="s">
        <v>973</v>
      </c>
      <c r="B125" s="173">
        <f>A113</f>
        <v>2024</v>
      </c>
      <c r="C125" s="174">
        <f>SUM(C121:C124)</f>
        <v>40875</v>
      </c>
      <c r="D125" s="205">
        <f>SUM(D121:D124)</f>
        <v>0</v>
      </c>
      <c r="E125" s="205">
        <f>SUM(E121:E124)</f>
        <v>0</v>
      </c>
      <c r="F125" s="205"/>
      <c r="G125" s="174">
        <f>SUM(G121:G124)</f>
        <v>51253</v>
      </c>
      <c r="H125" s="175">
        <f>H124</f>
        <v>51253</v>
      </c>
      <c r="I125" s="175">
        <f>SUM(I121:I124)</f>
        <v>677</v>
      </c>
      <c r="J125" s="985"/>
      <c r="K125" s="190">
        <f>(I125-I112)/I112</f>
        <v>-2.3088023088023088E-2</v>
      </c>
      <c r="L125" s="191">
        <f t="shared" si="79"/>
        <v>1.070794715046342E-2</v>
      </c>
      <c r="N125" s="174">
        <f>SUM(N121:N124)</f>
        <v>11388</v>
      </c>
      <c r="O125" s="205">
        <f>SUM(O121:O124)</f>
        <v>0</v>
      </c>
      <c r="P125" s="205">
        <f>SUM(P121:P124)</f>
        <v>0</v>
      </c>
      <c r="Q125" s="205"/>
      <c r="R125" s="174">
        <f>SUM(R121:R124)</f>
        <v>14483</v>
      </c>
      <c r="S125" s="175">
        <f>S124</f>
        <v>14483</v>
      </c>
      <c r="T125" s="175">
        <f>SUM(T121:T124)</f>
        <v>5146</v>
      </c>
      <c r="U125" s="985"/>
      <c r="V125" s="190">
        <f t="shared" si="66"/>
        <v>2.8788484606157537E-2</v>
      </c>
      <c r="W125" s="191">
        <f>(R125-R112)/R112</f>
        <v>6.0093690528473138E-2</v>
      </c>
      <c r="AF125" s="174">
        <f>N125+C125</f>
        <v>52263</v>
      </c>
      <c r="AG125" s="486">
        <f t="shared" si="80"/>
        <v>0</v>
      </c>
      <c r="AH125" s="487">
        <f t="shared" si="81"/>
        <v>0</v>
      </c>
      <c r="AI125" s="869"/>
      <c r="AJ125" s="175">
        <f>SUM(AJ121:AJ124)</f>
        <v>65736</v>
      </c>
      <c r="AK125" s="175">
        <f>AK124</f>
        <v>65736</v>
      </c>
      <c r="AL125" s="175">
        <f t="shared" si="85"/>
        <v>5823</v>
      </c>
      <c r="AM125" s="985"/>
      <c r="AN125" s="190">
        <f>(AL125-AL112)/AL112</f>
        <v>2.2475856014047411E-2</v>
      </c>
      <c r="AO125" s="191">
        <f>(AJ125-AJ112)/AJ112</f>
        <v>2.1189336978810664E-2</v>
      </c>
    </row>
    <row r="126" spans="1:41" ht="14.4" thickBot="1" x14ac:dyDescent="0.3">
      <c r="A126" s="981">
        <v>2025</v>
      </c>
      <c r="B126" s="151" t="s">
        <v>891</v>
      </c>
      <c r="C126" s="152">
        <v>5</v>
      </c>
      <c r="D126" s="153">
        <v>0</v>
      </c>
      <c r="E126" s="154">
        <v>0</v>
      </c>
      <c r="F126" s="153">
        <v>5</v>
      </c>
      <c r="G126" s="155">
        <v>74</v>
      </c>
      <c r="H126" s="199">
        <f>G126</f>
        <v>74</v>
      </c>
      <c r="I126" s="199">
        <v>1</v>
      </c>
      <c r="J126" s="983" t="str">
        <f>"Milli áranna "&amp; $A113 &amp;" og "&amp; $A126</f>
        <v>Milli áranna 2024 og 2025</v>
      </c>
      <c r="K126" s="208">
        <f>(I126-I113)/I113</f>
        <v>-0.66666666666666663</v>
      </c>
      <c r="L126" s="179">
        <f t="shared" ref="L126:L135" si="86">(G126-G113)/G113</f>
        <v>0</v>
      </c>
      <c r="N126" s="152">
        <v>0</v>
      </c>
      <c r="O126" s="153">
        <v>0</v>
      </c>
      <c r="P126" s="154">
        <v>0</v>
      </c>
      <c r="Q126" s="153">
        <v>0</v>
      </c>
      <c r="R126" s="155">
        <v>0</v>
      </c>
      <c r="S126" s="199">
        <f>R126</f>
        <v>0</v>
      </c>
      <c r="T126" s="199">
        <v>0</v>
      </c>
      <c r="U126" s="983" t="str">
        <f>"Milli áranna "&amp; $A113 &amp;" og "&amp; $A126</f>
        <v>Milli áranna 2024 og 2025</v>
      </c>
      <c r="V126" s="178">
        <f t="shared" ref="V126:V138" si="87">(T126-T113)/T113</f>
        <v>-1</v>
      </c>
      <c r="W126" s="179">
        <f t="shared" ref="W126:W133" si="88">(R126-R113)/R113</f>
        <v>-1</v>
      </c>
      <c r="AF126" s="152">
        <f>N126+C126</f>
        <v>5</v>
      </c>
      <c r="AG126" s="216">
        <f t="shared" ref="AG126:AG138" si="89">O126+D126</f>
        <v>0</v>
      </c>
      <c r="AH126" s="219">
        <f t="shared" ref="AH126:AI138" si="90">P126+E126</f>
        <v>0</v>
      </c>
      <c r="AI126" s="152">
        <f t="shared" ref="AI126:AJ128" si="91">Q126+F126</f>
        <v>5</v>
      </c>
      <c r="AJ126" s="155">
        <f t="shared" si="91"/>
        <v>74</v>
      </c>
      <c r="AK126" s="199">
        <f>AJ126</f>
        <v>74</v>
      </c>
      <c r="AL126" s="199">
        <f t="shared" si="85"/>
        <v>1</v>
      </c>
      <c r="AM126" s="983" t="str">
        <f>"Milli áranna "&amp; $A113 &amp;" og "&amp; $A126</f>
        <v>Milli áranna 2024 og 2025</v>
      </c>
      <c r="AN126" s="178">
        <f t="shared" ref="AN126:AN135" si="92">(AL126-AL113)/AL113</f>
        <v>-0.75</v>
      </c>
      <c r="AO126" s="179">
        <f t="shared" ref="AO126:AO133" si="93">(AJ126-AJ113)/AJ113</f>
        <v>-0.16853932584269662</v>
      </c>
    </row>
    <row r="127" spans="1:41" ht="13.8" x14ac:dyDescent="0.25">
      <c r="A127" s="981"/>
      <c r="B127" s="159" t="s">
        <v>893</v>
      </c>
      <c r="C127" s="160">
        <v>13290</v>
      </c>
      <c r="D127" s="161">
        <v>0</v>
      </c>
      <c r="E127" s="162">
        <v>0</v>
      </c>
      <c r="F127" s="161">
        <v>16540</v>
      </c>
      <c r="G127" s="163">
        <v>13430</v>
      </c>
      <c r="H127" s="200">
        <f>G127+G126</f>
        <v>13504</v>
      </c>
      <c r="I127" s="200">
        <v>314</v>
      </c>
      <c r="J127" s="984"/>
      <c r="K127" s="209">
        <f>(I127-I114)/I114</f>
        <v>-5.4216867469879519E-2</v>
      </c>
      <c r="L127" s="183">
        <f>(G127-G114)/G114</f>
        <v>-0.25368157821617116</v>
      </c>
      <c r="N127" s="160">
        <v>30</v>
      </c>
      <c r="O127" s="161">
        <v>0</v>
      </c>
      <c r="P127" s="162">
        <v>0</v>
      </c>
      <c r="Q127" s="161">
        <v>40</v>
      </c>
      <c r="R127" s="163">
        <v>30</v>
      </c>
      <c r="S127" s="200">
        <f>R127+R126</f>
        <v>30</v>
      </c>
      <c r="T127" s="200">
        <v>2</v>
      </c>
      <c r="U127" s="984"/>
      <c r="V127" s="182">
        <f t="shared" si="87"/>
        <v>-0.5</v>
      </c>
      <c r="W127" s="183">
        <f t="shared" si="88"/>
        <v>-0.54545454545454541</v>
      </c>
      <c r="AF127" s="152">
        <f>N127+C127</f>
        <v>13320</v>
      </c>
      <c r="AG127" s="217">
        <f t="shared" si="89"/>
        <v>0</v>
      </c>
      <c r="AH127" s="220">
        <f t="shared" si="90"/>
        <v>0</v>
      </c>
      <c r="AI127" s="152">
        <f t="shared" si="91"/>
        <v>16580</v>
      </c>
      <c r="AJ127" s="163">
        <f t="shared" si="91"/>
        <v>13460</v>
      </c>
      <c r="AK127" s="200">
        <f>AJ127+AJ126</f>
        <v>13534</v>
      </c>
      <c r="AL127" s="200">
        <f t="shared" si="85"/>
        <v>316</v>
      </c>
      <c r="AM127" s="984"/>
      <c r="AN127" s="182">
        <f t="shared" si="92"/>
        <v>-5.9523809523809521E-2</v>
      </c>
      <c r="AO127" s="183">
        <f t="shared" si="93"/>
        <v>-0.25474779912518686</v>
      </c>
    </row>
    <row r="128" spans="1:41" ht="13.8" x14ac:dyDescent="0.25">
      <c r="A128" s="981"/>
      <c r="B128" s="943" t="s">
        <v>895</v>
      </c>
      <c r="C128" s="160">
        <v>990</v>
      </c>
      <c r="D128" s="161">
        <v>0</v>
      </c>
      <c r="E128" s="162">
        <v>0</v>
      </c>
      <c r="F128" s="161">
        <v>1250</v>
      </c>
      <c r="G128" s="163">
        <v>1010</v>
      </c>
      <c r="H128" s="200">
        <f>G128+G127+G126</f>
        <v>14514</v>
      </c>
      <c r="I128" s="200">
        <v>106</v>
      </c>
      <c r="J128" s="984"/>
      <c r="K128" s="209">
        <f t="shared" ref="K128:K135" si="94">(I128-I115)/I115</f>
        <v>1.9230769230769232E-2</v>
      </c>
      <c r="L128" s="183">
        <f t="shared" si="86"/>
        <v>-0.34159061277705344</v>
      </c>
      <c r="N128" s="160">
        <v>20</v>
      </c>
      <c r="O128" s="161">
        <v>0</v>
      </c>
      <c r="P128" s="162">
        <v>0</v>
      </c>
      <c r="Q128" s="161">
        <v>20</v>
      </c>
      <c r="R128" s="163">
        <v>20</v>
      </c>
      <c r="S128" s="200">
        <f>R128+R127+R126</f>
        <v>50</v>
      </c>
      <c r="T128" s="200">
        <v>1</v>
      </c>
      <c r="U128" s="984"/>
      <c r="V128" s="182">
        <f t="shared" si="87"/>
        <v>-0.5</v>
      </c>
      <c r="W128" s="183">
        <f t="shared" si="88"/>
        <v>-4.7619047619047616E-2</v>
      </c>
      <c r="AF128" s="160">
        <f>N128+C128</f>
        <v>1010</v>
      </c>
      <c r="AG128" s="217">
        <f t="shared" si="89"/>
        <v>0</v>
      </c>
      <c r="AH128" s="220">
        <f t="shared" si="90"/>
        <v>0</v>
      </c>
      <c r="AI128" s="160">
        <f t="shared" si="91"/>
        <v>1270</v>
      </c>
      <c r="AJ128" s="163">
        <f t="shared" si="91"/>
        <v>1030</v>
      </c>
      <c r="AK128" s="200">
        <f>AJ128+AJ127+AJ126</f>
        <v>14564</v>
      </c>
      <c r="AL128" s="200">
        <f t="shared" si="85"/>
        <v>107</v>
      </c>
      <c r="AM128" s="984"/>
      <c r="AN128" s="182">
        <f t="shared" si="92"/>
        <v>9.433962264150943E-3</v>
      </c>
      <c r="AO128" s="183">
        <f t="shared" si="93"/>
        <v>-0.33762057877813506</v>
      </c>
    </row>
    <row r="129" spans="1:41" ht="13.8" x14ac:dyDescent="0.25">
      <c r="A129" s="981"/>
      <c r="B129" s="159" t="s">
        <v>897</v>
      </c>
      <c r="C129" s="160">
        <v>50</v>
      </c>
      <c r="D129" s="161">
        <v>0</v>
      </c>
      <c r="E129" s="162">
        <v>0</v>
      </c>
      <c r="F129" s="161">
        <v>70</v>
      </c>
      <c r="G129" s="163">
        <v>50</v>
      </c>
      <c r="H129" s="200">
        <f>SUM(G126:G129)</f>
        <v>14564</v>
      </c>
      <c r="I129" s="200">
        <v>5</v>
      </c>
      <c r="J129" s="984"/>
      <c r="K129" s="209">
        <f t="shared" si="94"/>
        <v>0</v>
      </c>
      <c r="L129" s="183">
        <f t="shared" si="86"/>
        <v>-0.48979591836734693</v>
      </c>
      <c r="N129" s="160">
        <v>970</v>
      </c>
      <c r="O129" s="161">
        <v>0</v>
      </c>
      <c r="P129" s="162">
        <v>0</v>
      </c>
      <c r="Q129" s="160">
        <v>1240</v>
      </c>
      <c r="R129" s="163">
        <v>1000</v>
      </c>
      <c r="S129" s="200">
        <f>SUM(R126:R129)</f>
        <v>1050</v>
      </c>
      <c r="T129" s="200">
        <v>124</v>
      </c>
      <c r="U129" s="984"/>
      <c r="V129" s="182">
        <f t="shared" si="87"/>
        <v>3.3333333333333333E-2</v>
      </c>
      <c r="W129" s="183">
        <f t="shared" si="88"/>
        <v>-0.18500407497962509</v>
      </c>
      <c r="AF129" s="160">
        <f t="shared" ref="AF129:AF136" si="95">N129+C129</f>
        <v>1020</v>
      </c>
      <c r="AG129" s="217">
        <f t="shared" si="89"/>
        <v>0</v>
      </c>
      <c r="AH129" s="220">
        <f t="shared" si="90"/>
        <v>0</v>
      </c>
      <c r="AI129" s="160">
        <f t="shared" si="90"/>
        <v>1310</v>
      </c>
      <c r="AJ129" s="163">
        <f>R129+G129</f>
        <v>1050</v>
      </c>
      <c r="AK129" s="200">
        <f>SUM(AJ126:AJ129)</f>
        <v>15614</v>
      </c>
      <c r="AL129" s="200">
        <f t="shared" si="85"/>
        <v>129</v>
      </c>
      <c r="AM129" s="984"/>
      <c r="AN129" s="182">
        <f t="shared" si="92"/>
        <v>3.2000000000000001E-2</v>
      </c>
      <c r="AO129" s="183">
        <f t="shared" si="93"/>
        <v>-0.20754716981132076</v>
      </c>
    </row>
    <row r="130" spans="1:41" ht="13.8" x14ac:dyDescent="0.25">
      <c r="A130" s="981"/>
      <c r="B130" s="193" t="s">
        <v>899</v>
      </c>
      <c r="C130" s="160">
        <f>SUM(C126:C129)</f>
        <v>14335</v>
      </c>
      <c r="D130" s="161">
        <v>0</v>
      </c>
      <c r="E130" s="162">
        <v>0</v>
      </c>
      <c r="F130" s="160">
        <f>SUM(F126:F129)</f>
        <v>17865</v>
      </c>
      <c r="G130" s="163">
        <f>SUM(G126:G129)</f>
        <v>14564</v>
      </c>
      <c r="H130" s="200">
        <f>SUM(G130)</f>
        <v>14564</v>
      </c>
      <c r="I130" s="200">
        <f>SUM(I126:I129)</f>
        <v>426</v>
      </c>
      <c r="J130" s="984"/>
      <c r="K130" s="209">
        <f t="shared" si="94"/>
        <v>-4.0540540540540543E-2</v>
      </c>
      <c r="L130" s="183">
        <f t="shared" si="86"/>
        <v>-0.26074818537130096</v>
      </c>
      <c r="N130" s="160">
        <f>SUM(N126:N129)</f>
        <v>1020</v>
      </c>
      <c r="O130" s="161">
        <v>0</v>
      </c>
      <c r="P130" s="162">
        <v>0</v>
      </c>
      <c r="Q130" s="160">
        <f>SUM(Q126:Q129)</f>
        <v>1300</v>
      </c>
      <c r="R130" s="163">
        <f>SUM(R126:R129)</f>
        <v>1050</v>
      </c>
      <c r="S130" s="200">
        <f>SUM(R130)</f>
        <v>1050</v>
      </c>
      <c r="T130" s="200">
        <f>SUM(T126:T129)</f>
        <v>127</v>
      </c>
      <c r="U130" s="984"/>
      <c r="V130" s="182">
        <f t="shared" si="87"/>
        <v>0</v>
      </c>
      <c r="W130" s="183">
        <f t="shared" si="88"/>
        <v>-0.20993227990970656</v>
      </c>
      <c r="AF130" s="160">
        <f t="shared" si="95"/>
        <v>15355</v>
      </c>
      <c r="AG130" s="217">
        <f t="shared" si="89"/>
        <v>0</v>
      </c>
      <c r="AH130" s="220">
        <f t="shared" si="90"/>
        <v>0</v>
      </c>
      <c r="AI130" s="160">
        <f t="shared" si="90"/>
        <v>19165</v>
      </c>
      <c r="AJ130" s="163">
        <f>R130+G130</f>
        <v>15614</v>
      </c>
      <c r="AK130" s="200">
        <f>SUM(AJ130)</f>
        <v>15614</v>
      </c>
      <c r="AL130" s="200">
        <f t="shared" si="85"/>
        <v>553</v>
      </c>
      <c r="AM130" s="984"/>
      <c r="AN130" s="182">
        <f t="shared" si="92"/>
        <v>-3.1523642732049037E-2</v>
      </c>
      <c r="AO130" s="183">
        <f t="shared" si="93"/>
        <v>-0.25753685211602473</v>
      </c>
    </row>
    <row r="131" spans="1:41" ht="13.8" x14ac:dyDescent="0.25">
      <c r="A131" s="981"/>
      <c r="B131" s="159" t="s">
        <v>901</v>
      </c>
      <c r="C131" s="160">
        <v>5</v>
      </c>
      <c r="D131" s="161">
        <v>0</v>
      </c>
      <c r="E131" s="162">
        <v>0</v>
      </c>
      <c r="F131" s="161">
        <v>5</v>
      </c>
      <c r="G131" s="163">
        <v>5</v>
      </c>
      <c r="H131" s="200">
        <f>G130+G131</f>
        <v>14569</v>
      </c>
      <c r="I131" s="200">
        <v>5</v>
      </c>
      <c r="J131" s="984"/>
      <c r="K131" s="209">
        <f t="shared" si="94"/>
        <v>0</v>
      </c>
      <c r="L131" s="183">
        <f>(G131-G118)/G118</f>
        <v>-0.98966942148760328</v>
      </c>
      <c r="N131" s="160">
        <v>80</v>
      </c>
      <c r="O131" s="161">
        <v>0</v>
      </c>
      <c r="P131" s="162">
        <v>0</v>
      </c>
      <c r="Q131" s="161">
        <v>100</v>
      </c>
      <c r="R131" s="163">
        <v>80</v>
      </c>
      <c r="S131" s="200">
        <f>R130+R131</f>
        <v>1130</v>
      </c>
      <c r="T131" s="200">
        <v>6</v>
      </c>
      <c r="U131" s="984"/>
      <c r="V131" s="182">
        <f t="shared" si="87"/>
        <v>-0.6</v>
      </c>
      <c r="W131" s="183">
        <f t="shared" si="88"/>
        <v>-0.85018726591760296</v>
      </c>
      <c r="AF131" s="160">
        <f t="shared" si="95"/>
        <v>85</v>
      </c>
      <c r="AG131" s="217">
        <f t="shared" si="89"/>
        <v>0</v>
      </c>
      <c r="AH131" s="220">
        <f t="shared" si="90"/>
        <v>0</v>
      </c>
      <c r="AI131" s="160">
        <f t="shared" si="90"/>
        <v>105</v>
      </c>
      <c r="AJ131" s="163">
        <f t="shared" ref="AJ131:AJ137" si="96">R131+G131</f>
        <v>85</v>
      </c>
      <c r="AK131" s="200">
        <f>AJ130+AJ131</f>
        <v>15699</v>
      </c>
      <c r="AL131" s="200">
        <f t="shared" si="85"/>
        <v>11</v>
      </c>
      <c r="AM131" s="984"/>
      <c r="AN131" s="182">
        <f t="shared" si="92"/>
        <v>-0.45</v>
      </c>
      <c r="AO131" s="183">
        <f t="shared" si="93"/>
        <v>-0.91650294695481338</v>
      </c>
    </row>
    <row r="132" spans="1:41" ht="13.8" x14ac:dyDescent="0.25">
      <c r="A132" s="981"/>
      <c r="B132" s="159" t="s">
        <v>902</v>
      </c>
      <c r="C132" s="160">
        <v>21100</v>
      </c>
      <c r="D132" s="161">
        <v>0</v>
      </c>
      <c r="E132" s="162">
        <v>0</v>
      </c>
      <c r="F132" s="161">
        <v>25880</v>
      </c>
      <c r="G132" s="163">
        <v>21490</v>
      </c>
      <c r="H132" s="200">
        <f>G132+G131+G130</f>
        <v>36059</v>
      </c>
      <c r="I132" s="200">
        <v>146</v>
      </c>
      <c r="J132" s="984"/>
      <c r="K132" s="209">
        <f t="shared" si="94"/>
        <v>-0.13095238095238096</v>
      </c>
      <c r="L132" s="183">
        <f t="shared" si="86"/>
        <v>-0.2218279258400927</v>
      </c>
      <c r="N132" s="160">
        <v>2560</v>
      </c>
      <c r="O132" s="161">
        <v>0</v>
      </c>
      <c r="P132" s="162">
        <v>0</v>
      </c>
      <c r="Q132" s="161">
        <v>3190</v>
      </c>
      <c r="R132" s="163">
        <v>2590</v>
      </c>
      <c r="S132" s="200">
        <f>R132+R131+R130</f>
        <v>3720</v>
      </c>
      <c r="T132" s="200">
        <v>91</v>
      </c>
      <c r="U132" s="984"/>
      <c r="V132" s="182">
        <f t="shared" si="87"/>
        <v>0.18181818181818182</v>
      </c>
      <c r="W132" s="183">
        <f t="shared" si="88"/>
        <v>-0.21704957678355502</v>
      </c>
      <c r="AF132" s="160">
        <f t="shared" si="95"/>
        <v>23660</v>
      </c>
      <c r="AG132" s="217">
        <f t="shared" si="89"/>
        <v>0</v>
      </c>
      <c r="AH132" s="220">
        <f t="shared" si="90"/>
        <v>0</v>
      </c>
      <c r="AI132" s="160">
        <f t="shared" si="90"/>
        <v>29070</v>
      </c>
      <c r="AJ132" s="163">
        <f t="shared" si="96"/>
        <v>24080</v>
      </c>
      <c r="AK132" s="200">
        <f>AJ132+AJ131+AJ130</f>
        <v>39779</v>
      </c>
      <c r="AL132" s="200">
        <f>T132+I132</f>
        <v>237</v>
      </c>
      <c r="AM132" s="984"/>
      <c r="AN132" s="182">
        <f t="shared" si="92"/>
        <v>-3.2653061224489799E-2</v>
      </c>
      <c r="AO132" s="183">
        <f t="shared" si="93"/>
        <v>-0.22131677661363341</v>
      </c>
    </row>
    <row r="133" spans="1:41" ht="13.8" x14ac:dyDescent="0.25">
      <c r="A133" s="981"/>
      <c r="B133" s="159" t="s">
        <v>905</v>
      </c>
      <c r="C133" s="160">
        <f>C132+C131</f>
        <v>21105</v>
      </c>
      <c r="D133" s="161">
        <v>0</v>
      </c>
      <c r="E133" s="162">
        <v>0</v>
      </c>
      <c r="F133" s="160">
        <f>F132+F131</f>
        <v>25885</v>
      </c>
      <c r="G133" s="163">
        <f>SUM(G131:G132)</f>
        <v>21495</v>
      </c>
      <c r="H133" s="200">
        <f>G133+G130</f>
        <v>36059</v>
      </c>
      <c r="I133" s="200">
        <v>168</v>
      </c>
      <c r="J133" s="984"/>
      <c r="K133" s="209">
        <f t="shared" si="94"/>
        <v>0</v>
      </c>
      <c r="L133" s="183">
        <f t="shared" si="86"/>
        <v>-0.23505338078291815</v>
      </c>
      <c r="N133" s="160">
        <f>N132+N131</f>
        <v>2640</v>
      </c>
      <c r="O133" s="161">
        <v>0</v>
      </c>
      <c r="P133" s="162">
        <v>0</v>
      </c>
      <c r="Q133" s="160">
        <f>Q132+Q131</f>
        <v>3290</v>
      </c>
      <c r="R133" s="163">
        <f>SUM(R131:R132)</f>
        <v>2670</v>
      </c>
      <c r="S133" s="200">
        <f>R133+R130</f>
        <v>3720</v>
      </c>
      <c r="T133" s="200">
        <f>T132+T131</f>
        <v>97</v>
      </c>
      <c r="U133" s="984"/>
      <c r="V133" s="182">
        <f t="shared" si="87"/>
        <v>5.434782608695652E-2</v>
      </c>
      <c r="W133" s="183">
        <f t="shared" si="88"/>
        <v>-0.30504945340968248</v>
      </c>
      <c r="AF133" s="160">
        <f t="shared" si="95"/>
        <v>23745</v>
      </c>
      <c r="AG133" s="217">
        <f t="shared" si="89"/>
        <v>0</v>
      </c>
      <c r="AH133" s="220">
        <f t="shared" si="90"/>
        <v>0</v>
      </c>
      <c r="AI133" s="160">
        <f t="shared" si="90"/>
        <v>29175</v>
      </c>
      <c r="AJ133" s="163">
        <f t="shared" si="96"/>
        <v>24165</v>
      </c>
      <c r="AK133" s="200">
        <f>AJ133+AJ130</f>
        <v>39779</v>
      </c>
      <c r="AL133" s="200">
        <f t="shared" ref="AL133:AL138" si="97">T133+I133</f>
        <v>265</v>
      </c>
      <c r="AM133" s="984"/>
      <c r="AN133" s="182">
        <f t="shared" si="92"/>
        <v>1.9230769230769232E-2</v>
      </c>
      <c r="AO133" s="183">
        <f t="shared" si="93"/>
        <v>-0.24347254398597457</v>
      </c>
    </row>
    <row r="134" spans="1:41" ht="13.8" x14ac:dyDescent="0.25">
      <c r="A134" s="981"/>
      <c r="B134" s="159" t="s">
        <v>909</v>
      </c>
      <c r="C134" s="160">
        <f>C130+C133</f>
        <v>35440</v>
      </c>
      <c r="D134" s="202">
        <v>0</v>
      </c>
      <c r="E134" s="203">
        <v>0</v>
      </c>
      <c r="F134" s="160">
        <f>F130+F133</f>
        <v>43750</v>
      </c>
      <c r="G134" s="163">
        <f>G130+G133</f>
        <v>36059</v>
      </c>
      <c r="H134" s="200">
        <f>G134</f>
        <v>36059</v>
      </c>
      <c r="I134" s="200">
        <f>I133+I130+I131</f>
        <v>599</v>
      </c>
      <c r="J134" s="984"/>
      <c r="K134" s="209">
        <f t="shared" si="94"/>
        <v>-2.9173419773095625E-2</v>
      </c>
      <c r="L134" s="183">
        <f t="shared" si="86"/>
        <v>-0.24564339658166148</v>
      </c>
      <c r="N134" s="160">
        <f>N133+N130</f>
        <v>3660</v>
      </c>
      <c r="O134" s="202">
        <v>0</v>
      </c>
      <c r="P134" s="203">
        <v>0</v>
      </c>
      <c r="Q134" s="160">
        <f>Q133+Q130</f>
        <v>4590</v>
      </c>
      <c r="R134" s="163">
        <f>R133+R130</f>
        <v>3720</v>
      </c>
      <c r="S134" s="200">
        <f>R134</f>
        <v>3720</v>
      </c>
      <c r="T134" s="200">
        <f>T133+T130</f>
        <v>224</v>
      </c>
      <c r="U134" s="984"/>
      <c r="V134" s="182">
        <f t="shared" si="87"/>
        <v>2.2831050228310501E-2</v>
      </c>
      <c r="W134" s="183">
        <f>(R134-R121)/R121</f>
        <v>-0.28060336491974475</v>
      </c>
      <c r="AF134" s="160">
        <f t="shared" si="95"/>
        <v>39100</v>
      </c>
      <c r="AG134" s="217">
        <f t="shared" si="89"/>
        <v>0</v>
      </c>
      <c r="AH134" s="220">
        <f t="shared" si="90"/>
        <v>0</v>
      </c>
      <c r="AI134" s="160">
        <f t="shared" si="90"/>
        <v>48340</v>
      </c>
      <c r="AJ134" s="163">
        <f t="shared" si="96"/>
        <v>39779</v>
      </c>
      <c r="AK134" s="200">
        <f>AJ134</f>
        <v>39779</v>
      </c>
      <c r="AL134" s="200">
        <f t="shared" si="97"/>
        <v>823</v>
      </c>
      <c r="AM134" s="984"/>
      <c r="AN134" s="182">
        <f t="shared" si="92"/>
        <v>-1.555023923444976E-2</v>
      </c>
      <c r="AO134" s="183">
        <f>(AJ134-AJ121)/AJ121</f>
        <v>-0.24905610511213472</v>
      </c>
    </row>
    <row r="135" spans="1:41" ht="13.8" x14ac:dyDescent="0.25">
      <c r="A135" s="981"/>
      <c r="B135" s="159" t="s">
        <v>10</v>
      </c>
      <c r="C135" s="160">
        <v>1070</v>
      </c>
      <c r="D135" s="161">
        <v>0</v>
      </c>
      <c r="E135" s="162">
        <v>0</v>
      </c>
      <c r="F135" s="161">
        <v>1340</v>
      </c>
      <c r="G135" s="163">
        <v>1090</v>
      </c>
      <c r="H135" s="200">
        <f>G134+G135</f>
        <v>37149</v>
      </c>
      <c r="I135" s="200">
        <v>53</v>
      </c>
      <c r="J135" s="984"/>
      <c r="K135" s="209">
        <f t="shared" si="94"/>
        <v>-3.6363636363636362E-2</v>
      </c>
      <c r="L135" s="183">
        <f t="shared" si="86"/>
        <v>-0.67414050822122573</v>
      </c>
      <c r="N135" s="160">
        <v>5730</v>
      </c>
      <c r="O135" s="161">
        <v>0</v>
      </c>
      <c r="P135" s="162">
        <v>0</v>
      </c>
      <c r="Q135" s="161">
        <v>7200</v>
      </c>
      <c r="R135" s="163">
        <v>5790</v>
      </c>
      <c r="S135" s="200">
        <f>R134+R135</f>
        <v>9510</v>
      </c>
      <c r="T135" s="200">
        <v>291</v>
      </c>
      <c r="U135" s="984"/>
      <c r="V135" s="182">
        <f t="shared" si="87"/>
        <v>-1.020408163265306E-2</v>
      </c>
      <c r="W135" s="183">
        <f>(R135-R122)/R122</f>
        <v>-0.18907563025210083</v>
      </c>
      <c r="AF135" s="160">
        <f t="shared" si="95"/>
        <v>6800</v>
      </c>
      <c r="AG135" s="217">
        <f t="shared" si="89"/>
        <v>0</v>
      </c>
      <c r="AH135" s="220">
        <f t="shared" si="90"/>
        <v>0</v>
      </c>
      <c r="AI135" s="160">
        <f t="shared" si="90"/>
        <v>8540</v>
      </c>
      <c r="AJ135" s="163">
        <f t="shared" si="96"/>
        <v>6880</v>
      </c>
      <c r="AK135" s="200">
        <f>AJ134+AJ135</f>
        <v>46659</v>
      </c>
      <c r="AL135" s="200">
        <f t="shared" si="97"/>
        <v>344</v>
      </c>
      <c r="AM135" s="984"/>
      <c r="AN135" s="182">
        <f t="shared" si="92"/>
        <v>-1.4326647564469915E-2</v>
      </c>
      <c r="AO135" s="183">
        <f>(AJ135-AJ122)/AJ122</f>
        <v>-0.34382451120648544</v>
      </c>
    </row>
    <row r="136" spans="1:41" ht="13.8" x14ac:dyDescent="0.25">
      <c r="A136" s="981"/>
      <c r="B136" s="159" t="s">
        <v>920</v>
      </c>
      <c r="C136" s="160">
        <v>0</v>
      </c>
      <c r="D136" s="161">
        <v>0</v>
      </c>
      <c r="E136" s="162">
        <v>0</v>
      </c>
      <c r="F136" s="161"/>
      <c r="G136" s="163">
        <v>0</v>
      </c>
      <c r="H136" s="200">
        <f>SUM(G134:G136)</f>
        <v>37149</v>
      </c>
      <c r="I136" s="200">
        <v>0</v>
      </c>
      <c r="J136" s="984"/>
      <c r="K136" s="209">
        <f>IFERROR((I136-I123)/I123,0)</f>
        <v>0</v>
      </c>
      <c r="L136" s="183" t="e">
        <f>(G136-G123)/G123</f>
        <v>#DIV/0!</v>
      </c>
      <c r="N136" s="160">
        <v>620</v>
      </c>
      <c r="O136" s="161">
        <v>0</v>
      </c>
      <c r="P136" s="162">
        <v>0</v>
      </c>
      <c r="Q136" s="161">
        <v>770</v>
      </c>
      <c r="R136" s="163">
        <v>630</v>
      </c>
      <c r="S136" s="200">
        <f>SUM(R134:R136)</f>
        <v>10140</v>
      </c>
      <c r="T136" s="200">
        <v>4428</v>
      </c>
      <c r="U136" s="984"/>
      <c r="V136" s="182">
        <f t="shared" si="87"/>
        <v>-3.508389627369797E-2</v>
      </c>
      <c r="W136" s="183">
        <f>(R136-R123)/R123</f>
        <v>-0.37</v>
      </c>
      <c r="AF136" s="160">
        <f t="shared" si="95"/>
        <v>620</v>
      </c>
      <c r="AG136" s="217">
        <f t="shared" si="89"/>
        <v>0</v>
      </c>
      <c r="AH136" s="220">
        <f t="shared" si="90"/>
        <v>0</v>
      </c>
      <c r="AI136" s="160">
        <f t="shared" si="90"/>
        <v>770</v>
      </c>
      <c r="AJ136" s="163">
        <f t="shared" si="96"/>
        <v>630</v>
      </c>
      <c r="AK136" s="200">
        <f>SUM(AJ134:AJ136)</f>
        <v>47289</v>
      </c>
      <c r="AL136" s="200">
        <f t="shared" si="97"/>
        <v>4428</v>
      </c>
      <c r="AM136" s="984"/>
      <c r="AN136" s="182">
        <f>(AL136-AL123)/AL123</f>
        <v>-3.508389627369797E-2</v>
      </c>
      <c r="AO136" s="183">
        <f>(AJ136-AJ123)/AJ123</f>
        <v>-0.37</v>
      </c>
    </row>
    <row r="137" spans="1:41" ht="14.4" thickBot="1" x14ac:dyDescent="0.3">
      <c r="A137" s="987"/>
      <c r="B137" s="159" t="s">
        <v>922</v>
      </c>
      <c r="C137" s="168">
        <v>330</v>
      </c>
      <c r="D137" s="169">
        <v>0</v>
      </c>
      <c r="E137" s="170">
        <v>0</v>
      </c>
      <c r="F137" s="169">
        <v>410</v>
      </c>
      <c r="G137" s="204">
        <v>330</v>
      </c>
      <c r="H137" s="200">
        <f>SUM(G134:G137)</f>
        <v>37479</v>
      </c>
      <c r="I137" s="200">
        <v>13</v>
      </c>
      <c r="J137" s="984"/>
      <c r="K137" s="210">
        <f>(I137-I124)/I124</f>
        <v>1.6</v>
      </c>
      <c r="L137" s="187">
        <f t="shared" ref="L137:L138" si="98">(G137-G124)/G124</f>
        <v>2.0841121495327104</v>
      </c>
      <c r="N137" s="168">
        <v>810</v>
      </c>
      <c r="O137" s="169">
        <v>0</v>
      </c>
      <c r="P137" s="170">
        <v>0</v>
      </c>
      <c r="Q137" s="169">
        <v>1010</v>
      </c>
      <c r="R137" s="204">
        <v>820</v>
      </c>
      <c r="S137" s="200">
        <f>SUM(R134:R137)</f>
        <v>10960</v>
      </c>
      <c r="T137" s="200">
        <v>56</v>
      </c>
      <c r="U137" s="984"/>
      <c r="V137" s="186">
        <f t="shared" si="87"/>
        <v>0.27272727272727271</v>
      </c>
      <c r="W137" s="187">
        <f>(R137-R124)/R124</f>
        <v>-0.30034129692832767</v>
      </c>
      <c r="AF137" s="168">
        <f>N137+C137</f>
        <v>1140</v>
      </c>
      <c r="AG137" s="218">
        <f t="shared" si="89"/>
        <v>0</v>
      </c>
      <c r="AH137" s="221">
        <f t="shared" si="90"/>
        <v>0</v>
      </c>
      <c r="AI137" s="168">
        <f>Q137+F137</f>
        <v>1420</v>
      </c>
      <c r="AJ137" s="204">
        <f t="shared" si="96"/>
        <v>1150</v>
      </c>
      <c r="AK137" s="200">
        <f>SUM(AJ134:AJ137)</f>
        <v>48439</v>
      </c>
      <c r="AL137" s="200">
        <f t="shared" si="97"/>
        <v>69</v>
      </c>
      <c r="AM137" s="984"/>
      <c r="AN137" s="186">
        <f>(AL137-AL124)/AL124</f>
        <v>0.40816326530612246</v>
      </c>
      <c r="AO137" s="187">
        <f>(AJ137-AJ124)/AJ124</f>
        <v>-0.10086004691164972</v>
      </c>
    </row>
    <row r="138" spans="1:41" ht="14.4" thickBot="1" x14ac:dyDescent="0.3">
      <c r="A138" s="172" t="s">
        <v>973</v>
      </c>
      <c r="B138" s="173">
        <f>A126</f>
        <v>2025</v>
      </c>
      <c r="C138" s="174">
        <f>SUM(C134:C137)</f>
        <v>36840</v>
      </c>
      <c r="D138" s="205">
        <f>SUM(D134:D137)</f>
        <v>0</v>
      </c>
      <c r="E138" s="205">
        <f>SUM(E134:E137)</f>
        <v>0</v>
      </c>
      <c r="F138" s="174">
        <f>SUM(F134:F137)</f>
        <v>45500</v>
      </c>
      <c r="G138" s="174">
        <f>SUM(G134:G137)</f>
        <v>37479</v>
      </c>
      <c r="H138" s="175">
        <f>H137</f>
        <v>37479</v>
      </c>
      <c r="I138" s="175">
        <f>SUM(I134:I137)</f>
        <v>665</v>
      </c>
      <c r="J138" s="985"/>
      <c r="K138" s="190">
        <f>(I138-I125)/I125</f>
        <v>-1.7725258493353029E-2</v>
      </c>
      <c r="L138" s="191">
        <f t="shared" si="98"/>
        <v>-0.26874524418082846</v>
      </c>
      <c r="N138" s="174">
        <f>SUM(N134:N137)</f>
        <v>10820</v>
      </c>
      <c r="O138" s="205">
        <f>SUM(O134:O137)</f>
        <v>0</v>
      </c>
      <c r="P138" s="205">
        <f>SUM(P134:P137)</f>
        <v>0</v>
      </c>
      <c r="Q138" s="174">
        <f>SUM(Q134:Q137)</f>
        <v>13570</v>
      </c>
      <c r="R138" s="174">
        <f>SUM(R134:R137)</f>
        <v>10960</v>
      </c>
      <c r="S138" s="175">
        <f>S137</f>
        <v>10960</v>
      </c>
      <c r="T138" s="175">
        <f>SUM(T134:T137)</f>
        <v>4999</v>
      </c>
      <c r="U138" s="985"/>
      <c r="V138" s="190">
        <f t="shared" si="87"/>
        <v>-2.8565876408861251E-2</v>
      </c>
      <c r="W138" s="191">
        <f>(R138-R125)/R125</f>
        <v>-0.24325070772629981</v>
      </c>
      <c r="AF138" s="174">
        <f>N138+C138</f>
        <v>47660</v>
      </c>
      <c r="AG138" s="486">
        <f t="shared" si="89"/>
        <v>0</v>
      </c>
      <c r="AH138" s="487">
        <f t="shared" si="90"/>
        <v>0</v>
      </c>
      <c r="AI138" s="175">
        <f>SUM(AI134:AI137)</f>
        <v>59070</v>
      </c>
      <c r="AJ138" s="175">
        <f>SUM(AJ134:AJ137)</f>
        <v>48439</v>
      </c>
      <c r="AK138" s="175">
        <f>AK137</f>
        <v>48439</v>
      </c>
      <c r="AL138" s="175">
        <f t="shared" si="97"/>
        <v>5664</v>
      </c>
      <c r="AM138" s="985"/>
      <c r="AN138" s="190">
        <f>(AL138-AL125)/AL125</f>
        <v>-2.7305512622359609E-2</v>
      </c>
      <c r="AO138" s="191">
        <f>(AJ138-AJ125)/AJ125</f>
        <v>-0.26312827065839112</v>
      </c>
    </row>
    <row r="139" spans="1:41" x14ac:dyDescent="0.25">
      <c r="R139" s="23"/>
    </row>
    <row r="141" spans="1:41" x14ac:dyDescent="0.25">
      <c r="P141">
        <f>N64/P64</f>
        <v>25345.622119815667</v>
      </c>
    </row>
    <row r="142" spans="1:41" x14ac:dyDescent="0.25">
      <c r="P142">
        <f>N65/P65</f>
        <v>25315.227934044618</v>
      </c>
    </row>
    <row r="144" spans="1:41" x14ac:dyDescent="0.25">
      <c r="P144">
        <f t="shared" ref="P144:P150" si="99">N67/P67</f>
        <v>27400</v>
      </c>
    </row>
    <row r="145" spans="3:37" x14ac:dyDescent="0.25">
      <c r="P145">
        <f t="shared" si="99"/>
        <v>27400</v>
      </c>
    </row>
    <row r="146" spans="3:37" x14ac:dyDescent="0.25">
      <c r="P146">
        <f t="shared" si="99"/>
        <v>25897.973445143256</v>
      </c>
    </row>
    <row r="147" spans="3:37" x14ac:dyDescent="0.25">
      <c r="P147">
        <f t="shared" si="99"/>
        <v>24428.969359331477</v>
      </c>
    </row>
    <row r="148" spans="3:37" x14ac:dyDescent="0.25">
      <c r="P148">
        <f t="shared" si="99"/>
        <v>23066.666666666668</v>
      </c>
    </row>
    <row r="149" spans="3:37" x14ac:dyDescent="0.25">
      <c r="P149">
        <f t="shared" si="99"/>
        <v>41090.909090909088</v>
      </c>
    </row>
    <row r="150" spans="3:37" x14ac:dyDescent="0.25">
      <c r="P150">
        <f t="shared" si="99"/>
        <v>25207.228654907478</v>
      </c>
    </row>
    <row r="155" spans="3:37" x14ac:dyDescent="0.25">
      <c r="D155" t="s">
        <v>974</v>
      </c>
      <c r="E155" t="s">
        <v>975</v>
      </c>
      <c r="O155" t="s">
        <v>974</v>
      </c>
      <c r="P155" t="s">
        <v>975</v>
      </c>
      <c r="AH155" t="s">
        <v>974</v>
      </c>
      <c r="AJ155" t="s">
        <v>975</v>
      </c>
    </row>
    <row r="156" spans="3:37" x14ac:dyDescent="0.25">
      <c r="C156">
        <v>2017</v>
      </c>
      <c r="D156">
        <v>30390</v>
      </c>
      <c r="E156">
        <v>24460</v>
      </c>
      <c r="G156">
        <f>D156-E156</f>
        <v>5930</v>
      </c>
      <c r="N156">
        <v>2017</v>
      </c>
      <c r="O156">
        <v>12720</v>
      </c>
      <c r="P156">
        <v>10140</v>
      </c>
      <c r="R156">
        <f>O156-P156</f>
        <v>2580</v>
      </c>
      <c r="AG156">
        <v>2017</v>
      </c>
      <c r="AH156">
        <f t="shared" ref="AH156:AH163" si="100">D156+O156</f>
        <v>43110</v>
      </c>
      <c r="AJ156">
        <f t="shared" ref="AJ156:AJ163" si="101">E156+P156</f>
        <v>34600</v>
      </c>
      <c r="AK156">
        <f t="shared" ref="AK156:AK163" si="102">G156+R156</f>
        <v>8510</v>
      </c>
    </row>
    <row r="157" spans="3:37" x14ac:dyDescent="0.25">
      <c r="C157">
        <v>2018</v>
      </c>
      <c r="D157">
        <v>33660</v>
      </c>
      <c r="E157">
        <v>27100</v>
      </c>
      <c r="G157">
        <f t="shared" ref="G157:G163" si="103">D157-E157</f>
        <v>6560</v>
      </c>
      <c r="N157">
        <v>2018</v>
      </c>
      <c r="O157">
        <v>15890</v>
      </c>
      <c r="P157">
        <v>12650</v>
      </c>
      <c r="R157">
        <f t="shared" ref="R157:R163" si="104">O157-P157</f>
        <v>3240</v>
      </c>
      <c r="AG157">
        <v>2018</v>
      </c>
      <c r="AH157">
        <f t="shared" si="100"/>
        <v>49550</v>
      </c>
      <c r="AJ157">
        <f t="shared" si="101"/>
        <v>39750</v>
      </c>
      <c r="AK157">
        <f t="shared" si="102"/>
        <v>9800</v>
      </c>
    </row>
    <row r="158" spans="3:37" x14ac:dyDescent="0.25">
      <c r="C158">
        <v>2019</v>
      </c>
      <c r="D158">
        <v>41420</v>
      </c>
      <c r="E158">
        <v>33370</v>
      </c>
      <c r="G158">
        <f t="shared" si="103"/>
        <v>8050</v>
      </c>
      <c r="N158">
        <v>2019</v>
      </c>
      <c r="O158">
        <v>17880</v>
      </c>
      <c r="P158">
        <v>14070</v>
      </c>
      <c r="R158">
        <f t="shared" si="104"/>
        <v>3810</v>
      </c>
      <c r="AG158">
        <v>2019</v>
      </c>
      <c r="AH158">
        <f t="shared" si="100"/>
        <v>59300</v>
      </c>
      <c r="AJ158">
        <f t="shared" si="101"/>
        <v>47440</v>
      </c>
      <c r="AK158">
        <f t="shared" si="102"/>
        <v>11860</v>
      </c>
    </row>
    <row r="159" spans="3:37" x14ac:dyDescent="0.25">
      <c r="C159">
        <v>2020</v>
      </c>
      <c r="D159">
        <v>29520</v>
      </c>
      <c r="E159">
        <v>23550</v>
      </c>
      <c r="G159">
        <f t="shared" si="103"/>
        <v>5970</v>
      </c>
      <c r="K159">
        <v>5</v>
      </c>
      <c r="N159">
        <v>2020</v>
      </c>
      <c r="O159">
        <v>14670</v>
      </c>
      <c r="P159">
        <v>11530</v>
      </c>
      <c r="R159">
        <f t="shared" si="104"/>
        <v>3140</v>
      </c>
      <c r="AG159">
        <v>2020</v>
      </c>
      <c r="AH159">
        <f t="shared" si="100"/>
        <v>44190</v>
      </c>
      <c r="AJ159">
        <f t="shared" si="101"/>
        <v>35080</v>
      </c>
      <c r="AK159">
        <f t="shared" si="102"/>
        <v>9110</v>
      </c>
    </row>
    <row r="160" spans="3:37" x14ac:dyDescent="0.25">
      <c r="C160">
        <v>2021</v>
      </c>
      <c r="D160">
        <v>24890</v>
      </c>
      <c r="E160">
        <v>19980</v>
      </c>
      <c r="G160">
        <f t="shared" si="103"/>
        <v>4910</v>
      </c>
      <c r="N160">
        <v>2021</v>
      </c>
      <c r="O160">
        <v>10830</v>
      </c>
      <c r="P160">
        <v>8650</v>
      </c>
      <c r="R160">
        <f t="shared" si="104"/>
        <v>2180</v>
      </c>
      <c r="AG160">
        <v>2021</v>
      </c>
      <c r="AH160">
        <f t="shared" si="100"/>
        <v>35720</v>
      </c>
      <c r="AJ160">
        <f t="shared" si="101"/>
        <v>28630</v>
      </c>
      <c r="AK160">
        <f t="shared" si="102"/>
        <v>7090</v>
      </c>
    </row>
    <row r="161" spans="3:39" x14ac:dyDescent="0.25">
      <c r="C161">
        <v>2022</v>
      </c>
      <c r="D161">
        <v>38210</v>
      </c>
      <c r="E161">
        <v>30910</v>
      </c>
      <c r="G161">
        <f t="shared" si="103"/>
        <v>7300</v>
      </c>
      <c r="N161">
        <v>2022</v>
      </c>
      <c r="O161">
        <v>14520</v>
      </c>
      <c r="P161">
        <v>11570</v>
      </c>
      <c r="R161">
        <f t="shared" si="104"/>
        <v>2950</v>
      </c>
      <c r="AG161">
        <v>2022</v>
      </c>
      <c r="AH161">
        <f t="shared" si="100"/>
        <v>52730</v>
      </c>
      <c r="AJ161">
        <f t="shared" si="101"/>
        <v>42480</v>
      </c>
      <c r="AK161">
        <f t="shared" si="102"/>
        <v>10250</v>
      </c>
    </row>
    <row r="162" spans="3:39" x14ac:dyDescent="0.25">
      <c r="C162">
        <v>2023</v>
      </c>
      <c r="D162">
        <v>50710</v>
      </c>
      <c r="E162">
        <v>41060</v>
      </c>
      <c r="G162">
        <f t="shared" si="103"/>
        <v>9650</v>
      </c>
      <c r="N162">
        <v>2023</v>
      </c>
      <c r="O162">
        <v>13660</v>
      </c>
      <c r="P162">
        <v>10910</v>
      </c>
      <c r="R162">
        <f t="shared" si="104"/>
        <v>2750</v>
      </c>
      <c r="AG162">
        <v>2023</v>
      </c>
      <c r="AH162">
        <f t="shared" si="100"/>
        <v>64370</v>
      </c>
      <c r="AJ162">
        <f t="shared" si="101"/>
        <v>51970</v>
      </c>
      <c r="AK162">
        <f t="shared" si="102"/>
        <v>12400</v>
      </c>
      <c r="AM162">
        <f>AK162/AH162</f>
        <v>0.19263632126767127</v>
      </c>
    </row>
    <row r="163" spans="3:39" x14ac:dyDescent="0.25">
      <c r="C163">
        <v>2024</v>
      </c>
      <c r="D163">
        <v>51253</v>
      </c>
      <c r="E163">
        <v>41500</v>
      </c>
      <c r="G163">
        <f t="shared" si="103"/>
        <v>9753</v>
      </c>
      <c r="N163">
        <v>2024</v>
      </c>
      <c r="O163">
        <v>14483</v>
      </c>
      <c r="P163">
        <v>11550</v>
      </c>
      <c r="R163">
        <f t="shared" si="104"/>
        <v>2933</v>
      </c>
      <c r="AG163">
        <v>2024</v>
      </c>
      <c r="AH163">
        <f t="shared" si="100"/>
        <v>65736</v>
      </c>
      <c r="AJ163">
        <f t="shared" si="101"/>
        <v>53050</v>
      </c>
      <c r="AK163">
        <f t="shared" si="102"/>
        <v>12686</v>
      </c>
      <c r="AM163">
        <f>AK163/AH163</f>
        <v>0.19298405744188876</v>
      </c>
    </row>
    <row r="164" spans="3:39" x14ac:dyDescent="0.25">
      <c r="C164">
        <v>2025</v>
      </c>
    </row>
    <row r="166" spans="3:39" x14ac:dyDescent="0.25">
      <c r="C166">
        <v>2016</v>
      </c>
      <c r="D166">
        <v>24650</v>
      </c>
      <c r="E166">
        <v>20110</v>
      </c>
      <c r="G166">
        <f>D166-E166</f>
        <v>4540</v>
      </c>
      <c r="N166">
        <v>2016</v>
      </c>
      <c r="O166">
        <v>13270</v>
      </c>
      <c r="P166">
        <v>10710</v>
      </c>
      <c r="S166">
        <f>O166-P166</f>
        <v>2560</v>
      </c>
      <c r="AG166">
        <v>2016</v>
      </c>
      <c r="AH166">
        <f t="shared" ref="AH166:AH175" si="105">D166+O166</f>
        <v>37920</v>
      </c>
      <c r="AJ166">
        <f t="shared" ref="AJ166:AJ173" si="106">E166+P166</f>
        <v>30820</v>
      </c>
      <c r="AK166">
        <f t="shared" ref="AK166:AK174" si="107">G166+S166</f>
        <v>7100</v>
      </c>
    </row>
    <row r="167" spans="3:39" x14ac:dyDescent="0.25">
      <c r="C167">
        <v>2017</v>
      </c>
      <c r="D167">
        <v>29920</v>
      </c>
      <c r="E167">
        <v>24460</v>
      </c>
      <c r="G167">
        <f t="shared" ref="G167:G175" si="108">D167-E167</f>
        <v>5460</v>
      </c>
      <c r="N167">
        <v>2017</v>
      </c>
      <c r="O167">
        <v>12680</v>
      </c>
      <c r="P167">
        <v>10250</v>
      </c>
      <c r="S167">
        <f t="shared" ref="S167:S175" si="109">O167-P167</f>
        <v>2430</v>
      </c>
      <c r="AG167">
        <v>2017</v>
      </c>
      <c r="AH167">
        <f t="shared" si="105"/>
        <v>42600</v>
      </c>
      <c r="AJ167">
        <f t="shared" si="106"/>
        <v>34710</v>
      </c>
      <c r="AK167">
        <f t="shared" si="107"/>
        <v>7890</v>
      </c>
    </row>
    <row r="168" spans="3:39" x14ac:dyDescent="0.25">
      <c r="C168">
        <v>2018</v>
      </c>
      <c r="D168">
        <v>33170</v>
      </c>
      <c r="E168">
        <v>27110</v>
      </c>
      <c r="G168">
        <f t="shared" si="108"/>
        <v>6060</v>
      </c>
      <c r="N168">
        <v>2018</v>
      </c>
      <c r="O168">
        <v>16290</v>
      </c>
      <c r="P168">
        <v>13150</v>
      </c>
      <c r="S168">
        <f t="shared" si="109"/>
        <v>3140</v>
      </c>
      <c r="AG168">
        <v>2018</v>
      </c>
      <c r="AH168">
        <f t="shared" si="105"/>
        <v>49460</v>
      </c>
      <c r="AJ168">
        <f t="shared" si="106"/>
        <v>40260</v>
      </c>
      <c r="AK168">
        <f t="shared" si="107"/>
        <v>9200</v>
      </c>
    </row>
    <row r="169" spans="3:39" x14ac:dyDescent="0.25">
      <c r="C169">
        <v>2019</v>
      </c>
      <c r="D169">
        <v>40820</v>
      </c>
      <c r="E169">
        <v>33390</v>
      </c>
      <c r="G169">
        <f t="shared" si="108"/>
        <v>7430</v>
      </c>
      <c r="N169">
        <v>2019</v>
      </c>
      <c r="O169">
        <v>17620</v>
      </c>
      <c r="P169">
        <v>14210</v>
      </c>
      <c r="S169">
        <f t="shared" si="109"/>
        <v>3410</v>
      </c>
      <c r="AG169">
        <v>2019</v>
      </c>
      <c r="AH169">
        <f t="shared" si="105"/>
        <v>58440</v>
      </c>
      <c r="AJ169">
        <f t="shared" si="106"/>
        <v>47600</v>
      </c>
      <c r="AK169">
        <f t="shared" si="107"/>
        <v>10840</v>
      </c>
    </row>
    <row r="170" spans="3:39" x14ac:dyDescent="0.25">
      <c r="C170">
        <v>2020</v>
      </c>
      <c r="D170">
        <v>29130</v>
      </c>
      <c r="E170">
        <v>23590</v>
      </c>
      <c r="G170">
        <f t="shared" si="108"/>
        <v>5540</v>
      </c>
      <c r="N170">
        <v>2020</v>
      </c>
      <c r="O170">
        <v>14460</v>
      </c>
      <c r="P170">
        <v>11650</v>
      </c>
      <c r="S170">
        <f t="shared" si="109"/>
        <v>2810</v>
      </c>
      <c r="AG170">
        <v>2020</v>
      </c>
      <c r="AH170">
        <f t="shared" si="105"/>
        <v>43590</v>
      </c>
      <c r="AJ170">
        <f t="shared" si="106"/>
        <v>35240</v>
      </c>
      <c r="AK170">
        <f t="shared" si="107"/>
        <v>8350</v>
      </c>
    </row>
    <row r="171" spans="3:39" x14ac:dyDescent="0.25">
      <c r="C171">
        <v>2021</v>
      </c>
      <c r="D171">
        <v>26080</v>
      </c>
      <c r="E171">
        <v>21250</v>
      </c>
      <c r="G171">
        <f t="shared" si="108"/>
        <v>4830</v>
      </c>
      <c r="N171">
        <v>2021</v>
      </c>
      <c r="O171">
        <v>10730</v>
      </c>
      <c r="P171">
        <v>8680</v>
      </c>
      <c r="S171">
        <f t="shared" si="109"/>
        <v>2050</v>
      </c>
      <c r="AG171">
        <v>2021</v>
      </c>
      <c r="AH171">
        <f t="shared" si="105"/>
        <v>36810</v>
      </c>
      <c r="AJ171">
        <f t="shared" si="106"/>
        <v>29930</v>
      </c>
      <c r="AK171">
        <f t="shared" si="107"/>
        <v>6880</v>
      </c>
    </row>
    <row r="172" spans="3:39" x14ac:dyDescent="0.25">
      <c r="C172">
        <v>2022</v>
      </c>
      <c r="D172">
        <v>38550</v>
      </c>
      <c r="E172">
        <v>31630</v>
      </c>
      <c r="G172">
        <f t="shared" si="108"/>
        <v>6920</v>
      </c>
      <c r="N172">
        <v>2022</v>
      </c>
      <c r="O172">
        <v>15740</v>
      </c>
      <c r="P172">
        <v>12790</v>
      </c>
      <c r="S172">
        <f t="shared" si="109"/>
        <v>2950</v>
      </c>
      <c r="AG172">
        <v>2022</v>
      </c>
      <c r="AH172">
        <f t="shared" si="105"/>
        <v>54290</v>
      </c>
      <c r="AJ172">
        <f t="shared" si="106"/>
        <v>44420</v>
      </c>
      <c r="AK172">
        <f t="shared" si="107"/>
        <v>9870</v>
      </c>
    </row>
    <row r="173" spans="3:39" x14ac:dyDescent="0.25">
      <c r="C173">
        <v>2023</v>
      </c>
      <c r="D173">
        <v>50660</v>
      </c>
      <c r="E173">
        <v>41600</v>
      </c>
      <c r="G173">
        <f t="shared" si="108"/>
        <v>9060</v>
      </c>
      <c r="N173">
        <v>2023</v>
      </c>
      <c r="O173">
        <v>13330</v>
      </c>
      <c r="P173">
        <v>10790</v>
      </c>
      <c r="S173">
        <f t="shared" si="109"/>
        <v>2540</v>
      </c>
      <c r="AG173">
        <v>2023</v>
      </c>
      <c r="AH173">
        <f t="shared" si="105"/>
        <v>63990</v>
      </c>
      <c r="AJ173">
        <f t="shared" si="106"/>
        <v>52390</v>
      </c>
      <c r="AK173">
        <f t="shared" si="107"/>
        <v>11600</v>
      </c>
    </row>
    <row r="174" spans="3:39" x14ac:dyDescent="0.25">
      <c r="C174">
        <v>2024</v>
      </c>
      <c r="D174">
        <v>50590</v>
      </c>
      <c r="E174">
        <v>41540</v>
      </c>
      <c r="G174">
        <f t="shared" si="108"/>
        <v>9050</v>
      </c>
      <c r="N174">
        <v>2024</v>
      </c>
      <c r="O174">
        <v>14300</v>
      </c>
      <c r="P174">
        <v>11550</v>
      </c>
      <c r="S174">
        <f t="shared" si="109"/>
        <v>2750</v>
      </c>
      <c r="AG174">
        <v>2024</v>
      </c>
      <c r="AH174">
        <f>D174+O174</f>
        <v>64890</v>
      </c>
      <c r="AJ174">
        <f>E174+P174</f>
        <v>53090</v>
      </c>
      <c r="AK174">
        <f t="shared" si="107"/>
        <v>11800</v>
      </c>
    </row>
    <row r="175" spans="3:39" x14ac:dyDescent="0.25">
      <c r="C175">
        <v>2025</v>
      </c>
      <c r="D175">
        <v>45490</v>
      </c>
      <c r="E175">
        <v>37400</v>
      </c>
      <c r="G175">
        <f t="shared" si="108"/>
        <v>8090</v>
      </c>
      <c r="N175">
        <v>2025</v>
      </c>
      <c r="O175">
        <v>13560</v>
      </c>
      <c r="P175">
        <v>10960</v>
      </c>
      <c r="S175">
        <f t="shared" si="109"/>
        <v>2600</v>
      </c>
      <c r="AG175">
        <v>2025</v>
      </c>
      <c r="AH175">
        <f t="shared" si="105"/>
        <v>59050</v>
      </c>
      <c r="AJ175">
        <f>E175+P175</f>
        <v>48360</v>
      </c>
      <c r="AK175">
        <f>G175+S175</f>
        <v>10690</v>
      </c>
    </row>
    <row r="176" spans="3:39" x14ac:dyDescent="0.25">
      <c r="AJ176">
        <f>AJ175-AH175</f>
        <v>-10690</v>
      </c>
    </row>
  </sheetData>
  <mergeCells count="56">
    <mergeCell ref="A126:A137"/>
    <mergeCell ref="J126:J138"/>
    <mergeCell ref="U126:U138"/>
    <mergeCell ref="AM126:AM138"/>
    <mergeCell ref="A100:A111"/>
    <mergeCell ref="J100:J112"/>
    <mergeCell ref="U100:U112"/>
    <mergeCell ref="AM100:AM112"/>
    <mergeCell ref="A113:A124"/>
    <mergeCell ref="J113:J125"/>
    <mergeCell ref="U113:U125"/>
    <mergeCell ref="AM113:AM125"/>
    <mergeCell ref="A87:A98"/>
    <mergeCell ref="J87:J99"/>
    <mergeCell ref="U87:U99"/>
    <mergeCell ref="AM87:AM99"/>
    <mergeCell ref="J74:J86"/>
    <mergeCell ref="U74:U86"/>
    <mergeCell ref="AM74:AM86"/>
    <mergeCell ref="A74:A85"/>
    <mergeCell ref="N3:W3"/>
    <mergeCell ref="AF3:AO3"/>
    <mergeCell ref="H4:H6"/>
    <mergeCell ref="J4:L4"/>
    <mergeCell ref="S4:S6"/>
    <mergeCell ref="U4:W4"/>
    <mergeCell ref="AK4:AK6"/>
    <mergeCell ref="AL4:AL6"/>
    <mergeCell ref="T4:T6"/>
    <mergeCell ref="AM4:AO4"/>
    <mergeCell ref="U5:W5"/>
    <mergeCell ref="AM5:AO5"/>
    <mergeCell ref="J61:J73"/>
    <mergeCell ref="A2:L2"/>
    <mergeCell ref="A3:B5"/>
    <mergeCell ref="C3:L3"/>
    <mergeCell ref="A48:A59"/>
    <mergeCell ref="J48:J60"/>
    <mergeCell ref="A7:B7"/>
    <mergeCell ref="C8:E8"/>
    <mergeCell ref="N8:P8"/>
    <mergeCell ref="AF8:AH8"/>
    <mergeCell ref="A9:A20"/>
    <mergeCell ref="AM61:AM73"/>
    <mergeCell ref="AM22:AM34"/>
    <mergeCell ref="A35:A46"/>
    <mergeCell ref="J35:J47"/>
    <mergeCell ref="A22:A33"/>
    <mergeCell ref="J22:J34"/>
    <mergeCell ref="U35:U47"/>
    <mergeCell ref="AM35:AM47"/>
    <mergeCell ref="U48:U60"/>
    <mergeCell ref="AM48:AM60"/>
    <mergeCell ref="U22:U34"/>
    <mergeCell ref="U61:U73"/>
    <mergeCell ref="A61:A72"/>
  </mergeCells>
  <hyperlinks>
    <hyperlink ref="AR16" r:id="rId1" xr:uid="{212921FB-31B9-49B4-BDDF-D7FF16614D49}"/>
  </hyperlinks>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C6962-8373-4E6E-B212-39FFE7E8774A}">
  <sheetPr>
    <tabColor theme="8"/>
  </sheetPr>
  <dimension ref="A1:Y129"/>
  <sheetViews>
    <sheetView showGridLines="0" topLeftCell="B1" workbookViewId="0">
      <selection activeCell="J15" sqref="J15"/>
    </sheetView>
  </sheetViews>
  <sheetFormatPr defaultRowHeight="13.2" x14ac:dyDescent="0.25"/>
  <cols>
    <col min="3" max="3" width="15" customWidth="1"/>
    <col min="4" max="4" width="13.33203125" customWidth="1"/>
    <col min="5" max="5" width="12.5546875" customWidth="1"/>
    <col min="6" max="7" width="13.6640625" customWidth="1"/>
    <col min="8" max="8" width="13.88671875" customWidth="1"/>
    <col min="9" max="9" width="15.5546875" customWidth="1"/>
    <col min="10" max="10" width="12.109375" customWidth="1"/>
    <col min="11" max="11" width="24.33203125" customWidth="1"/>
    <col min="12" max="12" width="26.44140625" customWidth="1"/>
    <col min="13" max="13" width="9.109375" bestFit="1" customWidth="1"/>
    <col min="16" max="16" width="37.44140625" bestFit="1" customWidth="1"/>
    <col min="17" max="17" width="14.109375" customWidth="1"/>
    <col min="18" max="18" width="15" customWidth="1"/>
    <col min="19" max="20" width="14.109375" customWidth="1"/>
    <col min="21" max="21" width="18" customWidth="1"/>
    <col min="22" max="22" width="15.6640625" customWidth="1"/>
    <col min="23" max="24" width="12.44140625" customWidth="1"/>
    <col min="25" max="25" width="11.6640625" bestFit="1" customWidth="1"/>
    <col min="27" max="27" width="13.44140625" customWidth="1"/>
    <col min="28" max="28" width="11.5546875" customWidth="1"/>
  </cols>
  <sheetData>
    <row r="1" spans="1:25" ht="21.6" thickBot="1" x14ac:dyDescent="0.45">
      <c r="B1" s="33" t="s">
        <v>976</v>
      </c>
      <c r="C1" s="33"/>
    </row>
    <row r="2" spans="1:25" ht="13.8" x14ac:dyDescent="0.25">
      <c r="P2" s="48" t="s">
        <v>977</v>
      </c>
      <c r="Q2" s="49">
        <v>2018</v>
      </c>
      <c r="R2" s="50">
        <v>2019</v>
      </c>
      <c r="S2" s="51">
        <v>2020</v>
      </c>
      <c r="T2" s="555">
        <v>2021</v>
      </c>
      <c r="U2" s="555">
        <v>2022</v>
      </c>
      <c r="V2" s="555">
        <v>2023</v>
      </c>
      <c r="W2" s="765">
        <v>2024</v>
      </c>
      <c r="X2" s="765">
        <v>2025</v>
      </c>
    </row>
    <row r="3" spans="1:25" ht="14.4" thickBot="1" x14ac:dyDescent="0.3">
      <c r="B3" s="34"/>
      <c r="C3" t="s">
        <v>978</v>
      </c>
      <c r="P3" s="52"/>
      <c r="Q3" s="53" t="s">
        <v>498</v>
      </c>
      <c r="R3" s="54" t="s">
        <v>498</v>
      </c>
      <c r="S3" s="55" t="s">
        <v>498</v>
      </c>
      <c r="T3" s="556" t="s">
        <v>498</v>
      </c>
      <c r="U3" s="556" t="s">
        <v>498</v>
      </c>
      <c r="V3" s="556" t="s">
        <v>498</v>
      </c>
      <c r="W3" s="766" t="s">
        <v>498</v>
      </c>
      <c r="X3" s="766" t="s">
        <v>498</v>
      </c>
    </row>
    <row r="4" spans="1:25" x14ac:dyDescent="0.25">
      <c r="P4" s="56" t="s">
        <v>979</v>
      </c>
      <c r="Q4" s="57">
        <v>792968429</v>
      </c>
      <c r="R4" s="58">
        <v>784052813</v>
      </c>
      <c r="S4" s="59">
        <v>756080790</v>
      </c>
      <c r="T4" s="557">
        <v>761761999.28499877</v>
      </c>
      <c r="U4" s="608">
        <v>776494772</v>
      </c>
      <c r="V4" s="629">
        <v>780673968.62599933</v>
      </c>
      <c r="W4" s="767">
        <v>801233626</v>
      </c>
      <c r="X4" s="767">
        <v>851603724</v>
      </c>
    </row>
    <row r="5" spans="1:25" ht="13.8" thickBot="1" x14ac:dyDescent="0.3">
      <c r="P5" s="60" t="s">
        <v>980</v>
      </c>
      <c r="Q5" s="61">
        <v>11589116</v>
      </c>
      <c r="R5" s="62">
        <v>12540999</v>
      </c>
      <c r="S5" s="63">
        <v>13820892</v>
      </c>
      <c r="T5" s="558">
        <v>14275018.440999985</v>
      </c>
      <c r="U5" s="560">
        <v>14551103</v>
      </c>
      <c r="V5" s="630">
        <v>12199073</v>
      </c>
      <c r="W5" s="768">
        <v>7631889</v>
      </c>
      <c r="X5" s="768">
        <v>2089895</v>
      </c>
    </row>
    <row r="6" spans="1:25" ht="17.399999999999999" x14ac:dyDescent="0.3">
      <c r="C6" s="35" t="s">
        <v>252</v>
      </c>
      <c r="P6" s="56" t="s">
        <v>981</v>
      </c>
      <c r="Q6" s="57">
        <f>Q4+Q5</f>
        <v>804557545</v>
      </c>
      <c r="R6" s="58">
        <f>R4+R5</f>
        <v>796593812</v>
      </c>
      <c r="S6" s="59">
        <f>S4+S5</f>
        <v>769901682</v>
      </c>
      <c r="T6" s="557">
        <f>T4+T5</f>
        <v>776037017.72599876</v>
      </c>
      <c r="U6" s="608">
        <v>791045875</v>
      </c>
      <c r="V6" s="631">
        <f>V5+V4</f>
        <v>792873041.62599933</v>
      </c>
      <c r="W6" s="769">
        <f>W5+W4</f>
        <v>808865515</v>
      </c>
      <c r="X6" s="769">
        <f>X5+X4</f>
        <v>853693619</v>
      </c>
    </row>
    <row r="7" spans="1:25" ht="14.4" thickBot="1" x14ac:dyDescent="0.3">
      <c r="D7" s="1092" t="s">
        <v>982</v>
      </c>
      <c r="E7" s="1092"/>
      <c r="F7" s="1092"/>
      <c r="G7" s="36"/>
      <c r="P7" s="64" t="s">
        <v>983</v>
      </c>
      <c r="Q7" s="65">
        <f>Q14/Q13*Q6</f>
        <v>30623776.80246878</v>
      </c>
      <c r="R7" s="66">
        <f>R14/R13*R6</f>
        <v>28003857.148948714</v>
      </c>
      <c r="S7" s="67">
        <f>S14/S13*S6</f>
        <v>35352695.902842365</v>
      </c>
      <c r="T7" s="559">
        <f>T14/T13*T6</f>
        <v>35634421.041589469</v>
      </c>
      <c r="U7" s="609">
        <v>36323605</v>
      </c>
      <c r="V7" s="630">
        <f>V14/V13*V6</f>
        <v>36916316.26467216</v>
      </c>
      <c r="W7" s="630">
        <f>W14/W13*W6</f>
        <v>33958907.921997122</v>
      </c>
      <c r="X7" s="630">
        <f>X14/X13*X6</f>
        <v>35840943.226782873</v>
      </c>
      <c r="Y7">
        <v>35634421.041589469</v>
      </c>
    </row>
    <row r="8" spans="1:25" ht="14.4" thickBot="1" x14ac:dyDescent="0.3">
      <c r="B8" s="37" t="s">
        <v>984</v>
      </c>
      <c r="C8" s="37" t="s">
        <v>42</v>
      </c>
      <c r="D8" s="37" t="s">
        <v>985</v>
      </c>
      <c r="E8" s="37" t="s">
        <v>986</v>
      </c>
      <c r="F8" s="37" t="s">
        <v>987</v>
      </c>
      <c r="G8" s="37" t="s">
        <v>988</v>
      </c>
      <c r="H8" s="37" t="s">
        <v>989</v>
      </c>
      <c r="I8" s="37" t="s">
        <v>990</v>
      </c>
      <c r="J8" s="37" t="s">
        <v>991</v>
      </c>
      <c r="K8" s="38" t="s">
        <v>992</v>
      </c>
      <c r="L8" s="39"/>
      <c r="P8" s="68" t="s">
        <v>993</v>
      </c>
      <c r="Q8" s="69">
        <f>Q6+Q7</f>
        <v>835181321.80246878</v>
      </c>
      <c r="R8" s="70">
        <f>R6+R7</f>
        <v>824597669.14894867</v>
      </c>
      <c r="S8" s="71">
        <f>S6+S7</f>
        <v>805254377.9028424</v>
      </c>
      <c r="T8" s="71">
        <f>T6+T7</f>
        <v>811671438.76758826</v>
      </c>
      <c r="U8" s="610">
        <v>827369479</v>
      </c>
      <c r="V8" s="71">
        <f>V6+V7</f>
        <v>829789357.89067149</v>
      </c>
      <c r="W8" s="772">
        <f>SUM(W6:W7)</f>
        <v>842824422.92199707</v>
      </c>
      <c r="X8" s="772">
        <f>SUM(X6:X7)</f>
        <v>889534562.22678292</v>
      </c>
    </row>
    <row r="9" spans="1:25" ht="15" thickTop="1" x14ac:dyDescent="0.3">
      <c r="B9" s="45">
        <v>8</v>
      </c>
      <c r="C9">
        <v>2019</v>
      </c>
      <c r="D9" s="41">
        <v>523.1</v>
      </c>
      <c r="E9" s="41">
        <v>447.8</v>
      </c>
      <c r="F9" s="22">
        <f>D9+E9</f>
        <v>970.90000000000009</v>
      </c>
      <c r="G9" s="23">
        <f>F9*1*10^6</f>
        <v>970900000.00000012</v>
      </c>
      <c r="H9" s="45">
        <f>6.31+0.3</f>
        <v>6.6099999999999994</v>
      </c>
      <c r="I9" s="23">
        <f>G9*$H$9</f>
        <v>6417649000</v>
      </c>
      <c r="J9" s="23">
        <f>I9/(1000*1000)</f>
        <v>6417.6490000000003</v>
      </c>
      <c r="K9" s="952" t="s">
        <v>994</v>
      </c>
      <c r="L9" s="40"/>
      <c r="P9" s="72" t="s">
        <v>995</v>
      </c>
      <c r="Q9" s="73"/>
      <c r="R9" s="73"/>
      <c r="S9" s="73"/>
      <c r="Y9">
        <f>V7/V6</f>
        <v>4.6560185964912272E-2</v>
      </c>
    </row>
    <row r="10" spans="1:25" ht="14.4" x14ac:dyDescent="0.3">
      <c r="A10" s="580"/>
      <c r="B10" s="45">
        <v>7.9</v>
      </c>
      <c r="C10">
        <v>2018</v>
      </c>
      <c r="D10" s="41">
        <v>494.8</v>
      </c>
      <c r="E10" s="41">
        <v>452.6</v>
      </c>
      <c r="F10" s="22">
        <f>D10+E10</f>
        <v>947.40000000000009</v>
      </c>
      <c r="G10" s="23">
        <f>F10*1*10^6</f>
        <v>947400000.00000012</v>
      </c>
      <c r="H10" s="45">
        <f>6.01+0.3</f>
        <v>6.31</v>
      </c>
      <c r="I10" s="23">
        <f>G10*$H$10</f>
        <v>5978094000</v>
      </c>
      <c r="J10" s="23">
        <f>I10/(1000*1000)</f>
        <v>5978.0940000000001</v>
      </c>
      <c r="K10" s="40" t="s">
        <v>994</v>
      </c>
      <c r="L10" s="40"/>
      <c r="P10" s="39"/>
      <c r="Q10">
        <f t="shared" ref="Q10:W10" si="0">Q7/Q8</f>
        <v>3.6667219444488128E-2</v>
      </c>
      <c r="R10">
        <f t="shared" si="0"/>
        <v>3.3960630980015935E-2</v>
      </c>
      <c r="S10">
        <f t="shared" si="0"/>
        <v>4.390251934415168E-2</v>
      </c>
      <c r="T10">
        <f t="shared" si="0"/>
        <v>4.390251934415168E-2</v>
      </c>
      <c r="U10">
        <f>U7/U8</f>
        <v>4.3902519880117549E-2</v>
      </c>
      <c r="V10">
        <f t="shared" si="0"/>
        <v>4.4488780090544439E-2</v>
      </c>
      <c r="W10">
        <f t="shared" si="0"/>
        <v>4.0291793875958909E-2</v>
      </c>
      <c r="X10">
        <f t="shared" ref="X10" si="1">X7/X8</f>
        <v>4.0291793875958902E-2</v>
      </c>
    </row>
    <row r="11" spans="1:25" ht="14.4" x14ac:dyDescent="0.3">
      <c r="B11" s="45">
        <v>8.1</v>
      </c>
      <c r="C11">
        <v>2017</v>
      </c>
      <c r="D11" s="41">
        <v>573.9</v>
      </c>
      <c r="E11" s="41">
        <v>511.5</v>
      </c>
      <c r="F11" s="22">
        <f>D11+E11</f>
        <v>1085.4000000000001</v>
      </c>
      <c r="G11" s="23">
        <f>F11*1*10^6</f>
        <v>1085400000</v>
      </c>
      <c r="H11" s="45">
        <f>5.76+0.3</f>
        <v>6.06</v>
      </c>
      <c r="I11" s="23">
        <f>G11*$H$11</f>
        <v>6577524000</v>
      </c>
      <c r="J11" s="23">
        <f>I11/(1000*1000)</f>
        <v>6577.5240000000003</v>
      </c>
      <c r="K11" s="40" t="s">
        <v>994</v>
      </c>
      <c r="L11" s="40"/>
      <c r="Q11" s="74"/>
      <c r="R11" s="74"/>
      <c r="S11" s="74"/>
    </row>
    <row r="12" spans="1:25" ht="15" thickBot="1" x14ac:dyDescent="0.35">
      <c r="B12" s="44">
        <v>8.9</v>
      </c>
      <c r="C12">
        <v>2016</v>
      </c>
      <c r="D12" s="41">
        <v>512</v>
      </c>
      <c r="E12" s="41">
        <v>471.2</v>
      </c>
      <c r="F12" s="22">
        <f>D12+E12</f>
        <v>983.2</v>
      </c>
      <c r="G12" s="23">
        <f>F12*1*10^6</f>
        <v>983200000</v>
      </c>
      <c r="H12" s="44">
        <f>6.3+0.3</f>
        <v>6.6</v>
      </c>
      <c r="I12" s="23">
        <f>G12*$H$12</f>
        <v>6489120000</v>
      </c>
      <c r="J12" s="23">
        <f>I12/(1000*1000)</f>
        <v>6489.12</v>
      </c>
      <c r="K12" s="40" t="s">
        <v>994</v>
      </c>
      <c r="L12" s="40"/>
      <c r="P12" s="39" t="s">
        <v>996</v>
      </c>
      <c r="Q12" s="23"/>
      <c r="R12" s="23"/>
      <c r="S12" s="23"/>
    </row>
    <row r="13" spans="1:25" ht="14.4" x14ac:dyDescent="0.3">
      <c r="D13" s="41"/>
      <c r="E13" s="41"/>
      <c r="F13" s="41"/>
      <c r="G13" s="23"/>
      <c r="H13" s="42"/>
      <c r="I13" s="23"/>
      <c r="J13" s="29"/>
      <c r="K13" s="40"/>
      <c r="L13" s="40"/>
      <c r="P13" s="632" t="s">
        <v>997</v>
      </c>
      <c r="Q13" s="57">
        <v>1126269152</v>
      </c>
      <c r="R13" s="58">
        <v>1107024245</v>
      </c>
      <c r="S13" s="59">
        <v>1073651628</v>
      </c>
      <c r="T13" s="557">
        <v>1090940006.7269988</v>
      </c>
      <c r="U13" s="557">
        <v>1155932000</v>
      </c>
      <c r="V13" s="557">
        <f>1140*1*10^6</f>
        <v>1140000000</v>
      </c>
      <c r="W13" s="770">
        <v>1497138860</v>
      </c>
      <c r="X13" s="770">
        <v>1497138860</v>
      </c>
    </row>
    <row r="14" spans="1:25" ht="15" thickBot="1" x14ac:dyDescent="0.35">
      <c r="B14" s="37" t="s">
        <v>984</v>
      </c>
      <c r="D14" s="84" t="s">
        <v>998</v>
      </c>
      <c r="E14" s="37" t="s">
        <v>999</v>
      </c>
      <c r="F14" s="37" t="s">
        <v>1000</v>
      </c>
      <c r="G14" s="37" t="s">
        <v>988</v>
      </c>
      <c r="H14" s="37" t="s">
        <v>989</v>
      </c>
      <c r="I14" s="37" t="s">
        <v>990</v>
      </c>
      <c r="J14" s="37" t="s">
        <v>991</v>
      </c>
      <c r="K14" s="40"/>
      <c r="L14" s="40" t="s">
        <v>1001</v>
      </c>
      <c r="P14" s="60" t="s">
        <v>1002</v>
      </c>
      <c r="Q14" s="61">
        <v>42869046.899999902</v>
      </c>
      <c r="R14" s="62">
        <v>38916883.799999699</v>
      </c>
      <c r="S14" s="63">
        <v>49300424.194002002</v>
      </c>
      <c r="T14" s="560">
        <f>S14/S13*T13</f>
        <v>50094279.838272117</v>
      </c>
      <c r="U14" s="560">
        <v>53078612</v>
      </c>
      <c r="V14" s="560">
        <v>53078612</v>
      </c>
      <c r="W14" s="771">
        <v>62854949</v>
      </c>
      <c r="X14" s="771">
        <v>62854949</v>
      </c>
      <c r="Y14">
        <f>U8/1000+F31</f>
        <v>5013283.3836996322</v>
      </c>
    </row>
    <row r="15" spans="1:25" ht="14.4" thickTop="1" thickBot="1" x14ac:dyDescent="0.3">
      <c r="B15">
        <f>5.8+0.3</f>
        <v>6.1</v>
      </c>
      <c r="C15">
        <v>2025</v>
      </c>
      <c r="D15" s="41">
        <f>X4</f>
        <v>851603724</v>
      </c>
      <c r="E15" s="23">
        <f>X5</f>
        <v>2089895</v>
      </c>
      <c r="F15" s="29">
        <v>3550326.077</v>
      </c>
      <c r="G15" s="22">
        <f>X6</f>
        <v>853693619</v>
      </c>
      <c r="H15">
        <f>6.41+0.3</f>
        <v>6.71</v>
      </c>
      <c r="I15" s="23">
        <f t="shared" ref="I15:I22" si="2">G15*$H15</f>
        <v>5728284183.4899998</v>
      </c>
      <c r="J15" s="23">
        <f>I15/(1000*1000)</f>
        <v>5728.28418349</v>
      </c>
      <c r="K15" s="22">
        <f>J15-L15</f>
        <v>5487.7914544382866</v>
      </c>
      <c r="L15" s="22">
        <f>X7*H15/1000000</f>
        <v>240.49272905171307</v>
      </c>
      <c r="M15">
        <f>L15/H15</f>
        <v>35.840943226782869</v>
      </c>
      <c r="P15" s="56" t="s">
        <v>1003</v>
      </c>
      <c r="Q15" s="57">
        <f t="shared" ref="Q15:X15" si="3">Q13+Q14</f>
        <v>1169138198.8999999</v>
      </c>
      <c r="R15" s="58">
        <f t="shared" si="3"/>
        <v>1145941128.7999997</v>
      </c>
      <c r="S15" s="59">
        <f t="shared" si="3"/>
        <v>1122952052.1940019</v>
      </c>
      <c r="T15" s="561">
        <f t="shared" si="3"/>
        <v>1141034286.5652709</v>
      </c>
      <c r="U15" s="561">
        <f t="shared" si="3"/>
        <v>1209010612</v>
      </c>
      <c r="V15" s="561">
        <f t="shared" si="3"/>
        <v>1193078612</v>
      </c>
      <c r="W15" s="561">
        <f t="shared" si="3"/>
        <v>1559993809</v>
      </c>
      <c r="X15" s="561">
        <f t="shared" si="3"/>
        <v>1559993809</v>
      </c>
    </row>
    <row r="16" spans="1:25" ht="13.8" thickBot="1" x14ac:dyDescent="0.3">
      <c r="B16">
        <v>7.7</v>
      </c>
      <c r="C16">
        <v>2024</v>
      </c>
      <c r="D16" s="41">
        <f>W4</f>
        <v>801233626</v>
      </c>
      <c r="E16" s="23">
        <f>W5</f>
        <v>7631889</v>
      </c>
      <c r="F16" s="23">
        <f>W6</f>
        <v>808865515</v>
      </c>
      <c r="G16" s="22">
        <f>W8</f>
        <v>842824422.92199707</v>
      </c>
      <c r="H16" s="16">
        <f>7.68+0.3</f>
        <v>7.9799999999999995</v>
      </c>
      <c r="I16" s="23">
        <f t="shared" si="2"/>
        <v>6725738894.9175358</v>
      </c>
      <c r="J16" s="23">
        <f>I16/(1000*1000)</f>
        <v>6725.7388949175356</v>
      </c>
      <c r="K16" s="22">
        <f t="shared" ref="K16:K22" si="4">J16-L16</f>
        <v>6454.7468096999983</v>
      </c>
      <c r="L16" s="22">
        <f>W7*H16/1000000</f>
        <v>270.99208521753707</v>
      </c>
      <c r="P16" s="75" t="s">
        <v>1004</v>
      </c>
      <c r="Q16" s="76">
        <f t="shared" ref="Q16:X16" si="5">Q14/Q15*100</f>
        <v>3.6667219444488128</v>
      </c>
      <c r="R16" s="77">
        <f t="shared" si="5"/>
        <v>3.3960630980015933</v>
      </c>
      <c r="S16" s="78">
        <f t="shared" si="5"/>
        <v>4.3902519344151685</v>
      </c>
      <c r="T16" s="78">
        <f t="shared" si="5"/>
        <v>4.3902519344151685</v>
      </c>
      <c r="U16" s="78">
        <f t="shared" si="5"/>
        <v>4.3902519525610249</v>
      </c>
      <c r="V16" s="78">
        <f t="shared" si="5"/>
        <v>4.4488780090544449</v>
      </c>
      <c r="W16" s="78">
        <f t="shared" si="5"/>
        <v>4.0291793875958906</v>
      </c>
      <c r="X16" s="78">
        <f t="shared" si="5"/>
        <v>4.0291793875958906</v>
      </c>
    </row>
    <row r="17" spans="1:24" x14ac:dyDescent="0.25">
      <c r="B17">
        <f>7.3+0.3</f>
        <v>7.6</v>
      </c>
      <c r="C17">
        <v>2023</v>
      </c>
      <c r="D17" s="23">
        <f>V4</f>
        <v>780673968.62599933</v>
      </c>
      <c r="E17" s="23">
        <f>V5</f>
        <v>12199073</v>
      </c>
      <c r="F17" s="41">
        <f>D17+E17</f>
        <v>792873041.62599933</v>
      </c>
      <c r="G17" s="79">
        <f>V8</f>
        <v>829789357.89067149</v>
      </c>
      <c r="H17">
        <f>5.98+0.3</f>
        <v>6.28</v>
      </c>
      <c r="I17" s="23">
        <f t="shared" si="2"/>
        <v>5211077167.5534172</v>
      </c>
      <c r="J17" s="23">
        <f>I17/(1000*1000)</f>
        <v>5211.077167553417</v>
      </c>
      <c r="K17" s="22">
        <f t="shared" si="4"/>
        <v>4979.2427014112754</v>
      </c>
      <c r="L17" s="22">
        <f>V7*H17/1000000</f>
        <v>231.83446614214117</v>
      </c>
      <c r="S17" s="79"/>
    </row>
    <row r="18" spans="1:24" ht="13.8" thickBot="1" x14ac:dyDescent="0.3">
      <c r="B18" s="607">
        <v>7.9</v>
      </c>
      <c r="C18">
        <v>2022</v>
      </c>
      <c r="D18" s="23">
        <f>U4</f>
        <v>776494772</v>
      </c>
      <c r="E18" s="23">
        <f>U5</f>
        <v>14551103</v>
      </c>
      <c r="F18" s="41">
        <f>D18+E18</f>
        <v>791045875</v>
      </c>
      <c r="G18" s="79">
        <f>U8</f>
        <v>827369479</v>
      </c>
      <c r="H18">
        <f>6.15+0.3</f>
        <v>6.45</v>
      </c>
      <c r="I18" s="23">
        <f t="shared" si="2"/>
        <v>5336533139.5500002</v>
      </c>
      <c r="J18" s="23">
        <f>I18/(1000*1000)</f>
        <v>5336.5331395499998</v>
      </c>
      <c r="K18" s="22">
        <f t="shared" si="4"/>
        <v>5102.2458872999996</v>
      </c>
      <c r="L18" s="22">
        <f>U7*H18/1000000</f>
        <v>234.28725224999999</v>
      </c>
      <c r="M18" s="23">
        <f>J20-L19</f>
        <v>5151.8950112061839</v>
      </c>
      <c r="Q18" t="s">
        <v>907</v>
      </c>
      <c r="S18" s="79"/>
    </row>
    <row r="19" spans="1:24" ht="14.4" x14ac:dyDescent="0.3">
      <c r="B19">
        <v>7.7</v>
      </c>
      <c r="C19">
        <v>2021</v>
      </c>
      <c r="D19" s="41">
        <f>T4</f>
        <v>761761999.28499877</v>
      </c>
      <c r="E19" s="41">
        <f>T5</f>
        <v>14275018.440999985</v>
      </c>
      <c r="F19" s="41">
        <f>D19+E19</f>
        <v>776037017.72599876</v>
      </c>
      <c r="G19" s="41">
        <f>F19+T7</f>
        <v>811671438.76758826</v>
      </c>
      <c r="H19">
        <f>5.85+0.3</f>
        <v>6.1499999999999995</v>
      </c>
      <c r="I19" s="23">
        <f t="shared" si="2"/>
        <v>4991779348.4206676</v>
      </c>
      <c r="J19" s="22">
        <f>I19/1000000</f>
        <v>4991.7793484206677</v>
      </c>
      <c r="K19" s="22">
        <f t="shared" si="4"/>
        <v>4772.6276590148927</v>
      </c>
      <c r="L19" s="485">
        <f>H19*T7/10^6</f>
        <v>219.15168940577522</v>
      </c>
      <c r="P19" s="56" t="s">
        <v>1005</v>
      </c>
      <c r="Q19" s="57">
        <f t="shared" ref="Q19:X19" si="6">Q6*Q16/100</f>
        <v>29500888.058233634</v>
      </c>
      <c r="R19" s="58">
        <f t="shared" si="6"/>
        <v>27052828.490296189</v>
      </c>
      <c r="S19" s="59">
        <f t="shared" si="6"/>
        <v>33800623.487099916</v>
      </c>
      <c r="T19" s="59">
        <f t="shared" si="6"/>
        <v>34069980.182493441</v>
      </c>
      <c r="U19" s="59">
        <f t="shared" si="6"/>
        <v>34728906.972840942</v>
      </c>
      <c r="V19" s="59">
        <f t="shared" si="6"/>
        <v>35273954.388620183</v>
      </c>
      <c r="W19" s="59">
        <f t="shared" si="6"/>
        <v>32590642.603751346</v>
      </c>
      <c r="X19" s="59">
        <f t="shared" si="6"/>
        <v>34396847.329969399</v>
      </c>
    </row>
    <row r="20" spans="1:24" ht="15" thickBot="1" x14ac:dyDescent="0.35">
      <c r="B20" s="44">
        <v>8.4</v>
      </c>
      <c r="C20">
        <v>2020</v>
      </c>
      <c r="D20" s="23">
        <f>S4</f>
        <v>756080790</v>
      </c>
      <c r="E20" s="23">
        <f>S5</f>
        <v>13820892</v>
      </c>
      <c r="F20" s="23">
        <f>S6</f>
        <v>769901682</v>
      </c>
      <c r="G20" s="23">
        <f>S8</f>
        <v>805254377.9028424</v>
      </c>
      <c r="H20">
        <f>6.37+0.3</f>
        <v>6.67</v>
      </c>
      <c r="I20" s="23">
        <f t="shared" si="2"/>
        <v>5371046700.6119585</v>
      </c>
      <c r="J20" s="23">
        <f>I20/(1000*1000)</f>
        <v>5371.0467006119588</v>
      </c>
      <c r="K20" s="22">
        <f t="shared" si="4"/>
        <v>5135.2442189399999</v>
      </c>
      <c r="L20" s="485">
        <f>H20*S7/10^6</f>
        <v>235.80248167195856</v>
      </c>
      <c r="P20" s="75" t="s">
        <v>1006</v>
      </c>
      <c r="Q20" s="80">
        <f t="shared" ref="Q20:X20" si="7">Q7-Q19</f>
        <v>1122888.7442351468</v>
      </c>
      <c r="R20" s="81">
        <f t="shared" si="7"/>
        <v>951028.6586525254</v>
      </c>
      <c r="S20" s="82">
        <f t="shared" si="7"/>
        <v>1552072.4157424495</v>
      </c>
      <c r="T20" s="82">
        <f t="shared" si="7"/>
        <v>1564440.8590960279</v>
      </c>
      <c r="U20" s="82">
        <f t="shared" si="7"/>
        <v>1594698.0271590576</v>
      </c>
      <c r="V20" s="82">
        <f t="shared" si="7"/>
        <v>1642361.8760519773</v>
      </c>
      <c r="W20" s="82">
        <f t="shared" si="7"/>
        <v>1368265.318245776</v>
      </c>
      <c r="X20" s="82">
        <f t="shared" si="7"/>
        <v>1444095.8968134746</v>
      </c>
    </row>
    <row r="21" spans="1:24" ht="14.4" x14ac:dyDescent="0.3">
      <c r="B21" s="44">
        <v>9.4</v>
      </c>
      <c r="C21">
        <v>2019</v>
      </c>
      <c r="D21" s="23">
        <f>R4</f>
        <v>784052813</v>
      </c>
      <c r="E21" s="23">
        <f>R5</f>
        <v>12540999</v>
      </c>
      <c r="F21" s="23">
        <f>R6</f>
        <v>796593812</v>
      </c>
      <c r="G21" s="23">
        <f>R8</f>
        <v>824597669.14894867</v>
      </c>
      <c r="H21">
        <f>6.31+0.3</f>
        <v>6.6099999999999994</v>
      </c>
      <c r="I21" s="23">
        <f t="shared" si="2"/>
        <v>5450590593.0745506</v>
      </c>
      <c r="J21" s="23">
        <f>I21/(1000*1000)</f>
        <v>5450.5905930745503</v>
      </c>
      <c r="K21" s="22">
        <f t="shared" si="4"/>
        <v>5265.4850973199991</v>
      </c>
      <c r="L21" s="485">
        <f>H21*R7/10^6</f>
        <v>185.10549575455099</v>
      </c>
    </row>
    <row r="22" spans="1:24" ht="14.4" x14ac:dyDescent="0.3">
      <c r="B22" s="44">
        <v>9.4</v>
      </c>
      <c r="C22">
        <v>2018</v>
      </c>
      <c r="D22" s="23">
        <f>Q4</f>
        <v>792968429</v>
      </c>
      <c r="E22" s="23">
        <f>Q5</f>
        <v>11589116</v>
      </c>
      <c r="F22" s="23">
        <f>Q6</f>
        <v>804557545</v>
      </c>
      <c r="G22" s="23">
        <f>Q8</f>
        <v>835181321.80246878</v>
      </c>
      <c r="H22">
        <f>6.01+0.3</f>
        <v>6.31</v>
      </c>
      <c r="I22" s="23">
        <f t="shared" si="2"/>
        <v>5269994140.5735779</v>
      </c>
      <c r="J22" s="23">
        <f>I22/(1000*1000)</f>
        <v>5269.9941405735781</v>
      </c>
      <c r="K22" s="22">
        <f t="shared" si="4"/>
        <v>5076.75810895</v>
      </c>
      <c r="L22" s="485">
        <f>H22*Q7/10^6</f>
        <v>193.23603162357799</v>
      </c>
      <c r="Q22" s="23"/>
      <c r="R22" s="23"/>
      <c r="S22" s="23"/>
      <c r="T22" s="23"/>
      <c r="U22" s="23"/>
    </row>
    <row r="23" spans="1:24" ht="13.8" x14ac:dyDescent="0.25">
      <c r="C23" s="43"/>
      <c r="D23" s="43"/>
      <c r="E23" s="43"/>
      <c r="F23" s="43"/>
      <c r="G23" s="43"/>
      <c r="H23">
        <f>5.76+0.3</f>
        <v>6.06</v>
      </c>
      <c r="I23" s="43"/>
      <c r="J23" s="43"/>
      <c r="K23" s="43"/>
      <c r="L23" s="43"/>
      <c r="Q23" s="23"/>
      <c r="R23" s="23"/>
      <c r="S23" s="23"/>
      <c r="T23" s="23"/>
    </row>
    <row r="24" spans="1:24" ht="13.8" x14ac:dyDescent="0.25">
      <c r="C24" s="43"/>
      <c r="D24" s="43"/>
      <c r="E24" s="43"/>
      <c r="F24" s="43"/>
      <c r="G24" s="43"/>
      <c r="H24">
        <f>6.3+0.3</f>
        <v>6.6</v>
      </c>
      <c r="I24" s="43"/>
      <c r="J24" s="43"/>
      <c r="K24" s="86"/>
      <c r="L24" s="43"/>
      <c r="Q24" s="23"/>
      <c r="R24" s="23"/>
      <c r="S24" s="23"/>
      <c r="T24" s="23"/>
    </row>
    <row r="25" spans="1:24" ht="13.8" x14ac:dyDescent="0.25">
      <c r="C25" s="43"/>
      <c r="D25" s="43"/>
      <c r="E25" s="43"/>
      <c r="F25" s="43"/>
      <c r="G25" s="43"/>
      <c r="H25" s="43"/>
      <c r="I25" s="43"/>
      <c r="J25" s="43"/>
      <c r="K25" s="43"/>
      <c r="L25" s="43"/>
    </row>
    <row r="26" spans="1:24" ht="17.399999999999999" x14ac:dyDescent="0.3">
      <c r="C26" s="35" t="s">
        <v>1007</v>
      </c>
      <c r="D26" s="43"/>
      <c r="E26" s="43"/>
      <c r="F26" s="43"/>
      <c r="G26" s="43"/>
      <c r="H26" s="43"/>
      <c r="I26" s="43"/>
      <c r="J26" s="43"/>
      <c r="K26" s="43"/>
      <c r="L26" s="43"/>
    </row>
    <row r="27" spans="1:24" ht="14.4" thickBot="1" x14ac:dyDescent="0.3">
      <c r="C27" s="37" t="s">
        <v>42</v>
      </c>
      <c r="D27" s="84" t="s">
        <v>1008</v>
      </c>
      <c r="E27" s="84" t="s">
        <v>1009</v>
      </c>
      <c r="F27" s="84" t="s">
        <v>1010</v>
      </c>
      <c r="G27" s="37" t="s">
        <v>1011</v>
      </c>
      <c r="H27" s="37"/>
      <c r="I27" s="37" t="s">
        <v>1012</v>
      </c>
      <c r="J27" s="37" t="s">
        <v>991</v>
      </c>
      <c r="K27" s="38" t="s">
        <v>1013</v>
      </c>
      <c r="L27" s="36" t="s">
        <v>1014</v>
      </c>
      <c r="M27" s="36"/>
    </row>
    <row r="28" spans="1:24" ht="14.4" thickTop="1" x14ac:dyDescent="0.25">
      <c r="A28">
        <f>F28/D28</f>
        <v>52000</v>
      </c>
      <c r="C28">
        <v>2025</v>
      </c>
      <c r="D28" s="16">
        <f>3.3+2.6+11.7+11.9+37.7+20.4</f>
        <v>87.6</v>
      </c>
      <c r="E28" s="16">
        <f>F28/8760</f>
        <v>520</v>
      </c>
      <c r="F28" s="23">
        <f>D28*52*1000</f>
        <v>4555200</v>
      </c>
      <c r="G28">
        <f t="shared" ref="G28:G38" si="8">I28/52</f>
        <v>3.3557692307692308</v>
      </c>
      <c r="H28" s="22">
        <f>F28*1000*G28/10^6</f>
        <v>15286.2</v>
      </c>
      <c r="I28">
        <v>174.5</v>
      </c>
      <c r="J28" s="22">
        <f>D28*I28/10^6*10^6</f>
        <v>15286.199999999999</v>
      </c>
      <c r="K28" s="39"/>
      <c r="L28" s="36"/>
      <c r="M28" s="36"/>
    </row>
    <row r="29" spans="1:24" ht="13.8" x14ac:dyDescent="0.25">
      <c r="A29">
        <f t="shared" ref="A29:A35" si="9">F29/D29</f>
        <v>50888.065242571145</v>
      </c>
      <c r="C29">
        <v>2024</v>
      </c>
      <c r="D29" s="16">
        <v>92.935000000000002</v>
      </c>
      <c r="E29" s="41">
        <f>D29*D44+E44</f>
        <v>539.87241362081613</v>
      </c>
      <c r="F29" s="23">
        <f>E29*8760</f>
        <v>4729282.3433183497</v>
      </c>
      <c r="G29">
        <f t="shared" si="8"/>
        <v>3.9519230769230771</v>
      </c>
      <c r="H29" s="22">
        <f t="shared" ref="H29:H38" si="10">F29*1000*G29/10^6</f>
        <v>18689.760029844634</v>
      </c>
      <c r="I29">
        <v>205.5</v>
      </c>
      <c r="J29" s="22">
        <f>D29*I29/10^6*10^6</f>
        <v>19098.142500000002</v>
      </c>
      <c r="K29" s="86" t="s">
        <v>1015</v>
      </c>
      <c r="L29" s="36"/>
      <c r="M29" s="36"/>
    </row>
    <row r="30" spans="1:24" ht="13.8" x14ac:dyDescent="0.25">
      <c r="A30">
        <f t="shared" si="9"/>
        <v>51773.337354889059</v>
      </c>
      <c r="C30">
        <v>2023</v>
      </c>
      <c r="D30" s="16">
        <v>84.98</v>
      </c>
      <c r="E30" s="41">
        <f>D30*D44+E44</f>
        <v>502.24865392904934</v>
      </c>
      <c r="F30" s="23">
        <f>E30*8760</f>
        <v>4399698.2084184727</v>
      </c>
      <c r="G30" s="41">
        <f t="shared" si="8"/>
        <v>3.9749999999999996</v>
      </c>
      <c r="H30" s="22">
        <f t="shared" si="10"/>
        <v>17488.800378463424</v>
      </c>
      <c r="I30">
        <v>206.7</v>
      </c>
      <c r="J30" s="22">
        <f>D30*I30/10^6*10^6</f>
        <v>17565.365999999998</v>
      </c>
      <c r="K30" s="86" t="s">
        <v>1016</v>
      </c>
      <c r="L30" s="36"/>
      <c r="M30" s="36"/>
    </row>
    <row r="31" spans="1:24" ht="15.75" customHeight="1" x14ac:dyDescent="0.25">
      <c r="A31">
        <f t="shared" si="9"/>
        <v>52441.91812452559</v>
      </c>
      <c r="C31">
        <v>2022</v>
      </c>
      <c r="D31" s="16">
        <v>79.819999999999993</v>
      </c>
      <c r="E31" s="41">
        <f>D31*D44+E44</f>
        <v>477.84405304790323</v>
      </c>
      <c r="F31" s="23">
        <f>E31*8760</f>
        <v>4185913.9046996324</v>
      </c>
      <c r="G31" s="41">
        <f t="shared" si="8"/>
        <v>4.0269230769230768</v>
      </c>
      <c r="H31" s="22">
        <f t="shared" si="10"/>
        <v>16856.353300848135</v>
      </c>
      <c r="I31" s="607">
        <v>209.4</v>
      </c>
      <c r="J31" s="22">
        <f>D31*I31/10^6*10^6</f>
        <v>16714.307999999997</v>
      </c>
      <c r="K31" s="86" t="s">
        <v>1017</v>
      </c>
      <c r="L31" s="36"/>
      <c r="M31" s="36"/>
    </row>
    <row r="32" spans="1:24" ht="14.25" customHeight="1" x14ac:dyDescent="0.25">
      <c r="A32">
        <f t="shared" si="9"/>
        <v>52009.439821140229</v>
      </c>
      <c r="C32">
        <v>2021</v>
      </c>
      <c r="D32" s="16">
        <v>80.510000000000005</v>
      </c>
      <c r="E32" s="16">
        <v>478</v>
      </c>
      <c r="F32" s="23">
        <f t="shared" ref="F32:F38" si="11">E32*8760</f>
        <v>4187280</v>
      </c>
      <c r="G32" s="41">
        <f t="shared" si="8"/>
        <v>4.1576923076923071</v>
      </c>
      <c r="H32" s="22">
        <f t="shared" si="10"/>
        <v>17409.421846153844</v>
      </c>
      <c r="I32">
        <v>216.2</v>
      </c>
      <c r="J32" s="22">
        <f>D32*I32/10^6*10^6</f>
        <v>17406.261999999999</v>
      </c>
      <c r="K32" s="86" t="s">
        <v>1018</v>
      </c>
      <c r="L32" s="36"/>
      <c r="M32" s="628"/>
    </row>
    <row r="33" spans="1:13" ht="14.25" customHeight="1" x14ac:dyDescent="0.25">
      <c r="A33">
        <f t="shared" si="9"/>
        <v>51978.335150854233</v>
      </c>
      <c r="C33">
        <v>2020</v>
      </c>
      <c r="D33" s="16">
        <v>82.53</v>
      </c>
      <c r="E33" s="16">
        <v>489.7</v>
      </c>
      <c r="F33" s="23">
        <f t="shared" si="11"/>
        <v>4289772</v>
      </c>
      <c r="G33" s="41">
        <f t="shared" si="8"/>
        <v>4.1038461538461544</v>
      </c>
      <c r="H33" s="22">
        <f t="shared" si="10"/>
        <v>17604.564323076927</v>
      </c>
      <c r="I33">
        <v>213.4</v>
      </c>
      <c r="J33" s="22">
        <f t="shared" ref="J33:J38" si="12">D33*I33/10^6*10^6</f>
        <v>17611.902000000002</v>
      </c>
      <c r="K33" s="86" t="s">
        <v>1019</v>
      </c>
      <c r="L33" s="628" t="s">
        <v>1020</v>
      </c>
      <c r="M33" s="628"/>
    </row>
    <row r="34" spans="1:13" ht="14.25" customHeight="1" x14ac:dyDescent="0.25">
      <c r="A34">
        <f t="shared" si="9"/>
        <v>52980.405674134956</v>
      </c>
      <c r="C34">
        <v>2019</v>
      </c>
      <c r="D34">
        <v>75.430000000000007</v>
      </c>
      <c r="E34">
        <v>456.2</v>
      </c>
      <c r="F34" s="23">
        <f t="shared" si="11"/>
        <v>3996312</v>
      </c>
      <c r="G34" s="41">
        <f t="shared" si="8"/>
        <v>4.1538461538461542</v>
      </c>
      <c r="H34" s="22">
        <f t="shared" si="10"/>
        <v>16600.065230769233</v>
      </c>
      <c r="I34">
        <v>216</v>
      </c>
      <c r="J34" s="22">
        <f t="shared" si="12"/>
        <v>16292.880000000003</v>
      </c>
      <c r="K34" s="86" t="s">
        <v>1021</v>
      </c>
      <c r="L34" s="628"/>
      <c r="M34" s="628"/>
    </row>
    <row r="35" spans="1:13" ht="14.25" customHeight="1" x14ac:dyDescent="0.25">
      <c r="A35">
        <f t="shared" si="9"/>
        <v>53405.26315789474</v>
      </c>
      <c r="C35">
        <v>2018</v>
      </c>
      <c r="D35">
        <v>77.52</v>
      </c>
      <c r="E35">
        <v>472.6</v>
      </c>
      <c r="F35" s="23">
        <f t="shared" si="11"/>
        <v>4139976</v>
      </c>
      <c r="G35" s="41">
        <f t="shared" si="8"/>
        <v>3.9923076923076923</v>
      </c>
      <c r="H35" s="22">
        <f t="shared" si="10"/>
        <v>16528.058030769233</v>
      </c>
      <c r="I35">
        <v>207.6</v>
      </c>
      <c r="J35" s="22">
        <f t="shared" si="12"/>
        <v>16093.152</v>
      </c>
      <c r="K35" s="86" t="s">
        <v>1022</v>
      </c>
      <c r="L35" s="628"/>
      <c r="M35" s="628"/>
    </row>
    <row r="36" spans="1:13" ht="14.25" customHeight="1" x14ac:dyDescent="0.25">
      <c r="C36">
        <v>2017</v>
      </c>
      <c r="D36">
        <v>72.64</v>
      </c>
      <c r="E36">
        <v>446</v>
      </c>
      <c r="F36" s="23">
        <f t="shared" si="11"/>
        <v>3906960</v>
      </c>
      <c r="G36" s="41">
        <f t="shared" si="8"/>
        <v>3.9038461538461537</v>
      </c>
      <c r="H36" s="22">
        <f t="shared" si="10"/>
        <v>15252.170769230768</v>
      </c>
      <c r="I36">
        <v>203</v>
      </c>
      <c r="J36" s="22">
        <f t="shared" si="12"/>
        <v>14745.92</v>
      </c>
      <c r="K36" s="86" t="s">
        <v>1023</v>
      </c>
      <c r="L36" s="628"/>
      <c r="M36" s="628"/>
    </row>
    <row r="37" spans="1:13" ht="14.25" customHeight="1" x14ac:dyDescent="0.25">
      <c r="C37">
        <v>2016</v>
      </c>
      <c r="D37">
        <v>69.45</v>
      </c>
      <c r="E37">
        <v>426</v>
      </c>
      <c r="F37" s="23">
        <f t="shared" si="11"/>
        <v>3731760</v>
      </c>
      <c r="G37" s="41">
        <f t="shared" si="8"/>
        <v>4.2384615384615385</v>
      </c>
      <c r="H37" s="22">
        <f t="shared" si="10"/>
        <v>15816.921230769232</v>
      </c>
      <c r="I37">
        <v>220.4</v>
      </c>
      <c r="J37" s="22">
        <f t="shared" si="12"/>
        <v>15306.78</v>
      </c>
      <c r="K37" s="86" t="s">
        <v>1024</v>
      </c>
      <c r="L37" s="628"/>
      <c r="M37" s="628"/>
    </row>
    <row r="38" spans="1:13" ht="14.25" customHeight="1" x14ac:dyDescent="0.25">
      <c r="C38">
        <v>2015</v>
      </c>
      <c r="F38" s="23">
        <f t="shared" si="11"/>
        <v>0</v>
      </c>
      <c r="G38" s="41">
        <f t="shared" si="8"/>
        <v>5.0192307692307692</v>
      </c>
      <c r="H38" s="22">
        <f t="shared" si="10"/>
        <v>0</v>
      </c>
      <c r="I38">
        <v>261</v>
      </c>
      <c r="J38" s="22">
        <f t="shared" si="12"/>
        <v>0</v>
      </c>
      <c r="K38" s="86" t="s">
        <v>1025</v>
      </c>
      <c r="L38" s="628"/>
      <c r="M38" s="30"/>
    </row>
    <row r="39" spans="1:13" x14ac:dyDescent="0.25">
      <c r="F39" s="23"/>
      <c r="L39" s="30"/>
    </row>
    <row r="40" spans="1:13" x14ac:dyDescent="0.25">
      <c r="G40" s="580"/>
    </row>
    <row r="41" spans="1:13" x14ac:dyDescent="0.25">
      <c r="G41" s="580"/>
    </row>
    <row r="42" spans="1:13" x14ac:dyDescent="0.25">
      <c r="C42">
        <f>D28*0.603</f>
        <v>52.822799999999994</v>
      </c>
      <c r="G42" s="580"/>
      <c r="H42">
        <f>216/58</f>
        <v>3.7241379310344827</v>
      </c>
    </row>
    <row r="44" spans="1:13" x14ac:dyDescent="0.25">
      <c r="D44">
        <f>SLOPE(E32:E37,D32:D37)</f>
        <v>4.7295738141755912</v>
      </c>
      <c r="E44">
        <f>INTERCEPT(E32:E37,D32:D37)</f>
        <v>100.32947120040757</v>
      </c>
      <c r="K44" t="s">
        <v>1026</v>
      </c>
    </row>
    <row r="45" spans="1:13" x14ac:dyDescent="0.25">
      <c r="F45">
        <f>F30+G17/1000</f>
        <v>5229487.5663091438</v>
      </c>
    </row>
    <row r="46" spans="1:13" x14ac:dyDescent="0.25">
      <c r="F46">
        <f>F31+F18/1000</f>
        <v>4976959.7796996329</v>
      </c>
    </row>
    <row r="47" spans="1:13" x14ac:dyDescent="0.25">
      <c r="H47" s="83">
        <f>D28*0.603</f>
        <v>52.822799999999994</v>
      </c>
      <c r="I47" s="22">
        <f>H47*52/8760*1000</f>
        <v>313.55999999999995</v>
      </c>
      <c r="J47" s="22">
        <f>H47*I28</f>
        <v>9217.5785999999989</v>
      </c>
      <c r="K47">
        <f>I47*G28</f>
        <v>1052.2349999999999</v>
      </c>
    </row>
    <row r="48" spans="1:13" x14ac:dyDescent="0.25">
      <c r="H48" s="83">
        <f t="shared" ref="H48:H57" si="13">D29*0.603</f>
        <v>56.039805000000001</v>
      </c>
      <c r="I48" s="22">
        <f t="shared" ref="I48:I56" si="14">H48*52/8760*1000</f>
        <v>332.65637671232878</v>
      </c>
      <c r="J48" s="22">
        <f t="shared" ref="J48:J56" si="15">H48*I29</f>
        <v>11516.179927499999</v>
      </c>
      <c r="K48">
        <f t="shared" ref="K48:K56" si="16">I48*G29</f>
        <v>1314.6324118150685</v>
      </c>
    </row>
    <row r="49" spans="5:16" x14ac:dyDescent="0.25">
      <c r="H49" s="83">
        <f t="shared" si="13"/>
        <v>51.242939999999997</v>
      </c>
      <c r="I49" s="22">
        <f t="shared" si="14"/>
        <v>304.18183561643832</v>
      </c>
      <c r="J49" s="22">
        <f t="shared" si="15"/>
        <v>10591.915697999999</v>
      </c>
      <c r="K49">
        <f t="shared" si="16"/>
        <v>1209.1227965753421</v>
      </c>
      <c r="M49" s="580"/>
    </row>
    <row r="50" spans="5:16" x14ac:dyDescent="0.25">
      <c r="G50" s="580"/>
      <c r="H50" s="83">
        <f t="shared" si="13"/>
        <v>48.131459999999997</v>
      </c>
      <c r="I50" s="22">
        <f t="shared" si="14"/>
        <v>285.71186301369863</v>
      </c>
      <c r="J50" s="22">
        <f t="shared" si="15"/>
        <v>10078.727724</v>
      </c>
      <c r="K50">
        <f t="shared" si="16"/>
        <v>1150.539694520548</v>
      </c>
      <c r="M50" s="16"/>
    </row>
    <row r="51" spans="5:16" x14ac:dyDescent="0.25">
      <c r="H51" s="83">
        <f t="shared" si="13"/>
        <v>48.547530000000002</v>
      </c>
      <c r="I51" s="22">
        <f t="shared" si="14"/>
        <v>288.18168493150688</v>
      </c>
      <c r="J51" s="22">
        <f t="shared" si="15"/>
        <v>10495.975985999999</v>
      </c>
      <c r="K51">
        <f t="shared" si="16"/>
        <v>1198.1707746575341</v>
      </c>
    </row>
    <row r="52" spans="5:16" x14ac:dyDescent="0.25">
      <c r="E52">
        <v>5192571.2500444697</v>
      </c>
      <c r="F52">
        <v>5229487.5663091438</v>
      </c>
      <c r="H52" s="83">
        <f t="shared" si="13"/>
        <v>49.765589999999996</v>
      </c>
      <c r="I52" s="22">
        <f t="shared" si="14"/>
        <v>295.4121780821917</v>
      </c>
      <c r="J52" s="22">
        <f t="shared" si="15"/>
        <v>10619.976906</v>
      </c>
      <c r="K52">
        <f t="shared" si="16"/>
        <v>1212.3261308219176</v>
      </c>
    </row>
    <row r="53" spans="5:16" x14ac:dyDescent="0.25">
      <c r="F53">
        <f t="shared" ref="F53:F57" si="17">F32/D32</f>
        <v>52009.439821140229</v>
      </c>
      <c r="H53" s="83">
        <f t="shared" si="13"/>
        <v>45.484290000000001</v>
      </c>
      <c r="I53" s="22">
        <f t="shared" si="14"/>
        <v>269.9980684931507</v>
      </c>
      <c r="J53" s="22">
        <f t="shared" si="15"/>
        <v>9824.60664</v>
      </c>
      <c r="K53">
        <f t="shared" si="16"/>
        <v>1121.5304383561645</v>
      </c>
    </row>
    <row r="54" spans="5:16" x14ac:dyDescent="0.25">
      <c r="F54">
        <f t="shared" si="17"/>
        <v>51978.335150854233</v>
      </c>
      <c r="H54" s="83">
        <f t="shared" si="13"/>
        <v>46.744559999999993</v>
      </c>
      <c r="I54" s="22">
        <f t="shared" si="14"/>
        <v>277.4791232876712</v>
      </c>
      <c r="J54" s="22">
        <f t="shared" si="15"/>
        <v>9704.1706559999984</v>
      </c>
      <c r="K54">
        <f t="shared" si="16"/>
        <v>1107.7820383561643</v>
      </c>
    </row>
    <row r="55" spans="5:16" x14ac:dyDescent="0.25">
      <c r="F55">
        <f t="shared" si="17"/>
        <v>52980.405674134956</v>
      </c>
      <c r="H55">
        <f t="shared" si="13"/>
        <v>43.801919999999996</v>
      </c>
      <c r="I55">
        <f t="shared" si="14"/>
        <v>260.01139726027395</v>
      </c>
      <c r="J55" s="22">
        <f t="shared" si="15"/>
        <v>8891.7897599999997</v>
      </c>
      <c r="K55">
        <f t="shared" si="16"/>
        <v>1015.0444931506848</v>
      </c>
    </row>
    <row r="56" spans="5:16" x14ac:dyDescent="0.25">
      <c r="F56">
        <f t="shared" si="17"/>
        <v>53405.26315789474</v>
      </c>
      <c r="H56">
        <f>D37*0.603</f>
        <v>41.878349999999998</v>
      </c>
      <c r="I56">
        <f t="shared" si="14"/>
        <v>248.59294520547945</v>
      </c>
      <c r="J56" s="22">
        <f t="shared" si="15"/>
        <v>9229.9883399999999</v>
      </c>
      <c r="K56">
        <f t="shared" si="16"/>
        <v>1053.6516369863014</v>
      </c>
    </row>
    <row r="57" spans="5:16" x14ac:dyDescent="0.25">
      <c r="F57">
        <f t="shared" si="17"/>
        <v>53785.242290748902</v>
      </c>
      <c r="H57">
        <f t="shared" si="13"/>
        <v>0</v>
      </c>
    </row>
    <row r="58" spans="5:16" x14ac:dyDescent="0.25">
      <c r="F58">
        <f>F37/D37</f>
        <v>53733.045356371491</v>
      </c>
    </row>
    <row r="63" spans="5:16" x14ac:dyDescent="0.25">
      <c r="P63" s="16"/>
    </row>
    <row r="66" spans="3:14" x14ac:dyDescent="0.25">
      <c r="C66" t="s">
        <v>1027</v>
      </c>
      <c r="E66" t="s">
        <v>1028</v>
      </c>
      <c r="F66" t="s">
        <v>1029</v>
      </c>
      <c r="G66" t="s">
        <v>1030</v>
      </c>
      <c r="H66" t="s">
        <v>1031</v>
      </c>
      <c r="I66" t="s">
        <v>1032</v>
      </c>
      <c r="J66" t="s">
        <v>1033</v>
      </c>
      <c r="K66" t="s">
        <v>1030</v>
      </c>
      <c r="M66" s="909"/>
    </row>
    <row r="67" spans="3:14" ht="13.8" thickBot="1" x14ac:dyDescent="0.3">
      <c r="C67">
        <v>2016</v>
      </c>
      <c r="E67">
        <v>3400</v>
      </c>
      <c r="F67">
        <v>10.8</v>
      </c>
      <c r="G67">
        <f>F67*0.000001*E67*1000000</f>
        <v>36720</v>
      </c>
      <c r="H67">
        <v>4400</v>
      </c>
      <c r="I67">
        <f>H67*1000000/52</f>
        <v>84615384.615384609</v>
      </c>
      <c r="J67">
        <v>227.3</v>
      </c>
      <c r="K67">
        <f>J67*0.000001*I67</f>
        <v>19233.076923076922</v>
      </c>
      <c r="M67" s="909"/>
      <c r="N67" s="911">
        <v>6.3</v>
      </c>
    </row>
    <row r="68" spans="3:14" x14ac:dyDescent="0.25">
      <c r="C68">
        <v>2017</v>
      </c>
      <c r="E68">
        <v>3500</v>
      </c>
      <c r="F68">
        <v>8.1999999999999993</v>
      </c>
      <c r="G68">
        <f t="shared" ref="G68:G76" si="18">F68*0.000001*E68*1000000</f>
        <v>28699.999999999996</v>
      </c>
      <c r="H68">
        <v>4500</v>
      </c>
      <c r="I68">
        <f t="shared" ref="I68:I76" si="19">H68*1000000/52</f>
        <v>86538461.538461536</v>
      </c>
      <c r="J68">
        <v>174</v>
      </c>
      <c r="K68">
        <f t="shared" ref="K68:K76" si="20">J68*0.000001*I68</f>
        <v>15057.692307692307</v>
      </c>
      <c r="M68" s="909"/>
      <c r="N68" s="910">
        <v>5.76</v>
      </c>
    </row>
    <row r="69" spans="3:14" x14ac:dyDescent="0.25">
      <c r="C69">
        <v>2018</v>
      </c>
      <c r="E69">
        <v>3500</v>
      </c>
      <c r="F69">
        <v>9.4</v>
      </c>
      <c r="G69">
        <f t="shared" si="18"/>
        <v>32900</v>
      </c>
      <c r="H69">
        <v>4800</v>
      </c>
      <c r="I69">
        <f t="shared" si="19"/>
        <v>92307692.307692304</v>
      </c>
      <c r="J69">
        <v>196.3</v>
      </c>
      <c r="K69">
        <f t="shared" si="20"/>
        <v>18120</v>
      </c>
      <c r="M69" s="910"/>
      <c r="N69" s="910">
        <v>6.01</v>
      </c>
    </row>
    <row r="70" spans="3:14" x14ac:dyDescent="0.25">
      <c r="C70">
        <v>2019</v>
      </c>
      <c r="E70">
        <v>3500</v>
      </c>
      <c r="F70">
        <v>9.4</v>
      </c>
      <c r="G70">
        <f t="shared" si="18"/>
        <v>32900</v>
      </c>
      <c r="H70">
        <v>4700</v>
      </c>
      <c r="I70">
        <f t="shared" si="19"/>
        <v>90384615.384615391</v>
      </c>
      <c r="J70">
        <v>197.5</v>
      </c>
      <c r="K70">
        <f t="shared" si="20"/>
        <v>17850.961538461539</v>
      </c>
      <c r="M70" s="910"/>
      <c r="N70" s="910">
        <v>6.31</v>
      </c>
    </row>
    <row r="71" spans="3:14" x14ac:dyDescent="0.25">
      <c r="C71">
        <v>2020</v>
      </c>
      <c r="E71">
        <v>3600</v>
      </c>
      <c r="F71">
        <v>8.4</v>
      </c>
      <c r="G71">
        <f t="shared" si="18"/>
        <v>30239.999999999996</v>
      </c>
      <c r="H71">
        <v>5300</v>
      </c>
      <c r="I71">
        <f t="shared" si="19"/>
        <v>101923076.92307693</v>
      </c>
      <c r="J71">
        <v>197.4</v>
      </c>
      <c r="K71">
        <f t="shared" si="20"/>
        <v>20119.615384615387</v>
      </c>
      <c r="M71" s="910"/>
      <c r="N71" s="910">
        <v>6.37</v>
      </c>
    </row>
    <row r="72" spans="3:14" x14ac:dyDescent="0.25">
      <c r="C72">
        <v>2021</v>
      </c>
      <c r="E72">
        <v>3500</v>
      </c>
      <c r="F72">
        <v>7.7</v>
      </c>
      <c r="G72">
        <f t="shared" si="18"/>
        <v>26950</v>
      </c>
      <c r="H72">
        <v>5000</v>
      </c>
      <c r="I72">
        <f t="shared" si="19"/>
        <v>96153846.15384616</v>
      </c>
      <c r="J72">
        <v>197.4</v>
      </c>
      <c r="K72">
        <f t="shared" si="20"/>
        <v>18980.76923076923</v>
      </c>
      <c r="M72" s="910"/>
      <c r="N72" s="910">
        <v>5.85</v>
      </c>
    </row>
    <row r="73" spans="3:14" x14ac:dyDescent="0.25">
      <c r="C73">
        <v>2022</v>
      </c>
      <c r="E73">
        <v>3500</v>
      </c>
      <c r="F73">
        <v>7.9</v>
      </c>
      <c r="G73">
        <f t="shared" si="18"/>
        <v>27650</v>
      </c>
      <c r="H73">
        <v>4900</v>
      </c>
      <c r="I73">
        <f t="shared" si="19"/>
        <v>94230769.230769232</v>
      </c>
      <c r="J73">
        <v>209.4</v>
      </c>
      <c r="K73">
        <f t="shared" si="20"/>
        <v>19731.923076923078</v>
      </c>
      <c r="M73" s="910"/>
      <c r="N73" s="909">
        <v>6.15</v>
      </c>
    </row>
    <row r="74" spans="3:14" ht="13.8" thickBot="1" x14ac:dyDescent="0.3">
      <c r="C74">
        <v>2023</v>
      </c>
      <c r="E74">
        <v>3500</v>
      </c>
      <c r="F74">
        <v>7.6</v>
      </c>
      <c r="G74">
        <f t="shared" si="18"/>
        <v>26600</v>
      </c>
      <c r="H74">
        <v>5200</v>
      </c>
      <c r="I74">
        <f>H74*1000000/52</f>
        <v>100000000</v>
      </c>
      <c r="J74">
        <v>206.7</v>
      </c>
      <c r="K74">
        <f t="shared" si="20"/>
        <v>20670</v>
      </c>
      <c r="M74" s="911"/>
      <c r="N74" s="909">
        <v>5.98</v>
      </c>
    </row>
    <row r="75" spans="3:14" x14ac:dyDescent="0.25">
      <c r="C75">
        <v>2024</v>
      </c>
      <c r="E75">
        <v>3400</v>
      </c>
      <c r="F75">
        <v>7.7</v>
      </c>
      <c r="G75">
        <f t="shared" si="18"/>
        <v>26180</v>
      </c>
      <c r="H75">
        <v>5800</v>
      </c>
      <c r="I75">
        <f t="shared" si="19"/>
        <v>111538461.53846154</v>
      </c>
      <c r="J75">
        <v>205.5</v>
      </c>
      <c r="K75">
        <f t="shared" si="20"/>
        <v>22921.153846153844</v>
      </c>
      <c r="N75" s="909">
        <v>7.68</v>
      </c>
    </row>
    <row r="76" spans="3:14" x14ac:dyDescent="0.25">
      <c r="C76">
        <v>2025</v>
      </c>
      <c r="E76">
        <v>3200</v>
      </c>
      <c r="F76">
        <v>6.1</v>
      </c>
      <c r="G76">
        <f t="shared" si="18"/>
        <v>19519.999999999996</v>
      </c>
      <c r="H76">
        <v>5200</v>
      </c>
      <c r="I76">
        <f t="shared" si="19"/>
        <v>100000000</v>
      </c>
      <c r="J76">
        <v>174.5</v>
      </c>
      <c r="K76">
        <f t="shared" si="20"/>
        <v>17450</v>
      </c>
    </row>
    <row r="77" spans="3:14" x14ac:dyDescent="0.25">
      <c r="C77">
        <v>2026</v>
      </c>
    </row>
    <row r="88" spans="13:13" x14ac:dyDescent="0.25">
      <c r="M88" s="16"/>
    </row>
    <row r="129" spans="8:8" x14ac:dyDescent="0.25">
      <c r="H129" t="s">
        <v>1034</v>
      </c>
    </row>
  </sheetData>
  <mergeCells count="1">
    <mergeCell ref="D7:F7"/>
  </mergeCells>
  <pageMargins left="0.7" right="0.7" top="0.75" bottom="0.75" header="0.3" footer="0.3"/>
  <pageSetup paperSize="9" orientation="portrait" r:id="rId1"/>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658A8-CE47-4185-B369-BBF180086854}">
  <sheetPr>
    <tabColor rgb="FFFFC000"/>
    <pageSetUpPr autoPageBreaks="0"/>
  </sheetPr>
  <dimension ref="A3:CM100"/>
  <sheetViews>
    <sheetView showGridLines="0" topLeftCell="N16" workbookViewId="0">
      <selection activeCell="X38" sqref="X38"/>
    </sheetView>
  </sheetViews>
  <sheetFormatPr defaultColWidth="9.109375" defaultRowHeight="13.2" x14ac:dyDescent="0.25"/>
  <cols>
    <col min="3" max="4" width="11.33203125" customWidth="1"/>
    <col min="8" max="8" width="8" customWidth="1"/>
    <col min="13" max="13" width="11.44140625" bestFit="1" customWidth="1"/>
    <col min="14" max="14" width="12.6640625" customWidth="1"/>
    <col min="15" max="15" width="15" bestFit="1" customWidth="1"/>
    <col min="16" max="16" width="13.6640625" customWidth="1"/>
    <col min="19" max="19" width="11.88671875" bestFit="1" customWidth="1"/>
    <col min="21" max="23" width="12" customWidth="1"/>
    <col min="24" max="24" width="10.109375" customWidth="1"/>
    <col min="25" max="25" width="12.5546875" customWidth="1"/>
    <col min="27" max="27" width="10.109375" customWidth="1"/>
    <col min="32" max="32" width="12" bestFit="1" customWidth="1"/>
    <col min="40" max="41" width="12" bestFit="1" customWidth="1"/>
    <col min="42" max="42" width="12" customWidth="1"/>
    <col min="49" max="51" width="12" bestFit="1" customWidth="1"/>
    <col min="52" max="53" width="12" customWidth="1"/>
    <col min="54" max="54" width="12" bestFit="1" customWidth="1"/>
    <col min="59" max="60" width="9.44140625" customWidth="1"/>
    <col min="61" max="61" width="11.88671875" customWidth="1"/>
  </cols>
  <sheetData>
    <row r="3" spans="1:91" ht="17.399999999999999" thickBot="1" x14ac:dyDescent="0.35">
      <c r="A3" s="1009" t="s">
        <v>836</v>
      </c>
      <c r="B3" s="1009"/>
      <c r="C3" s="1009"/>
      <c r="D3" s="1009"/>
      <c r="E3" s="1009"/>
      <c r="F3" s="1009"/>
      <c r="G3" s="1009"/>
      <c r="H3" s="1009"/>
      <c r="I3" s="126"/>
    </row>
    <row r="4" spans="1:91" ht="24.6" x14ac:dyDescent="0.4">
      <c r="A4" s="1010"/>
      <c r="B4" s="1011"/>
      <c r="C4" s="1016" t="s">
        <v>1035</v>
      </c>
      <c r="D4" s="1017"/>
      <c r="E4" s="1017"/>
      <c r="F4" s="1017"/>
      <c r="G4" s="1017"/>
      <c r="H4" s="1017"/>
      <c r="I4" s="127"/>
      <c r="J4" s="127"/>
    </row>
    <row r="5" spans="1:91" ht="24.6" x14ac:dyDescent="0.4">
      <c r="A5" s="1012"/>
      <c r="B5" s="1013"/>
      <c r="C5" s="925"/>
      <c r="D5" s="953"/>
      <c r="E5" s="128"/>
      <c r="F5" s="954"/>
      <c r="G5" s="1080" t="s">
        <v>659</v>
      </c>
      <c r="H5" s="1081"/>
      <c r="I5" s="1081"/>
      <c r="J5" s="1081"/>
    </row>
    <row r="6" spans="1:91" ht="24.6" x14ac:dyDescent="0.4">
      <c r="A6" s="1014"/>
      <c r="B6" s="1015"/>
      <c r="C6" s="129"/>
      <c r="D6" s="447"/>
      <c r="E6" s="133"/>
      <c r="F6" s="450"/>
      <c r="G6" s="135"/>
      <c r="H6" s="136"/>
      <c r="I6" s="137"/>
      <c r="J6" s="137"/>
    </row>
    <row r="7" spans="1:91" ht="13.8" x14ac:dyDescent="0.25">
      <c r="A7" s="949"/>
      <c r="B7" s="950"/>
      <c r="C7" s="138"/>
      <c r="D7" s="139"/>
      <c r="E7" s="141"/>
      <c r="F7" s="451"/>
      <c r="G7" s="142"/>
      <c r="H7" s="930"/>
      <c r="I7" s="143"/>
      <c r="J7" s="143"/>
      <c r="AQ7">
        <v>2.7E-2</v>
      </c>
      <c r="BC7">
        <v>0.68400000000000005</v>
      </c>
    </row>
    <row r="8" spans="1:91" ht="13.8" x14ac:dyDescent="0.25">
      <c r="A8" s="1082" t="s">
        <v>840</v>
      </c>
      <c r="B8" s="1083"/>
      <c r="C8" s="935" t="s">
        <v>1036</v>
      </c>
      <c r="D8" s="448" t="s">
        <v>1037</v>
      </c>
      <c r="E8" s="144" t="s">
        <v>1036</v>
      </c>
      <c r="F8" s="198"/>
      <c r="G8" s="145"/>
      <c r="H8" s="955"/>
      <c r="I8" s="445"/>
      <c r="J8" s="445"/>
    </row>
    <row r="9" spans="1:91" ht="14.4" thickBot="1" x14ac:dyDescent="0.3">
      <c r="A9" s="146"/>
      <c r="B9" s="147"/>
      <c r="C9" s="238"/>
      <c r="D9" s="446"/>
      <c r="E9" s="938" t="s">
        <v>851</v>
      </c>
      <c r="F9" s="143"/>
      <c r="G9" s="150"/>
      <c r="H9" s="279"/>
      <c r="I9" s="446"/>
      <c r="J9" s="446"/>
      <c r="R9">
        <f>1/12</f>
        <v>8.3333333333333329E-2</v>
      </c>
      <c r="AF9" t="s">
        <v>1038</v>
      </c>
      <c r="AG9" t="s">
        <v>1039</v>
      </c>
      <c r="AJ9" t="s">
        <v>1040</v>
      </c>
      <c r="AS9" t="s">
        <v>1041</v>
      </c>
      <c r="BO9" t="str">
        <f>_xlfn.XLOOKUP(""&amp;tblBrennsla[[#Headers],[2021]],Reykjavík!$A$3:$J$3,Reykjavík!$A$6:$J$6,"hættabulla",0,1)</f>
        <v>hættabulla</v>
      </c>
      <c r="BX9">
        <f>548000/(365*24)</f>
        <v>62.557077625570777</v>
      </c>
      <c r="BY9">
        <f>CA14/CA13</f>
        <v>4.5842725137866962E-2</v>
      </c>
      <c r="BZ9">
        <f>BZ10*BY9</f>
        <v>1.7262950888736511E-2</v>
      </c>
      <c r="CD9">
        <f>BY9*(1-BZ10)</f>
        <v>2.8579774249130451E-2</v>
      </c>
      <c r="CK9">
        <f>188505*Reykjavík!J$6</f>
        <v>105632.14439216057</v>
      </c>
    </row>
    <row r="10" spans="1:91" ht="13.8" x14ac:dyDescent="0.25">
      <c r="A10" s="986">
        <v>2016</v>
      </c>
      <c r="B10" s="151" t="s">
        <v>710</v>
      </c>
      <c r="C10" s="152"/>
      <c r="D10" s="153"/>
      <c r="E10" s="155">
        <f>C10</f>
        <v>0</v>
      </c>
      <c r="F10" s="452"/>
      <c r="G10" s="156"/>
      <c r="H10" s="157"/>
      <c r="I10" s="158"/>
      <c r="J10" s="158"/>
      <c r="L10" t="s">
        <v>1042</v>
      </c>
      <c r="X10" s="1093" t="s">
        <v>261</v>
      </c>
      <c r="Y10" s="1093"/>
      <c r="Z10" s="1093"/>
      <c r="AA10" s="1093"/>
      <c r="AB10" s="1093"/>
      <c r="AC10" s="1093"/>
      <c r="AD10" s="1093"/>
      <c r="AE10" s="1093"/>
      <c r="AF10" s="1093"/>
      <c r="AG10" s="1093"/>
      <c r="AH10" s="861"/>
      <c r="AI10" s="861"/>
      <c r="AJ10" s="861"/>
      <c r="AK10" s="861"/>
      <c r="AL10" s="861"/>
      <c r="AN10" t="s">
        <v>31</v>
      </c>
      <c r="BE10" t="s">
        <v>1043</v>
      </c>
      <c r="BX10">
        <f>4780</f>
        <v>4780</v>
      </c>
      <c r="BY10">
        <v>1800</v>
      </c>
      <c r="BZ10">
        <f>BY10/CA14</f>
        <v>0.37656903765690375</v>
      </c>
      <c r="CD10">
        <f>BY9/55*45</f>
        <v>3.7507684203709334E-2</v>
      </c>
      <c r="CE10">
        <v>0.17199999999999999</v>
      </c>
      <c r="CF10">
        <v>2.7E-2</v>
      </c>
    </row>
    <row r="11" spans="1:91" ht="13.8" x14ac:dyDescent="0.25">
      <c r="A11" s="981"/>
      <c r="B11" s="159" t="s">
        <v>715</v>
      </c>
      <c r="C11" s="160"/>
      <c r="D11" s="161"/>
      <c r="E11" s="163">
        <f>SUM(C10:C11)</f>
        <v>0</v>
      </c>
      <c r="F11" s="452"/>
      <c r="G11" s="156"/>
      <c r="H11" s="157"/>
      <c r="I11" s="164"/>
      <c r="J11" s="164"/>
      <c r="M11" s="39">
        <v>2020</v>
      </c>
      <c r="N11" s="39">
        <v>2019</v>
      </c>
      <c r="O11" s="39">
        <v>2018</v>
      </c>
      <c r="P11" s="39">
        <v>2017</v>
      </c>
      <c r="R11" s="39">
        <v>2017</v>
      </c>
      <c r="S11" s="23">
        <f>P13</f>
        <v>9458.02</v>
      </c>
      <c r="U11" t="s">
        <v>310</v>
      </c>
      <c r="V11" t="s">
        <v>310</v>
      </c>
      <c r="X11" t="s">
        <v>1044</v>
      </c>
      <c r="Y11" t="s">
        <v>1045</v>
      </c>
      <c r="Z11" t="s">
        <v>1046</v>
      </c>
      <c r="AA11" t="s">
        <v>1047</v>
      </c>
      <c r="AB11" t="s">
        <v>1048</v>
      </c>
      <c r="AC11" t="s">
        <v>1049</v>
      </c>
      <c r="AD11" t="s">
        <v>1050</v>
      </c>
      <c r="AE11" t="s">
        <v>1051</v>
      </c>
      <c r="AF11" t="s">
        <v>1052</v>
      </c>
      <c r="AG11" t="s">
        <v>1053</v>
      </c>
      <c r="AH11" t="s">
        <v>1054</v>
      </c>
      <c r="AI11" t="s">
        <v>1051</v>
      </c>
      <c r="AJ11" t="s">
        <v>1053</v>
      </c>
      <c r="AN11" t="s">
        <v>1055</v>
      </c>
      <c r="AO11" t="s">
        <v>1056</v>
      </c>
      <c r="AQ11" t="s">
        <v>1051</v>
      </c>
      <c r="AR11" t="s">
        <v>1053</v>
      </c>
      <c r="AS11" t="s">
        <v>1057</v>
      </c>
      <c r="AT11" t="s">
        <v>1058</v>
      </c>
      <c r="AU11" t="s">
        <v>1059</v>
      </c>
      <c r="AV11" t="s">
        <v>1060</v>
      </c>
      <c r="AW11" t="s">
        <v>1061</v>
      </c>
      <c r="AX11" t="s">
        <v>1062</v>
      </c>
      <c r="AY11" t="s">
        <v>1063</v>
      </c>
      <c r="AZ11" s="16" t="s">
        <v>1064</v>
      </c>
      <c r="BB11" t="s">
        <v>1065</v>
      </c>
      <c r="BC11" t="s">
        <v>1053</v>
      </c>
      <c r="BE11" t="s">
        <v>1055</v>
      </c>
      <c r="BF11" t="s">
        <v>1056</v>
      </c>
      <c r="BG11" t="s">
        <v>1051</v>
      </c>
      <c r="BH11" t="s">
        <v>1053</v>
      </c>
      <c r="BK11">
        <v>2025</v>
      </c>
      <c r="BL11">
        <v>2024</v>
      </c>
      <c r="BM11">
        <v>2023</v>
      </c>
      <c r="BN11">
        <v>2022</v>
      </c>
      <c r="BO11">
        <v>2021</v>
      </c>
      <c r="BP11">
        <v>2020</v>
      </c>
      <c r="BQ11">
        <v>2019</v>
      </c>
      <c r="BR11">
        <v>2018</v>
      </c>
      <c r="BS11">
        <v>2017</v>
      </c>
      <c r="BT11">
        <v>2016</v>
      </c>
      <c r="CI11" s="114" t="s">
        <v>1066</v>
      </c>
    </row>
    <row r="12" spans="1:91" ht="13.8" x14ac:dyDescent="0.25">
      <c r="A12" s="981"/>
      <c r="B12" s="159" t="s">
        <v>718</v>
      </c>
      <c r="C12" s="160"/>
      <c r="D12" s="161"/>
      <c r="E12" s="163">
        <f>SUM(C10:C12)</f>
        <v>0</v>
      </c>
      <c r="F12" s="452"/>
      <c r="G12" s="165"/>
      <c r="H12" s="157"/>
      <c r="I12" s="157"/>
      <c r="J12" s="157"/>
      <c r="L12" t="s">
        <v>1067</v>
      </c>
      <c r="M12" t="s">
        <v>1068</v>
      </c>
      <c r="N12" t="s">
        <v>1069</v>
      </c>
      <c r="O12" t="s">
        <v>1068</v>
      </c>
      <c r="P12" t="s">
        <v>1069</v>
      </c>
      <c r="R12">
        <f t="shared" ref="R12:R55" si="0">R11+$R$9</f>
        <v>2017.0833333333333</v>
      </c>
      <c r="S12" s="23">
        <f>P14</f>
        <v>8619.6</v>
      </c>
      <c r="U12">
        <f>Reykjavík!$C$6</f>
        <v>0.57534034278851043</v>
      </c>
      <c r="V12">
        <f>Reykjavík!$C$9</f>
        <v>0.36776833919461094</v>
      </c>
      <c r="W12" s="812">
        <v>1991</v>
      </c>
      <c r="X12">
        <v>50.145000000000003</v>
      </c>
      <c r="Y12">
        <v>0</v>
      </c>
      <c r="Z12">
        <v>0</v>
      </c>
      <c r="AA12">
        <v>0</v>
      </c>
      <c r="AB12">
        <v>0</v>
      </c>
      <c r="AC12" t="s">
        <v>866</v>
      </c>
      <c r="AM12" s="812">
        <v>1991</v>
      </c>
      <c r="AN12">
        <v>0</v>
      </c>
      <c r="AO12">
        <f t="shared" ref="AO12:AO46" si="1">AN12*U12</f>
        <v>0</v>
      </c>
      <c r="AQ12">
        <f t="shared" ref="AQ12:AQ40" si="2">AN12*$AQ$7</f>
        <v>0</v>
      </c>
      <c r="AR12">
        <f t="shared" ref="AR12:AR40" si="3">AO12*$AQ$7</f>
        <v>0</v>
      </c>
      <c r="AS12">
        <v>0</v>
      </c>
      <c r="AT12">
        <f t="shared" ref="AT12:AT44" si="4">AS12*U12</f>
        <v>0</v>
      </c>
      <c r="AV12">
        <f t="shared" ref="AV12:AV44" si="5">AU12*V12</f>
        <v>0</v>
      </c>
      <c r="AX12">
        <f t="shared" ref="AX12:AX44" si="6">AW12*V12</f>
        <v>0</v>
      </c>
      <c r="AY12">
        <f>AW12+AU12+AS12</f>
        <v>0</v>
      </c>
      <c r="BA12">
        <f>AY12*$BC$7</f>
        <v>0</v>
      </c>
      <c r="BB12">
        <f t="shared" ref="BB12:BB45" si="7">AX12+AV12+AT12</f>
        <v>0</v>
      </c>
      <c r="BC12">
        <f t="shared" ref="BC12:BC40" si="8">BB12*$BC$7</f>
        <v>0</v>
      </c>
      <c r="BD12" s="812">
        <v>1991</v>
      </c>
      <c r="BE12">
        <f t="shared" ref="BE12:BE36" si="9">_xlfn.XLOOKUP(W12,$BJ$11:$BT$11,$BJ$23:$BT$23,0)/1000</f>
        <v>0</v>
      </c>
      <c r="BF12">
        <f t="shared" ref="BF12:BF46" si="10">BE12*U12</f>
        <v>0</v>
      </c>
      <c r="BG12">
        <f t="shared" ref="BG12:BG36" si="11">BE12*$BC$7</f>
        <v>0</v>
      </c>
      <c r="BH12">
        <f t="shared" ref="BH12:BH36" si="12">BF12*$BC$7</f>
        <v>0</v>
      </c>
      <c r="BW12" s="22"/>
      <c r="BX12" s="22">
        <v>2011</v>
      </c>
      <c r="BY12" s="22">
        <v>2013</v>
      </c>
      <c r="BZ12" s="22">
        <v>2015</v>
      </c>
      <c r="CA12" s="22">
        <v>2016</v>
      </c>
      <c r="CB12" s="22">
        <v>2017</v>
      </c>
      <c r="CC12" s="22">
        <v>2018</v>
      </c>
      <c r="CD12" s="22">
        <v>2019</v>
      </c>
      <c r="CE12" s="22">
        <v>2020</v>
      </c>
      <c r="CF12" s="22">
        <v>2021</v>
      </c>
      <c r="CG12" s="22">
        <v>2022</v>
      </c>
      <c r="CH12" s="22">
        <v>2023</v>
      </c>
      <c r="CI12" s="22">
        <v>2024</v>
      </c>
      <c r="CJ12" s="22"/>
    </row>
    <row r="13" spans="1:91" ht="13.8" x14ac:dyDescent="0.25">
      <c r="A13" s="981"/>
      <c r="B13" s="159" t="s">
        <v>725</v>
      </c>
      <c r="C13" s="160"/>
      <c r="D13" s="161"/>
      <c r="E13" s="163">
        <f>SUM(C10:C13)</f>
        <v>0</v>
      </c>
      <c r="F13" s="452"/>
      <c r="G13" s="165"/>
      <c r="H13" s="157"/>
      <c r="I13" s="157"/>
      <c r="J13" s="157"/>
      <c r="L13" t="s">
        <v>710</v>
      </c>
      <c r="M13" s="74">
        <v>8379.56</v>
      </c>
      <c r="N13" s="74">
        <v>10359.98</v>
      </c>
      <c r="O13" s="74">
        <v>10796.84</v>
      </c>
      <c r="P13" s="74">
        <v>9458.02</v>
      </c>
      <c r="R13">
        <f t="shared" si="0"/>
        <v>2017.1666666666665</v>
      </c>
      <c r="S13" s="23">
        <f t="shared" ref="S13:S22" si="13">P15</f>
        <v>9934</v>
      </c>
      <c r="U13">
        <f>Reykjavík!$C$6</f>
        <v>0.57534034278851043</v>
      </c>
      <c r="V13">
        <f>Reykjavík!$C$9</f>
        <v>0.36776833919461094</v>
      </c>
      <c r="W13" s="812">
        <v>1992</v>
      </c>
      <c r="X13">
        <v>74.099999999999994</v>
      </c>
      <c r="Y13">
        <v>0.32274917069501058</v>
      </c>
      <c r="Z13">
        <v>0.29047425362550955</v>
      </c>
      <c r="AA13">
        <v>8.1332791015142671</v>
      </c>
      <c r="AB13">
        <f>AA13/X13</f>
        <v>0.10976085157239228</v>
      </c>
      <c r="AC13" t="s">
        <v>866</v>
      </c>
      <c r="AE13">
        <f>AA13*1000</f>
        <v>8133.2791015142675</v>
      </c>
      <c r="AF13">
        <f t="shared" ref="AF13:AF45" si="14">U13*X13*1000</f>
        <v>42632.719400628615</v>
      </c>
      <c r="AG13">
        <f t="shared" ref="AG13:AG45" si="15">AE13*U13</f>
        <v>4679.4035862598466</v>
      </c>
      <c r="AM13" s="812">
        <v>1992</v>
      </c>
      <c r="AN13">
        <v>0</v>
      </c>
      <c r="AO13">
        <f t="shared" si="1"/>
        <v>0</v>
      </c>
      <c r="AQ13">
        <f t="shared" si="2"/>
        <v>0</v>
      </c>
      <c r="AR13">
        <f t="shared" si="3"/>
        <v>0</v>
      </c>
      <c r="AS13">
        <v>0</v>
      </c>
      <c r="AT13">
        <f t="shared" si="4"/>
        <v>0</v>
      </c>
      <c r="AV13">
        <f t="shared" si="5"/>
        <v>0</v>
      </c>
      <c r="AX13">
        <f t="shared" si="6"/>
        <v>0</v>
      </c>
      <c r="AY13">
        <f t="shared" ref="AY13:AY44" si="16">AW13+AU13+AS13</f>
        <v>0</v>
      </c>
      <c r="BA13">
        <f t="shared" ref="BA13:BA40" si="17">AY13*$BC$7</f>
        <v>0</v>
      </c>
      <c r="BB13">
        <f t="shared" si="7"/>
        <v>0</v>
      </c>
      <c r="BC13">
        <f t="shared" si="8"/>
        <v>0</v>
      </c>
      <c r="BD13" s="812">
        <v>1992</v>
      </c>
      <c r="BE13">
        <f t="shared" si="9"/>
        <v>0</v>
      </c>
      <c r="BF13">
        <f t="shared" si="10"/>
        <v>0</v>
      </c>
      <c r="BG13">
        <f t="shared" si="11"/>
        <v>0</v>
      </c>
      <c r="BH13">
        <f t="shared" si="12"/>
        <v>0</v>
      </c>
      <c r="BJ13" s="11" t="s">
        <v>1070</v>
      </c>
      <c r="BK13" s="11"/>
      <c r="BL13" s="11"/>
      <c r="BM13" s="11"/>
      <c r="BN13" s="11"/>
      <c r="BO13" s="11"/>
      <c r="BP13" s="456"/>
      <c r="BQ13" s="456"/>
      <c r="BR13" s="456"/>
      <c r="BS13" s="456"/>
      <c r="BT13" s="456"/>
      <c r="BW13" s="22" t="s">
        <v>1071</v>
      </c>
      <c r="BX13" s="22">
        <v>101409</v>
      </c>
      <c r="BY13" s="22">
        <v>103947</v>
      </c>
      <c r="BZ13" s="22">
        <v>92851.460999999996</v>
      </c>
      <c r="CA13" s="22">
        <f>D22</f>
        <v>104269.54300000001</v>
      </c>
      <c r="CB13" s="22">
        <v>123079.44</v>
      </c>
      <c r="CC13" s="22">
        <v>123080.44</v>
      </c>
      <c r="CD13" s="22">
        <v>111254.22</v>
      </c>
      <c r="CE13" s="23">
        <f>D74</f>
        <v>89065.2</v>
      </c>
      <c r="CF13" s="23">
        <f>D87</f>
        <v>85542.48</v>
      </c>
      <c r="CG13" s="23">
        <f>D100</f>
        <v>67484.789999999994</v>
      </c>
      <c r="CH13">
        <f>CG13*(1-0.123)</f>
        <v>59184.160829999993</v>
      </c>
      <c r="CI13" t="e">
        <f>#REF!*1000</f>
        <v>#REF!</v>
      </c>
      <c r="CK13">
        <f>(CF14-CF15)/CF13</f>
        <v>2.8579774249130451E-2</v>
      </c>
    </row>
    <row r="14" spans="1:91" ht="13.8" x14ac:dyDescent="0.25">
      <c r="A14" s="981"/>
      <c r="B14" s="159" t="s">
        <v>730</v>
      </c>
      <c r="C14" s="160"/>
      <c r="D14" s="161"/>
      <c r="E14" s="163">
        <f>SUM(C10:C14)</f>
        <v>0</v>
      </c>
      <c r="F14" s="452"/>
      <c r="G14" s="165"/>
      <c r="H14" s="157"/>
      <c r="I14" s="157"/>
      <c r="J14" s="157"/>
      <c r="L14" t="s">
        <v>715</v>
      </c>
      <c r="M14" s="74">
        <v>6154.64</v>
      </c>
      <c r="N14" s="74">
        <v>8657.68</v>
      </c>
      <c r="O14" s="74">
        <v>9341.42</v>
      </c>
      <c r="P14" s="74">
        <v>8619.6</v>
      </c>
      <c r="R14">
        <f t="shared" si="0"/>
        <v>2017.2499999999998</v>
      </c>
      <c r="S14" s="23">
        <f t="shared" si="13"/>
        <v>8256.6</v>
      </c>
      <c r="U14">
        <f>Reykjavík!$C$6</f>
        <v>0.57534034278851043</v>
      </c>
      <c r="V14">
        <f>Reykjavík!$C$9</f>
        <v>0.36776833919461094</v>
      </c>
      <c r="W14" s="812">
        <v>1993</v>
      </c>
      <c r="X14">
        <v>71.846000000000004</v>
      </c>
      <c r="Y14">
        <v>0.75387927969590807</v>
      </c>
      <c r="Z14">
        <v>0.67849135172631725</v>
      </c>
      <c r="AA14">
        <v>18.997757848336882</v>
      </c>
      <c r="AB14">
        <f t="shared" ref="AB14:AB51" si="18">AA14/X14</f>
        <v>0.26442331999466751</v>
      </c>
      <c r="AC14" t="s">
        <v>866</v>
      </c>
      <c r="AE14">
        <f t="shared" ref="AE14:AE44" si="19">AA14*1000</f>
        <v>18997.757848336882</v>
      </c>
      <c r="AF14">
        <f t="shared" si="14"/>
        <v>41335.902267983322</v>
      </c>
      <c r="AG14">
        <f t="shared" si="15"/>
        <v>10930.176512675256</v>
      </c>
      <c r="AM14" s="812">
        <v>1993</v>
      </c>
      <c r="AN14">
        <v>0</v>
      </c>
      <c r="AO14">
        <f t="shared" si="1"/>
        <v>0</v>
      </c>
      <c r="AQ14">
        <f t="shared" si="2"/>
        <v>0</v>
      </c>
      <c r="AR14">
        <f t="shared" si="3"/>
        <v>0</v>
      </c>
      <c r="AS14">
        <v>0</v>
      </c>
      <c r="AT14">
        <f t="shared" si="4"/>
        <v>0</v>
      </c>
      <c r="AV14">
        <f t="shared" si="5"/>
        <v>0</v>
      </c>
      <c r="AX14">
        <f t="shared" si="6"/>
        <v>0</v>
      </c>
      <c r="AY14">
        <f t="shared" si="16"/>
        <v>0</v>
      </c>
      <c r="BA14">
        <f t="shared" si="17"/>
        <v>0</v>
      </c>
      <c r="BB14">
        <f t="shared" si="7"/>
        <v>0</v>
      </c>
      <c r="BC14">
        <f t="shared" si="8"/>
        <v>0</v>
      </c>
      <c r="BD14" s="812">
        <v>1993</v>
      </c>
      <c r="BE14">
        <f t="shared" si="9"/>
        <v>0</v>
      </c>
      <c r="BF14">
        <f t="shared" si="10"/>
        <v>0</v>
      </c>
      <c r="BG14">
        <f t="shared" si="11"/>
        <v>0</v>
      </c>
      <c r="BH14">
        <f t="shared" si="12"/>
        <v>0</v>
      </c>
      <c r="BJ14" s="456"/>
      <c r="BK14" s="456"/>
      <c r="BL14" s="456"/>
      <c r="BM14" s="456"/>
      <c r="BN14" s="456"/>
      <c r="BO14" s="456"/>
      <c r="BP14" s="456"/>
      <c r="BQ14" s="456"/>
      <c r="BR14" s="456"/>
      <c r="BS14" s="456"/>
      <c r="BT14" s="456"/>
      <c r="BW14" s="22" t="s">
        <v>1072</v>
      </c>
      <c r="BX14" s="22">
        <f>BX13*$BY$9</f>
        <v>4648.8649135059504</v>
      </c>
      <c r="BY14" s="22">
        <f>BY13*$BY$9</f>
        <v>4765.2137499058572</v>
      </c>
      <c r="BZ14" s="22">
        <f>BZ13*$BY$9</f>
        <v>4256.5640052723738</v>
      </c>
      <c r="CA14" s="22">
        <v>4780</v>
      </c>
      <c r="CB14" s="22">
        <f t="shared" ref="CB14:CI14" si="20">CB13*$BY$9</f>
        <v>5642.2969380425884</v>
      </c>
      <c r="CC14" s="22">
        <f t="shared" si="20"/>
        <v>5642.3427807677263</v>
      </c>
      <c r="CD14" s="22">
        <f t="shared" si="20"/>
        <v>5100.1966278877817</v>
      </c>
      <c r="CE14" s="22">
        <f t="shared" si="20"/>
        <v>4082.9914829491486</v>
      </c>
      <c r="CF14" s="22">
        <f t="shared" si="20"/>
        <v>3921.5003982514818</v>
      </c>
      <c r="CG14" s="22">
        <f t="shared" si="20"/>
        <v>3093.6866789566725</v>
      </c>
      <c r="CH14" s="22">
        <f t="shared" si="20"/>
        <v>2713.1632174450019</v>
      </c>
      <c r="CI14" s="22" t="e">
        <f t="shared" si="20"/>
        <v>#REF!</v>
      </c>
    </row>
    <row r="15" spans="1:91" ht="14.4" thickBot="1" x14ac:dyDescent="0.3">
      <c r="A15" s="981"/>
      <c r="B15" s="159" t="s">
        <v>735</v>
      </c>
      <c r="C15" s="160"/>
      <c r="D15" s="161"/>
      <c r="E15" s="163">
        <f>SUM(C10:C15)</f>
        <v>0</v>
      </c>
      <c r="F15" s="452"/>
      <c r="G15" s="165"/>
      <c r="H15" s="157"/>
      <c r="I15" s="157"/>
      <c r="J15" s="157"/>
      <c r="L15" t="s">
        <v>718</v>
      </c>
      <c r="M15" s="74">
        <v>7204.3</v>
      </c>
      <c r="N15" s="74">
        <v>8700.56</v>
      </c>
      <c r="O15" s="74">
        <v>9466.7000000000007</v>
      </c>
      <c r="P15" s="74">
        <v>9934</v>
      </c>
      <c r="R15">
        <f t="shared" si="0"/>
        <v>2017.333333333333</v>
      </c>
      <c r="S15" s="23">
        <f t="shared" si="13"/>
        <v>10593.52</v>
      </c>
      <c r="U15">
        <f>Reykjavík!$C$6</f>
        <v>0.57534034278851043</v>
      </c>
      <c r="V15">
        <f>Reykjavík!$C$9</f>
        <v>0.36776833919461094</v>
      </c>
      <c r="W15" s="812">
        <v>1994</v>
      </c>
      <c r="X15">
        <v>73.150999999999996</v>
      </c>
      <c r="Y15">
        <v>1.1100017917804927</v>
      </c>
      <c r="Z15">
        <v>0.99900161260244347</v>
      </c>
      <c r="AA15">
        <v>27.972045152868418</v>
      </c>
      <c r="AB15">
        <f t="shared" si="18"/>
        <v>0.38238773431488865</v>
      </c>
      <c r="AC15" t="s">
        <v>866</v>
      </c>
      <c r="AE15">
        <f t="shared" si="19"/>
        <v>27972.045152868417</v>
      </c>
      <c r="AF15">
        <f t="shared" si="14"/>
        <v>42086.721415322325</v>
      </c>
      <c r="AG15">
        <f t="shared" si="15"/>
        <v>16093.446046747007</v>
      </c>
      <c r="AM15" s="812">
        <v>1994</v>
      </c>
      <c r="AN15">
        <v>0</v>
      </c>
      <c r="AO15">
        <f t="shared" si="1"/>
        <v>0</v>
      </c>
      <c r="AQ15">
        <f t="shared" si="2"/>
        <v>0</v>
      </c>
      <c r="AR15">
        <f t="shared" si="3"/>
        <v>0</v>
      </c>
      <c r="AS15">
        <v>0</v>
      </c>
      <c r="AT15">
        <f t="shared" si="4"/>
        <v>0</v>
      </c>
      <c r="AV15">
        <f t="shared" si="5"/>
        <v>0</v>
      </c>
      <c r="AX15">
        <f t="shared" si="6"/>
        <v>0</v>
      </c>
      <c r="AY15">
        <f t="shared" si="16"/>
        <v>0</v>
      </c>
      <c r="BA15">
        <f t="shared" si="17"/>
        <v>0</v>
      </c>
      <c r="BB15">
        <f t="shared" si="7"/>
        <v>0</v>
      </c>
      <c r="BC15">
        <f t="shared" si="8"/>
        <v>0</v>
      </c>
      <c r="BD15" s="812">
        <v>1994</v>
      </c>
      <c r="BE15">
        <f t="shared" si="9"/>
        <v>0</v>
      </c>
      <c r="BF15">
        <f t="shared" si="10"/>
        <v>0</v>
      </c>
      <c r="BG15">
        <f t="shared" si="11"/>
        <v>0</v>
      </c>
      <c r="BH15">
        <f t="shared" si="12"/>
        <v>0</v>
      </c>
      <c r="BJ15" s="547" t="s">
        <v>1073</v>
      </c>
      <c r="BK15" s="704" t="s">
        <v>1074</v>
      </c>
      <c r="BL15" s="704" t="s">
        <v>308</v>
      </c>
      <c r="BM15" s="704" t="s">
        <v>307</v>
      </c>
      <c r="BN15" s="704" t="s">
        <v>306</v>
      </c>
      <c r="BO15" s="552" t="s">
        <v>305</v>
      </c>
      <c r="BP15" s="552" t="s">
        <v>304</v>
      </c>
      <c r="BQ15" s="553" t="s">
        <v>303</v>
      </c>
      <c r="BR15" s="554" t="s">
        <v>302</v>
      </c>
      <c r="BS15" s="554" t="s">
        <v>301</v>
      </c>
      <c r="BT15" s="554" t="s">
        <v>300</v>
      </c>
      <c r="BW15" s="22" t="s">
        <v>1075</v>
      </c>
      <c r="BX15" s="22">
        <f t="shared" ref="BX15:CG15" si="21">BX14*$BZ$10</f>
        <v>1750.6185866758808</v>
      </c>
      <c r="BY15" s="22">
        <f t="shared" si="21"/>
        <v>1794.4319560314943</v>
      </c>
      <c r="BZ15" s="22">
        <f t="shared" si="21"/>
        <v>1602.8902111904335</v>
      </c>
      <c r="CA15" s="22">
        <f t="shared" si="21"/>
        <v>1800</v>
      </c>
      <c r="CB15" s="22">
        <f t="shared" si="21"/>
        <v>2124.7143281331923</v>
      </c>
      <c r="CC15" s="22">
        <f t="shared" si="21"/>
        <v>2124.7315910840807</v>
      </c>
      <c r="CD15" s="22">
        <f t="shared" si="21"/>
        <v>1920.5761360246877</v>
      </c>
      <c r="CE15" s="22">
        <f t="shared" si="21"/>
        <v>1537.5281734954951</v>
      </c>
      <c r="CF15" s="22">
        <f t="shared" si="21"/>
        <v>1476.7156311407252</v>
      </c>
      <c r="CG15" s="22">
        <f t="shared" si="21"/>
        <v>1164.9866155066968</v>
      </c>
      <c r="CH15" s="22">
        <f>CH14*$BY$9</f>
        <v>124.378795631502</v>
      </c>
      <c r="CI15" s="22" t="e">
        <f>CI14*$BY$9</f>
        <v>#REF!</v>
      </c>
      <c r="CK15" s="22">
        <f>CE14-CE15</f>
        <v>2545.4633094536534</v>
      </c>
      <c r="CM15">
        <f>(CG17-CF17)/CF17</f>
        <v>-0.21109617116548432</v>
      </c>
    </row>
    <row r="16" spans="1:91" ht="14.4" thickBot="1" x14ac:dyDescent="0.3">
      <c r="A16" s="981"/>
      <c r="B16" s="159" t="s">
        <v>740</v>
      </c>
      <c r="C16" s="160"/>
      <c r="D16" s="161"/>
      <c r="E16" s="163">
        <f>SUM(C10:C16)</f>
        <v>0</v>
      </c>
      <c r="F16" s="452"/>
      <c r="G16" s="165"/>
      <c r="H16" s="157"/>
      <c r="I16" s="157"/>
      <c r="J16" s="157"/>
      <c r="L16" t="s">
        <v>725</v>
      </c>
      <c r="M16" s="74">
        <v>7158.26</v>
      </c>
      <c r="N16" s="74">
        <v>8838.84</v>
      </c>
      <c r="O16" s="74">
        <v>9656.73</v>
      </c>
      <c r="P16" s="74">
        <v>8256.6</v>
      </c>
      <c r="R16">
        <f t="shared" si="0"/>
        <v>2017.4166666666663</v>
      </c>
      <c r="S16" s="23">
        <f>P18</f>
        <v>10734.64</v>
      </c>
      <c r="U16">
        <f>Reykjavík!$C$6</f>
        <v>0.57534034278851043</v>
      </c>
      <c r="V16">
        <f>Reykjavík!$C$9</f>
        <v>0.36776833919461094</v>
      </c>
      <c r="W16" s="812">
        <v>1995</v>
      </c>
      <c r="X16">
        <v>70.75</v>
      </c>
      <c r="Y16">
        <v>1.4255181593057893</v>
      </c>
      <c r="Z16">
        <v>1.2829663433752103</v>
      </c>
      <c r="AA16">
        <v>35.923057614505886</v>
      </c>
      <c r="AB16">
        <f t="shared" si="18"/>
        <v>0.50774639737817506</v>
      </c>
      <c r="AC16" t="s">
        <v>866</v>
      </c>
      <c r="AE16">
        <f t="shared" si="19"/>
        <v>35923.057614505888</v>
      </c>
      <c r="AF16">
        <f t="shared" si="14"/>
        <v>40705.329252287112</v>
      </c>
      <c r="AG16">
        <f t="shared" si="15"/>
        <v>20667.984281941226</v>
      </c>
      <c r="AM16" s="812">
        <v>1995</v>
      </c>
      <c r="AN16">
        <v>0</v>
      </c>
      <c r="AO16">
        <f t="shared" si="1"/>
        <v>0</v>
      </c>
      <c r="AQ16">
        <f t="shared" si="2"/>
        <v>0</v>
      </c>
      <c r="AR16">
        <f t="shared" si="3"/>
        <v>0</v>
      </c>
      <c r="AS16">
        <v>0</v>
      </c>
      <c r="AT16">
        <f t="shared" si="4"/>
        <v>0</v>
      </c>
      <c r="AV16">
        <f t="shared" si="5"/>
        <v>0</v>
      </c>
      <c r="AX16">
        <f t="shared" si="6"/>
        <v>0</v>
      </c>
      <c r="AY16">
        <f t="shared" si="16"/>
        <v>0</v>
      </c>
      <c r="BA16">
        <f t="shared" si="17"/>
        <v>0</v>
      </c>
      <c r="BB16">
        <f t="shared" si="7"/>
        <v>0</v>
      </c>
      <c r="BC16">
        <f t="shared" si="8"/>
        <v>0</v>
      </c>
      <c r="BD16" s="812">
        <v>1995</v>
      </c>
      <c r="BE16">
        <f t="shared" si="9"/>
        <v>0</v>
      </c>
      <c r="BF16">
        <f t="shared" si="10"/>
        <v>0</v>
      </c>
      <c r="BG16">
        <f t="shared" si="11"/>
        <v>0</v>
      </c>
      <c r="BH16">
        <f t="shared" si="12"/>
        <v>0</v>
      </c>
      <c r="BJ16" s="540" t="s">
        <v>1076</v>
      </c>
      <c r="BK16" s="540"/>
      <c r="BL16" s="540">
        <v>4650550</v>
      </c>
      <c r="BM16" s="540">
        <v>5135936</v>
      </c>
      <c r="BN16" s="540">
        <v>5305920</v>
      </c>
      <c r="BO16" s="468">
        <v>5290770</v>
      </c>
      <c r="BP16" s="466">
        <v>5665840</v>
      </c>
      <c r="BQ16" s="462">
        <v>5378535</v>
      </c>
      <c r="BR16" s="467">
        <v>5206990</v>
      </c>
      <c r="BS16" s="468">
        <v>5071450</v>
      </c>
      <c r="BT16" s="468">
        <v>4646830</v>
      </c>
      <c r="BW16" s="22" t="s">
        <v>1077</v>
      </c>
      <c r="BX16" s="22">
        <f t="shared" ref="BX16:CE16" si="22">BX14/55*45</f>
        <v>3803.6167474139593</v>
      </c>
      <c r="BY16" s="22">
        <f t="shared" si="22"/>
        <v>3898.8112499229742</v>
      </c>
      <c r="BZ16" s="22">
        <f t="shared" si="22"/>
        <v>3482.6432770410333</v>
      </c>
      <c r="CA16" s="22">
        <f t="shared" si="22"/>
        <v>3910.909090909091</v>
      </c>
      <c r="CB16" s="22">
        <f t="shared" si="22"/>
        <v>4616.4247674893904</v>
      </c>
      <c r="CC16" s="22">
        <f t="shared" si="22"/>
        <v>4616.4622751735942</v>
      </c>
      <c r="CD16" s="22">
        <f t="shared" si="22"/>
        <v>4172.8881500900034</v>
      </c>
      <c r="CE16" s="22">
        <f t="shared" si="22"/>
        <v>3340.6293951402122</v>
      </c>
      <c r="CF16" s="22">
        <f>CF14/55*45</f>
        <v>3208.5003258421211</v>
      </c>
      <c r="CG16" s="22">
        <f>CG14/55*45</f>
        <v>2531.198191873641</v>
      </c>
      <c r="CH16" s="22">
        <f>CH14/55*45</f>
        <v>2219.8608142731832</v>
      </c>
      <c r="CI16" s="22" t="e">
        <f>CI14/55*45</f>
        <v>#REF!</v>
      </c>
      <c r="CK16" s="490">
        <f>CK15/CE13</f>
        <v>2.8579774249130451E-2</v>
      </c>
      <c r="CM16">
        <f>(CG14-CF14)/CF14</f>
        <v>-0.21109617116548421</v>
      </c>
    </row>
    <row r="17" spans="1:91" ht="14.4" thickBot="1" x14ac:dyDescent="0.3">
      <c r="A17" s="981"/>
      <c r="B17" s="159" t="s">
        <v>752</v>
      </c>
      <c r="C17" s="160"/>
      <c r="D17" s="161"/>
      <c r="E17" s="163">
        <f>SUM(C10:C17)</f>
        <v>0</v>
      </c>
      <c r="F17" s="452"/>
      <c r="G17" s="165"/>
      <c r="H17" s="157"/>
      <c r="I17" s="157"/>
      <c r="J17" s="157"/>
      <c r="L17" t="s">
        <v>730</v>
      </c>
      <c r="M17" s="74">
        <v>6950.12</v>
      </c>
      <c r="N17" s="74">
        <v>10672.39</v>
      </c>
      <c r="O17" s="74">
        <v>10785.22</v>
      </c>
      <c r="P17" s="74">
        <v>10593.52</v>
      </c>
      <c r="R17">
        <f t="shared" si="0"/>
        <v>2017.4999999999995</v>
      </c>
      <c r="S17" s="23">
        <f t="shared" si="13"/>
        <v>10589.06</v>
      </c>
      <c r="U17">
        <f>Reykjavík!$C$6</f>
        <v>0.57534034278851043</v>
      </c>
      <c r="V17">
        <f>Reykjavík!$C$9</f>
        <v>0.36776833919461094</v>
      </c>
      <c r="W17" s="812">
        <v>1996</v>
      </c>
      <c r="X17">
        <v>57.78</v>
      </c>
      <c r="Y17">
        <v>1.6829556077884098</v>
      </c>
      <c r="Z17">
        <v>1.4224449519075688</v>
      </c>
      <c r="AA17">
        <v>39.828458653411928</v>
      </c>
      <c r="AB17">
        <f t="shared" si="18"/>
        <v>0.68931219545538125</v>
      </c>
      <c r="AC17">
        <v>0.10246121677999999</v>
      </c>
      <c r="AD17" s="95">
        <f>AC17/Y17</f>
        <v>6.0881710905402543E-2</v>
      </c>
      <c r="AE17">
        <f t="shared" si="19"/>
        <v>39828.45865341193</v>
      </c>
      <c r="AF17">
        <f t="shared" si="14"/>
        <v>33243.16500632013</v>
      </c>
      <c r="AG17">
        <f t="shared" si="15"/>
        <v>22914.919054392034</v>
      </c>
      <c r="AM17" s="812">
        <v>1996</v>
      </c>
      <c r="AN17">
        <v>0</v>
      </c>
      <c r="AO17">
        <f t="shared" si="1"/>
        <v>0</v>
      </c>
      <c r="AQ17">
        <f t="shared" si="2"/>
        <v>0</v>
      </c>
      <c r="AR17">
        <f t="shared" si="3"/>
        <v>0</v>
      </c>
      <c r="AS17">
        <v>0</v>
      </c>
      <c r="AT17">
        <f t="shared" si="4"/>
        <v>0</v>
      </c>
      <c r="AV17">
        <f t="shared" si="5"/>
        <v>0</v>
      </c>
      <c r="AX17">
        <f t="shared" si="6"/>
        <v>0</v>
      </c>
      <c r="AY17">
        <f t="shared" si="16"/>
        <v>0</v>
      </c>
      <c r="BA17">
        <f t="shared" si="17"/>
        <v>0</v>
      </c>
      <c r="BB17">
        <f t="shared" si="7"/>
        <v>0</v>
      </c>
      <c r="BC17">
        <f t="shared" si="8"/>
        <v>0</v>
      </c>
      <c r="BD17" s="812">
        <v>1996</v>
      </c>
      <c r="BE17">
        <f t="shared" si="9"/>
        <v>0</v>
      </c>
      <c r="BF17">
        <f t="shared" si="10"/>
        <v>0</v>
      </c>
      <c r="BG17">
        <f t="shared" si="11"/>
        <v>0</v>
      </c>
      <c r="BH17">
        <f t="shared" si="12"/>
        <v>0</v>
      </c>
      <c r="BJ17" s="540" t="s">
        <v>1078</v>
      </c>
      <c r="BK17" s="540"/>
      <c r="BL17" s="540"/>
      <c r="BM17" s="540"/>
      <c r="BN17" s="540"/>
      <c r="BO17" s="468">
        <v>7403013</v>
      </c>
      <c r="BP17" s="468">
        <v>5491917</v>
      </c>
      <c r="BQ17" s="463">
        <v>5556521</v>
      </c>
      <c r="BR17" s="467">
        <v>6024555</v>
      </c>
      <c r="BS17" s="468">
        <v>5817095</v>
      </c>
      <c r="BT17" s="468">
        <v>5064173</v>
      </c>
      <c r="BW17" s="22" t="s">
        <v>1079</v>
      </c>
      <c r="BX17" s="22">
        <f t="shared" ref="BX17:CD17" si="23">(BX14-BX15)*28+BX16</f>
        <v>84954.513898655918</v>
      </c>
      <c r="BY17" s="22">
        <f t="shared" si="23"/>
        <v>87080.701478405143</v>
      </c>
      <c r="BZ17" s="22">
        <f t="shared" si="23"/>
        <v>77785.50951133536</v>
      </c>
      <c r="CA17" s="22">
        <f t="shared" si="23"/>
        <v>87350.909090909088</v>
      </c>
      <c r="CB17" s="22">
        <f t="shared" si="23"/>
        <v>103108.73784495247</v>
      </c>
      <c r="CC17" s="22">
        <f t="shared" si="23"/>
        <v>103109.57558631567</v>
      </c>
      <c r="CD17" s="22">
        <f t="shared" si="23"/>
        <v>93202.261922256628</v>
      </c>
      <c r="CE17" s="22">
        <f>(CE14-CE15)*28+CE16</f>
        <v>74613.602059842509</v>
      </c>
      <c r="CF17" s="22">
        <f>(CF14-CF15)*28+CF16</f>
        <v>71662.473804943307</v>
      </c>
      <c r="CG17" s="22">
        <f>(CG14-CG15)*28+CG16</f>
        <v>56534.799968472958</v>
      </c>
      <c r="CH17" s="22">
        <f>(CH14-CH15)*28+CH16</f>
        <v>74705.824625051187</v>
      </c>
      <c r="CI17" s="22" t="e">
        <f>(CI14-CI15)*28+CI16</f>
        <v>#REF!</v>
      </c>
      <c r="CK17" s="490">
        <f>CE16/CE13</f>
        <v>3.7507684203709334E-2</v>
      </c>
      <c r="CM17">
        <f>(CG27-CF27)/CF27</f>
        <v>-0.21143285450186669</v>
      </c>
    </row>
    <row r="18" spans="1:91" ht="14.4" thickBot="1" x14ac:dyDescent="0.3">
      <c r="A18" s="981"/>
      <c r="B18" s="159" t="s">
        <v>754</v>
      </c>
      <c r="C18" s="160"/>
      <c r="D18" s="161"/>
      <c r="E18" s="163">
        <f>SUM(C10:C18)</f>
        <v>0</v>
      </c>
      <c r="F18" s="452"/>
      <c r="G18" s="142"/>
      <c r="H18" s="166"/>
      <c r="I18" s="166"/>
      <c r="J18" s="166"/>
      <c r="L18" t="s">
        <v>735</v>
      </c>
      <c r="M18" s="74">
        <v>7245.1</v>
      </c>
      <c r="N18" s="74">
        <v>8821.0400000000009</v>
      </c>
      <c r="O18" s="74">
        <v>10218.74</v>
      </c>
      <c r="P18" s="74">
        <v>10734.64</v>
      </c>
      <c r="R18">
        <f t="shared" si="0"/>
        <v>2017.5833333333328</v>
      </c>
      <c r="S18" s="23">
        <f t="shared" si="13"/>
        <v>11116.02</v>
      </c>
      <c r="U18">
        <f>Reykjavík!$C$6</f>
        <v>0.57534034278851043</v>
      </c>
      <c r="V18">
        <f>Reykjavík!$C$9</f>
        <v>0.36776833919461094</v>
      </c>
      <c r="W18" s="812">
        <v>1997</v>
      </c>
      <c r="X18">
        <v>61.622</v>
      </c>
      <c r="Y18">
        <v>1.823009128192643</v>
      </c>
      <c r="Z18">
        <v>1.4562780251693788</v>
      </c>
      <c r="AA18">
        <v>40.775784704742605</v>
      </c>
      <c r="AB18">
        <f t="shared" si="18"/>
        <v>0.66170823252641275</v>
      </c>
      <c r="AC18">
        <v>0.20492243355999998</v>
      </c>
      <c r="AD18" s="95">
        <f t="shared" ref="AD18:AD45" si="24">AC18/Y18</f>
        <v>0.11240889054854211</v>
      </c>
      <c r="AE18">
        <f t="shared" si="19"/>
        <v>40775.784704742604</v>
      </c>
      <c r="AF18">
        <f t="shared" si="14"/>
        <v>35453.62260331359</v>
      </c>
      <c r="AG18">
        <f t="shared" si="15"/>
        <v>23459.95394949711</v>
      </c>
      <c r="AM18" s="812">
        <v>1997</v>
      </c>
      <c r="AN18">
        <v>0</v>
      </c>
      <c r="AO18">
        <f t="shared" si="1"/>
        <v>0</v>
      </c>
      <c r="AQ18">
        <f t="shared" si="2"/>
        <v>0</v>
      </c>
      <c r="AR18">
        <f t="shared" si="3"/>
        <v>0</v>
      </c>
      <c r="AS18">
        <v>0</v>
      </c>
      <c r="AT18">
        <f t="shared" si="4"/>
        <v>0</v>
      </c>
      <c r="AV18">
        <f t="shared" si="5"/>
        <v>0</v>
      </c>
      <c r="AX18">
        <f t="shared" si="6"/>
        <v>0</v>
      </c>
      <c r="AY18">
        <f t="shared" si="16"/>
        <v>0</v>
      </c>
      <c r="BA18">
        <f t="shared" si="17"/>
        <v>0</v>
      </c>
      <c r="BB18">
        <f t="shared" si="7"/>
        <v>0</v>
      </c>
      <c r="BC18">
        <f t="shared" si="8"/>
        <v>0</v>
      </c>
      <c r="BD18" s="812">
        <v>1997</v>
      </c>
      <c r="BE18">
        <f t="shared" si="9"/>
        <v>0</v>
      </c>
      <c r="BF18">
        <f t="shared" si="10"/>
        <v>0</v>
      </c>
      <c r="BG18">
        <f t="shared" si="11"/>
        <v>0</v>
      </c>
      <c r="BH18">
        <f t="shared" si="12"/>
        <v>0</v>
      </c>
      <c r="BJ18" s="540" t="s">
        <v>1080</v>
      </c>
      <c r="BK18" s="540"/>
      <c r="BL18" s="540">
        <v>10846472</v>
      </c>
      <c r="BM18" s="540">
        <v>9937252</v>
      </c>
      <c r="BN18" s="540">
        <v>8843327</v>
      </c>
      <c r="BO18" s="468">
        <v>1658965</v>
      </c>
      <c r="BP18" s="468">
        <v>1953397</v>
      </c>
      <c r="BQ18" s="463">
        <v>1989735</v>
      </c>
      <c r="BR18" s="467">
        <v>2038243</v>
      </c>
      <c r="BS18" s="468">
        <v>2164068</v>
      </c>
      <c r="BT18" s="468">
        <v>2126291</v>
      </c>
      <c r="BW18" s="22" t="s">
        <v>1081</v>
      </c>
      <c r="CE18">
        <v>2100</v>
      </c>
      <c r="CF18">
        <v>18000</v>
      </c>
      <c r="CG18">
        <v>26896</v>
      </c>
      <c r="CH18">
        <v>29751</v>
      </c>
      <c r="CI18">
        <v>19204</v>
      </c>
      <c r="CM18">
        <f>(CG24-CF24)/CF24</f>
        <v>-0.2114328545018665</v>
      </c>
    </row>
    <row r="19" spans="1:91" ht="14.4" thickBot="1" x14ac:dyDescent="0.3">
      <c r="A19" s="981"/>
      <c r="B19" s="159" t="s">
        <v>755</v>
      </c>
      <c r="C19" s="160"/>
      <c r="D19" s="161"/>
      <c r="E19" s="163">
        <f>SUM(C10:C19)</f>
        <v>0</v>
      </c>
      <c r="F19" s="452"/>
      <c r="G19" s="142"/>
      <c r="H19" s="166"/>
      <c r="I19" s="166"/>
      <c r="J19" s="166"/>
      <c r="L19" t="s">
        <v>740</v>
      </c>
      <c r="M19" s="74">
        <v>7600.9</v>
      </c>
      <c r="N19" s="74">
        <v>9611.26</v>
      </c>
      <c r="O19" s="74">
        <v>10590.94</v>
      </c>
      <c r="P19" s="74">
        <v>10589.06</v>
      </c>
      <c r="R19">
        <f t="shared" si="0"/>
        <v>2017.6666666666661</v>
      </c>
      <c r="S19" s="23">
        <f t="shared" si="13"/>
        <v>10037.959999999999</v>
      </c>
      <c r="U19">
        <f>Reykjavík!$C$6</f>
        <v>0.57534034278851043</v>
      </c>
      <c r="V19">
        <f>Reykjavík!$C$9</f>
        <v>0.36776833919461094</v>
      </c>
      <c r="W19" s="812">
        <v>1998</v>
      </c>
      <c r="X19">
        <v>77.340999999999994</v>
      </c>
      <c r="Y19">
        <v>1.9708585820199129</v>
      </c>
      <c r="Z19">
        <v>1.5586041685799217</v>
      </c>
      <c r="AA19">
        <v>43.640916720237804</v>
      </c>
      <c r="AB19">
        <f t="shared" si="18"/>
        <v>0.56426625877914438</v>
      </c>
      <c r="AC19">
        <v>0.23907617248666663</v>
      </c>
      <c r="AD19" s="95">
        <f t="shared" si="24"/>
        <v>0.12130559476349637</v>
      </c>
      <c r="AE19">
        <f t="shared" si="19"/>
        <v>43640.916720237801</v>
      </c>
      <c r="AF19">
        <f t="shared" si="14"/>
        <v>44497.397451606186</v>
      </c>
      <c r="AG19">
        <f t="shared" si="15"/>
        <v>25108.379985426454</v>
      </c>
      <c r="AM19" s="812">
        <v>1998</v>
      </c>
      <c r="AN19">
        <v>0</v>
      </c>
      <c r="AO19">
        <f t="shared" si="1"/>
        <v>0</v>
      </c>
      <c r="AQ19">
        <f t="shared" si="2"/>
        <v>0</v>
      </c>
      <c r="AR19">
        <f t="shared" si="3"/>
        <v>0</v>
      </c>
      <c r="AS19">
        <v>0</v>
      </c>
      <c r="AT19">
        <f t="shared" si="4"/>
        <v>0</v>
      </c>
      <c r="AV19">
        <f t="shared" si="5"/>
        <v>0</v>
      </c>
      <c r="AX19">
        <f t="shared" si="6"/>
        <v>0</v>
      </c>
      <c r="AY19">
        <f t="shared" si="16"/>
        <v>0</v>
      </c>
      <c r="BA19">
        <f t="shared" si="17"/>
        <v>0</v>
      </c>
      <c r="BB19">
        <f t="shared" si="7"/>
        <v>0</v>
      </c>
      <c r="BC19">
        <f t="shared" si="8"/>
        <v>0</v>
      </c>
      <c r="BD19" s="812">
        <v>1998</v>
      </c>
      <c r="BE19">
        <f t="shared" si="9"/>
        <v>0</v>
      </c>
      <c r="BF19">
        <f t="shared" si="10"/>
        <v>0</v>
      </c>
      <c r="BG19">
        <f t="shared" si="11"/>
        <v>0</v>
      </c>
      <c r="BH19">
        <f t="shared" si="12"/>
        <v>0</v>
      </c>
      <c r="BJ19" s="545" t="s">
        <v>1082</v>
      </c>
      <c r="BK19" s="545"/>
      <c r="BL19" s="540">
        <v>5074528</v>
      </c>
      <c r="BM19" s="545">
        <v>4369417</v>
      </c>
      <c r="BN19" s="545">
        <v>4195415</v>
      </c>
      <c r="BO19" s="541">
        <v>5003914</v>
      </c>
      <c r="BP19" s="469">
        <v>5792899</v>
      </c>
      <c r="BQ19" s="462">
        <v>5511816</v>
      </c>
      <c r="BR19" s="470">
        <v>5062161</v>
      </c>
      <c r="BS19" s="471">
        <v>5479655</v>
      </c>
      <c r="BT19" s="471">
        <v>2825392</v>
      </c>
      <c r="BW19" s="22" t="s">
        <v>1079</v>
      </c>
      <c r="CE19">
        <f>CE18*CF10</f>
        <v>56.7</v>
      </c>
      <c r="CF19">
        <f>CF18*$CF$10</f>
        <v>486</v>
      </c>
      <c r="CG19">
        <f>CG18*$CF$10</f>
        <v>726.19200000000001</v>
      </c>
      <c r="CH19">
        <f>CH18*$CF$10</f>
        <v>803.27700000000004</v>
      </c>
      <c r="CI19">
        <f>CI18*$CF$10</f>
        <v>518.50800000000004</v>
      </c>
      <c r="CK19">
        <f>CE18*Reykjavík!H6</f>
        <v>1176.2308795411091</v>
      </c>
      <c r="CL19">
        <f>CF18*Reykjavík!I6</f>
        <v>10090.928111868603</v>
      </c>
    </row>
    <row r="20" spans="1:91" ht="14.4" thickBot="1" x14ac:dyDescent="0.3">
      <c r="A20" s="981"/>
      <c r="B20" s="159" t="s">
        <v>756</v>
      </c>
      <c r="C20" s="160"/>
      <c r="D20" s="161"/>
      <c r="E20" s="163">
        <f>SUM(C10:C20)</f>
        <v>0</v>
      </c>
      <c r="F20" s="452"/>
      <c r="G20" s="142"/>
      <c r="H20" s="166"/>
      <c r="I20" s="166"/>
      <c r="J20" s="166"/>
      <c r="L20" t="s">
        <v>752</v>
      </c>
      <c r="M20" s="74">
        <v>6408.64</v>
      </c>
      <c r="N20" s="74">
        <v>8938.94</v>
      </c>
      <c r="O20" s="74">
        <v>10329.120000000001</v>
      </c>
      <c r="P20" s="74">
        <v>11116.02</v>
      </c>
      <c r="R20">
        <f t="shared" si="0"/>
        <v>2017.7499999999993</v>
      </c>
      <c r="S20" s="23">
        <f t="shared" si="13"/>
        <v>10419.18</v>
      </c>
      <c r="U20">
        <f>Reykjavík!$C$6</f>
        <v>0.57534034278851043</v>
      </c>
      <c r="V20">
        <f>Reykjavík!$C$9</f>
        <v>0.36776833919461094</v>
      </c>
      <c r="W20" s="812">
        <v>1999</v>
      </c>
      <c r="X20">
        <v>81.984999999999999</v>
      </c>
      <c r="Y20">
        <v>2.2018818149258133</v>
      </c>
      <c r="Z20">
        <v>1.7357867131612321</v>
      </c>
      <c r="AA20">
        <v>48.602027968514498</v>
      </c>
      <c r="AB20">
        <f t="shared" si="18"/>
        <v>0.59281610012215036</v>
      </c>
      <c r="AC20">
        <v>0.27322991141333325</v>
      </c>
      <c r="AD20" s="95">
        <f t="shared" si="24"/>
        <v>0.12408927198598942</v>
      </c>
      <c r="AE20">
        <f t="shared" si="19"/>
        <v>48602.0279685145</v>
      </c>
      <c r="AF20">
        <f t="shared" si="14"/>
        <v>47169.278003516025</v>
      </c>
      <c r="AG20">
        <f t="shared" si="15"/>
        <v>27962.707431621904</v>
      </c>
      <c r="AM20" s="812">
        <v>1999</v>
      </c>
      <c r="AN20">
        <v>0</v>
      </c>
      <c r="AO20">
        <f t="shared" si="1"/>
        <v>0</v>
      </c>
      <c r="AQ20">
        <f t="shared" si="2"/>
        <v>0</v>
      </c>
      <c r="AR20">
        <f t="shared" si="3"/>
        <v>0</v>
      </c>
      <c r="AS20">
        <v>0</v>
      </c>
      <c r="AT20">
        <f t="shared" si="4"/>
        <v>0</v>
      </c>
      <c r="AV20">
        <f t="shared" si="5"/>
        <v>0</v>
      </c>
      <c r="AX20">
        <f t="shared" si="6"/>
        <v>0</v>
      </c>
      <c r="AY20">
        <f t="shared" si="16"/>
        <v>0</v>
      </c>
      <c r="BA20">
        <f t="shared" si="17"/>
        <v>0</v>
      </c>
      <c r="BB20">
        <f t="shared" si="7"/>
        <v>0</v>
      </c>
      <c r="BC20">
        <f t="shared" si="8"/>
        <v>0</v>
      </c>
      <c r="BD20" s="812">
        <v>1999</v>
      </c>
      <c r="BE20">
        <f t="shared" si="9"/>
        <v>0</v>
      </c>
      <c r="BF20">
        <f t="shared" si="10"/>
        <v>0</v>
      </c>
      <c r="BG20">
        <f t="shared" si="11"/>
        <v>0</v>
      </c>
      <c r="BH20">
        <f t="shared" si="12"/>
        <v>0</v>
      </c>
      <c r="BJ20" s="535" t="s">
        <v>1083</v>
      </c>
      <c r="BK20" s="535"/>
      <c r="BL20" s="535"/>
      <c r="BM20" s="535"/>
      <c r="BN20" s="535"/>
      <c r="BO20" s="541">
        <v>15150</v>
      </c>
      <c r="BP20" s="535"/>
      <c r="BQ20" s="536"/>
      <c r="BR20" s="535"/>
      <c r="BS20" s="535"/>
      <c r="BW20" s="22" t="s">
        <v>1084</v>
      </c>
      <c r="BX20">
        <f t="shared" ref="BX20:CC20" si="25">BX13*1.104</f>
        <v>111955.53600000001</v>
      </c>
      <c r="BY20">
        <f t="shared" si="25"/>
        <v>114757.48800000001</v>
      </c>
      <c r="BZ20">
        <f t="shared" si="25"/>
        <v>102508.012944</v>
      </c>
      <c r="CA20">
        <f t="shared" si="25"/>
        <v>115113.57547200001</v>
      </c>
      <c r="CB20">
        <f t="shared" si="25"/>
        <v>135879.70176000003</v>
      </c>
      <c r="CC20">
        <f t="shared" si="25"/>
        <v>135880.80576000002</v>
      </c>
      <c r="CD20">
        <f t="shared" ref="CD20:CI20" si="26">CD13*1.104</f>
        <v>122824.65888000002</v>
      </c>
      <c r="CE20">
        <f t="shared" si="26"/>
        <v>98327.980800000005</v>
      </c>
      <c r="CF20">
        <f t="shared" si="26"/>
        <v>94438.897920000003</v>
      </c>
      <c r="CG20">
        <f t="shared" si="26"/>
        <v>74503.208159999995</v>
      </c>
      <c r="CH20">
        <f t="shared" si="26"/>
        <v>65339.313556319998</v>
      </c>
      <c r="CI20" t="e">
        <f t="shared" si="26"/>
        <v>#REF!</v>
      </c>
      <c r="CK20">
        <f>CE18-CK19</f>
        <v>923.76912045889094</v>
      </c>
      <c r="CL20">
        <f>CF18-CL19</f>
        <v>7909.0718881313969</v>
      </c>
    </row>
    <row r="21" spans="1:91" ht="14.4" thickBot="1" x14ac:dyDescent="0.3">
      <c r="A21" s="982"/>
      <c r="B21" s="167" t="s">
        <v>758</v>
      </c>
      <c r="C21" s="168"/>
      <c r="D21" s="171"/>
      <c r="E21" s="163">
        <f>SUM(C10:C21)</f>
        <v>0</v>
      </c>
      <c r="F21" s="452"/>
      <c r="G21" s="142"/>
      <c r="H21" s="166"/>
      <c r="I21" s="166"/>
      <c r="J21" s="166"/>
      <c r="L21" t="s">
        <v>754</v>
      </c>
      <c r="M21" s="74">
        <v>7314.64</v>
      </c>
      <c r="N21" s="74">
        <v>9020.64</v>
      </c>
      <c r="O21" s="74">
        <v>9486.02</v>
      </c>
      <c r="P21" s="74">
        <v>10037.959999999999</v>
      </c>
      <c r="R21">
        <f t="shared" si="0"/>
        <v>2017.8333333333326</v>
      </c>
      <c r="S21" s="23">
        <f t="shared" si="13"/>
        <v>10267.51</v>
      </c>
      <c r="U21">
        <f>Reykjavík!$C$6</f>
        <v>0.57534034278851043</v>
      </c>
      <c r="V21">
        <f>Reykjavík!$C$9</f>
        <v>0.36776833919461094</v>
      </c>
      <c r="W21" s="812">
        <v>2000</v>
      </c>
      <c r="X21">
        <v>88.29</v>
      </c>
      <c r="Y21">
        <v>2.4330471318425331</v>
      </c>
      <c r="Z21">
        <v>1.8823587683182799</v>
      </c>
      <c r="AA21">
        <v>52.706045512911835</v>
      </c>
      <c r="AB21">
        <f t="shared" si="18"/>
        <v>0.59696506413990069</v>
      </c>
      <c r="AC21">
        <v>0.3415373892666666</v>
      </c>
      <c r="AD21" s="95">
        <f t="shared" si="24"/>
        <v>0.14037434162157897</v>
      </c>
      <c r="AE21">
        <f t="shared" si="19"/>
        <v>52706.045512911835</v>
      </c>
      <c r="AF21">
        <f t="shared" si="14"/>
        <v>50796.798864797587</v>
      </c>
      <c r="AG21">
        <f t="shared" si="15"/>
        <v>30323.914292425528</v>
      </c>
      <c r="AM21" s="812">
        <v>2000</v>
      </c>
      <c r="AN21">
        <v>0</v>
      </c>
      <c r="AO21">
        <f t="shared" si="1"/>
        <v>0</v>
      </c>
      <c r="AQ21">
        <f t="shared" si="2"/>
        <v>0</v>
      </c>
      <c r="AR21">
        <f t="shared" si="3"/>
        <v>0</v>
      </c>
      <c r="AS21">
        <v>0</v>
      </c>
      <c r="AT21">
        <f t="shared" si="4"/>
        <v>0</v>
      </c>
      <c r="AV21">
        <f t="shared" si="5"/>
        <v>0</v>
      </c>
      <c r="AX21">
        <f t="shared" si="6"/>
        <v>0</v>
      </c>
      <c r="AY21">
        <f t="shared" si="16"/>
        <v>0</v>
      </c>
      <c r="BA21">
        <f t="shared" si="17"/>
        <v>0</v>
      </c>
      <c r="BB21">
        <f t="shared" si="7"/>
        <v>0</v>
      </c>
      <c r="BC21">
        <f t="shared" si="8"/>
        <v>0</v>
      </c>
      <c r="BD21" s="812">
        <v>2000</v>
      </c>
      <c r="BE21">
        <f t="shared" si="9"/>
        <v>0</v>
      </c>
      <c r="BF21">
        <f t="shared" si="10"/>
        <v>0</v>
      </c>
      <c r="BG21">
        <f t="shared" si="11"/>
        <v>0</v>
      </c>
      <c r="BH21">
        <f t="shared" si="12"/>
        <v>0</v>
      </c>
      <c r="BJ21" s="535" t="s">
        <v>1085</v>
      </c>
      <c r="BK21" s="535"/>
      <c r="BL21" s="535"/>
      <c r="BM21" s="535"/>
      <c r="BN21" s="535"/>
      <c r="BO21" s="541">
        <v>728441</v>
      </c>
      <c r="BP21" s="535"/>
      <c r="BQ21" s="536"/>
      <c r="BR21" s="535"/>
      <c r="BS21" s="535"/>
      <c r="BW21" s="22" t="s">
        <v>1086</v>
      </c>
      <c r="CG21" t="e">
        <f>#REF!*1000</f>
        <v>#REF!</v>
      </c>
      <c r="CH21" t="e">
        <f>#REF!*1000</f>
        <v>#REF!</v>
      </c>
      <c r="CI21" t="e">
        <f>#REF!*1000</f>
        <v>#REF!</v>
      </c>
    </row>
    <row r="22" spans="1:91" ht="14.4" thickBot="1" x14ac:dyDescent="0.3">
      <c r="A22" s="172" t="s">
        <v>3</v>
      </c>
      <c r="B22" s="173"/>
      <c r="C22" s="174">
        <f>SUM(C10:C21)</f>
        <v>0</v>
      </c>
      <c r="D22" s="449">
        <f>208957*0.499</f>
        <v>104269.54300000001</v>
      </c>
      <c r="E22" s="175">
        <f>E17</f>
        <v>0</v>
      </c>
      <c r="F22" s="453"/>
      <c r="G22" s="176"/>
      <c r="H22" s="177"/>
      <c r="I22" s="177"/>
      <c r="J22" s="177"/>
      <c r="L22" t="s">
        <v>755</v>
      </c>
      <c r="M22" s="74">
        <v>3364.7</v>
      </c>
      <c r="N22" s="74">
        <v>8615.68</v>
      </c>
      <c r="O22" s="74">
        <v>10851.76</v>
      </c>
      <c r="P22" s="74">
        <v>10419.18</v>
      </c>
      <c r="R22">
        <f t="shared" si="0"/>
        <v>2017.9166666666658</v>
      </c>
      <c r="S22" s="23">
        <f t="shared" si="13"/>
        <v>9171.84</v>
      </c>
      <c r="U22">
        <f>Reykjavík!$C$6</f>
        <v>0.57534034278851043</v>
      </c>
      <c r="V22">
        <f>Reykjavík!$C$9</f>
        <v>0.36776833919461094</v>
      </c>
      <c r="W22" s="812">
        <v>2001</v>
      </c>
      <c r="X22">
        <v>107.069</v>
      </c>
      <c r="Y22">
        <v>2.6752502349873954</v>
      </c>
      <c r="Z22">
        <v>2.1003415611486558</v>
      </c>
      <c r="AA22">
        <v>58.809563712162358</v>
      </c>
      <c r="AB22">
        <f t="shared" si="18"/>
        <v>0.54926788997900755</v>
      </c>
      <c r="AC22">
        <v>0.3415373892666666</v>
      </c>
      <c r="AD22" s="95">
        <f t="shared" si="24"/>
        <v>0.12766558611975068</v>
      </c>
      <c r="AE22">
        <f t="shared" si="19"/>
        <v>58809.563712162359</v>
      </c>
      <c r="AF22">
        <f t="shared" si="14"/>
        <v>61601.11516202303</v>
      </c>
      <c r="AG22">
        <f t="shared" si="15"/>
        <v>33835.514545398233</v>
      </c>
      <c r="AM22" s="812">
        <v>2001</v>
      </c>
      <c r="AN22">
        <v>0</v>
      </c>
      <c r="AO22">
        <f t="shared" si="1"/>
        <v>0</v>
      </c>
      <c r="AQ22">
        <f t="shared" si="2"/>
        <v>0</v>
      </c>
      <c r="AR22">
        <f t="shared" si="3"/>
        <v>0</v>
      </c>
      <c r="AS22">
        <v>0</v>
      </c>
      <c r="AT22">
        <f t="shared" si="4"/>
        <v>0</v>
      </c>
      <c r="AV22">
        <f t="shared" si="5"/>
        <v>0</v>
      </c>
      <c r="AX22">
        <f t="shared" si="6"/>
        <v>0</v>
      </c>
      <c r="AY22">
        <f t="shared" si="16"/>
        <v>0</v>
      </c>
      <c r="BA22">
        <f t="shared" si="17"/>
        <v>0</v>
      </c>
      <c r="BB22">
        <f t="shared" si="7"/>
        <v>0</v>
      </c>
      <c r="BC22">
        <f t="shared" si="8"/>
        <v>0</v>
      </c>
      <c r="BD22" s="812">
        <v>2001</v>
      </c>
      <c r="BE22">
        <f t="shared" si="9"/>
        <v>0</v>
      </c>
      <c r="BF22">
        <f t="shared" si="10"/>
        <v>0</v>
      </c>
      <c r="BG22">
        <f t="shared" si="11"/>
        <v>0</v>
      </c>
      <c r="BH22">
        <f t="shared" si="12"/>
        <v>0</v>
      </c>
      <c r="BJ22" s="546" t="s">
        <v>1087</v>
      </c>
      <c r="BK22" s="705"/>
      <c r="BL22" s="705">
        <f>SUM(BL16:BL19)</f>
        <v>20571550</v>
      </c>
      <c r="BM22" s="705">
        <v>19442605</v>
      </c>
      <c r="BN22" s="705">
        <v>18344662</v>
      </c>
      <c r="BO22" s="528">
        <v>18959352</v>
      </c>
      <c r="BP22" s="472">
        <v>18904053</v>
      </c>
      <c r="BQ22" s="465">
        <v>18436607</v>
      </c>
      <c r="BR22" s="473">
        <v>18331949</v>
      </c>
      <c r="BS22" s="474">
        <v>18532268</v>
      </c>
      <c r="BT22" s="474">
        <v>14662686</v>
      </c>
      <c r="BW22" s="22"/>
      <c r="BX22" s="22">
        <v>2011</v>
      </c>
      <c r="BY22" s="22">
        <v>2013</v>
      </c>
      <c r="BZ22" s="22">
        <v>2015</v>
      </c>
      <c r="CA22" s="22">
        <v>2016</v>
      </c>
      <c r="CB22" s="22">
        <v>2017</v>
      </c>
      <c r="CC22" s="22">
        <v>2018</v>
      </c>
      <c r="CD22" s="22">
        <v>2019</v>
      </c>
      <c r="CE22" s="22">
        <v>2020</v>
      </c>
      <c r="CF22" s="22">
        <v>2021</v>
      </c>
      <c r="CG22" s="22">
        <v>2022</v>
      </c>
      <c r="CK22">
        <f>CE19*Reykjavík!H6</f>
        <v>31.758233747609946</v>
      </c>
      <c r="CL22">
        <f>CF19*Reykjavík!I6</f>
        <v>272.45505902045227</v>
      </c>
    </row>
    <row r="23" spans="1:91" ht="14.4" thickBot="1" x14ac:dyDescent="0.3">
      <c r="A23" s="981">
        <v>2017</v>
      </c>
      <c r="B23" s="151" t="s">
        <v>710</v>
      </c>
      <c r="C23" s="152">
        <v>9458.02</v>
      </c>
      <c r="D23" s="153"/>
      <c r="E23" s="155">
        <f>C23</f>
        <v>9458.02</v>
      </c>
      <c r="F23" s="454"/>
      <c r="G23" s="983" t="str">
        <f>"Milli áranna "&amp; A10&amp;" og "&amp; A23</f>
        <v>Milli áranna 2016 og 2017</v>
      </c>
      <c r="H23" s="178" t="e">
        <f t="shared" ref="H23:H54" si="27">(C23-C10)/C10</f>
        <v>#DIV/0!</v>
      </c>
      <c r="I23" s="179" t="e">
        <f t="shared" ref="I23:I38" si="28">(E23-E10)/E10</f>
        <v>#DIV/0!</v>
      </c>
      <c r="J23" s="179" t="e">
        <f>(#REF!-#REF!)/#REF!</f>
        <v>#REF!</v>
      </c>
      <c r="L23" t="s">
        <v>756</v>
      </c>
      <c r="M23" s="74">
        <f>M22/N22*N23</f>
        <v>2898.3655644127912</v>
      </c>
      <c r="N23" s="74">
        <v>7421.58</v>
      </c>
      <c r="O23" s="74">
        <v>9454.1200000000008</v>
      </c>
      <c r="P23" s="74">
        <v>10267.51</v>
      </c>
      <c r="R23">
        <f t="shared" si="0"/>
        <v>2017.9999999999991</v>
      </c>
      <c r="S23" s="23">
        <f t="shared" ref="S23:S34" si="29">O13</f>
        <v>10796.84</v>
      </c>
      <c r="U23">
        <f>Reykjavík!$C$6</f>
        <v>0.57534034278851043</v>
      </c>
      <c r="V23">
        <f>Reykjavík!$C$9</f>
        <v>0.36776833919461094</v>
      </c>
      <c r="W23" s="812">
        <v>2002</v>
      </c>
      <c r="X23">
        <v>106.489</v>
      </c>
      <c r="Y23">
        <v>3.0074177519745344</v>
      </c>
      <c r="Z23">
        <v>2.2198995394948531</v>
      </c>
      <c r="AA23">
        <v>62.157187105855883</v>
      </c>
      <c r="AB23">
        <f t="shared" si="18"/>
        <v>0.58369584751341341</v>
      </c>
      <c r="AC23">
        <v>0.54086270809136439</v>
      </c>
      <c r="AD23" s="95">
        <f t="shared" si="24"/>
        <v>0.17984289270629542</v>
      </c>
      <c r="AE23">
        <f t="shared" si="19"/>
        <v>62157.187105855883</v>
      </c>
      <c r="AF23">
        <f t="shared" si="14"/>
        <v>61267.417763205689</v>
      </c>
      <c r="AG23">
        <f t="shared" si="15"/>
        <v>35761.537336252703</v>
      </c>
      <c r="AM23" s="812">
        <v>2002</v>
      </c>
      <c r="AN23">
        <v>0</v>
      </c>
      <c r="AO23">
        <f t="shared" si="1"/>
        <v>0</v>
      </c>
      <c r="AQ23">
        <f t="shared" si="2"/>
        <v>0</v>
      </c>
      <c r="AR23">
        <f t="shared" si="3"/>
        <v>0</v>
      </c>
      <c r="AS23">
        <v>0</v>
      </c>
      <c r="AT23">
        <f t="shared" si="4"/>
        <v>0</v>
      </c>
      <c r="AV23">
        <f t="shared" si="5"/>
        <v>0</v>
      </c>
      <c r="AX23">
        <f t="shared" si="6"/>
        <v>0</v>
      </c>
      <c r="AY23">
        <f t="shared" si="16"/>
        <v>0</v>
      </c>
      <c r="BA23">
        <f t="shared" si="17"/>
        <v>0</v>
      </c>
      <c r="BB23">
        <f t="shared" si="7"/>
        <v>0</v>
      </c>
      <c r="BC23">
        <f t="shared" si="8"/>
        <v>0</v>
      </c>
      <c r="BD23" s="812">
        <v>2002</v>
      </c>
      <c r="BE23">
        <f t="shared" si="9"/>
        <v>0</v>
      </c>
      <c r="BF23">
        <f t="shared" si="10"/>
        <v>0</v>
      </c>
      <c r="BG23">
        <f t="shared" si="11"/>
        <v>0</v>
      </c>
      <c r="BH23">
        <f t="shared" si="12"/>
        <v>0</v>
      </c>
      <c r="BJ23" s="540" t="s">
        <v>290</v>
      </c>
      <c r="BK23" s="540">
        <v>12993410</v>
      </c>
      <c r="BL23" s="540">
        <v>12134988</v>
      </c>
      <c r="BM23" s="540">
        <v>11520000</v>
      </c>
      <c r="BN23" s="540">
        <v>11780000</v>
      </c>
      <c r="BO23" s="468">
        <v>12646135</v>
      </c>
      <c r="BP23" s="468">
        <v>11023463</v>
      </c>
      <c r="BQ23" s="463">
        <v>10549953</v>
      </c>
      <c r="BR23" s="467">
        <v>11479101</v>
      </c>
      <c r="BS23" s="468">
        <v>11529789</v>
      </c>
      <c r="BT23" s="468">
        <v>11019040</v>
      </c>
      <c r="BW23" s="22" t="s">
        <v>1071</v>
      </c>
      <c r="BX23" s="22">
        <f>BX13*Reykjavík!$C$6</f>
        <v>58344.688821840056</v>
      </c>
      <c r="BY23" s="22">
        <f>BY13*Reykjavík!$C$6</f>
        <v>59804.902611837293</v>
      </c>
      <c r="BZ23" s="22">
        <f>BZ13*Reykjavík!$C$6</f>
        <v>53421.191400154006</v>
      </c>
      <c r="CA23" s="22">
        <f>CA13*Reykjavík!D$6</f>
        <v>59616.157947046471</v>
      </c>
      <c r="CB23" s="22">
        <f>CB13*Reykjavík!E$6</f>
        <v>69830.387235629212</v>
      </c>
      <c r="CC23" s="22">
        <f>CC13*Reykjavík!F$6</f>
        <v>69584.72274936871</v>
      </c>
      <c r="CD23" s="22">
        <f>CD13*Reykjavík!G$6</f>
        <v>62612.589200351962</v>
      </c>
      <c r="CE23" s="22">
        <f>CE13*Reykjavík!H$6</f>
        <v>49886.304063097516</v>
      </c>
      <c r="CF23" s="83">
        <f>CF13*Reykjavík!I$6</f>
        <v>47955.723121719871</v>
      </c>
      <c r="CG23" s="83">
        <f>CG13*Reykjavík!J$6</f>
        <v>37816.307692393479</v>
      </c>
      <c r="CH23" s="83">
        <f>CH13*Reykjavík!N$6</f>
        <v>0</v>
      </c>
      <c r="CI23" s="83"/>
      <c r="CK23">
        <f>CE19-CK22</f>
        <v>24.941766252390057</v>
      </c>
      <c r="CL23">
        <f>CF19-CL22</f>
        <v>213.54494097954773</v>
      </c>
    </row>
    <row r="24" spans="1:91" ht="14.4" thickBot="1" x14ac:dyDescent="0.3">
      <c r="A24" s="981"/>
      <c r="B24" s="159" t="s">
        <v>715</v>
      </c>
      <c r="C24" s="160">
        <v>8619.6</v>
      </c>
      <c r="D24" s="161"/>
      <c r="E24" s="163">
        <f>SUM(C23:C24)</f>
        <v>18077.620000000003</v>
      </c>
      <c r="F24" s="455"/>
      <c r="G24" s="984"/>
      <c r="H24" s="180" t="e">
        <f t="shared" si="27"/>
        <v>#DIV/0!</v>
      </c>
      <c r="I24" s="183" t="e">
        <f t="shared" si="28"/>
        <v>#DIV/0!</v>
      </c>
      <c r="J24" s="183" t="e">
        <f>(#REF!-#REF!)/#REF!</f>
        <v>#REF!</v>
      </c>
      <c r="L24" t="s">
        <v>758</v>
      </c>
      <c r="M24" s="74">
        <f>M22/N22*N24</f>
        <v>2893.9213085908477</v>
      </c>
      <c r="N24" s="74">
        <v>7410.2</v>
      </c>
      <c r="O24" s="74">
        <v>8887.74</v>
      </c>
      <c r="P24" s="74">
        <v>9171.84</v>
      </c>
      <c r="R24">
        <f t="shared" si="0"/>
        <v>2018.0833333333323</v>
      </c>
      <c r="S24" s="23">
        <f t="shared" si="29"/>
        <v>9341.42</v>
      </c>
      <c r="U24">
        <f>Reykjavík!$C$6</f>
        <v>0.57534034278851043</v>
      </c>
      <c r="V24">
        <f>Reykjavík!$C$9</f>
        <v>0.36776833919461094</v>
      </c>
      <c r="W24" s="812">
        <v>2003</v>
      </c>
      <c r="X24">
        <v>108.85599999999999</v>
      </c>
      <c r="Y24">
        <v>3.2923944598472996</v>
      </c>
      <c r="Z24">
        <v>2.3214842665702116</v>
      </c>
      <c r="AA24">
        <v>65.001559463965918</v>
      </c>
      <c r="AB24">
        <f t="shared" si="18"/>
        <v>0.59713345579449839</v>
      </c>
      <c r="AC24">
        <v>0.71296749699150896</v>
      </c>
      <c r="AD24" s="95">
        <f t="shared" si="24"/>
        <v>0.21654984106144323</v>
      </c>
      <c r="AE24">
        <f t="shared" si="19"/>
        <v>65001.559463965918</v>
      </c>
      <c r="AF24">
        <f t="shared" si="14"/>
        <v>62629.248354586089</v>
      </c>
      <c r="AG24">
        <f t="shared" si="15"/>
        <v>37398.019503785894</v>
      </c>
      <c r="AM24" s="812">
        <v>2003</v>
      </c>
      <c r="AN24">
        <v>0</v>
      </c>
      <c r="AO24">
        <f t="shared" si="1"/>
        <v>0</v>
      </c>
      <c r="AQ24">
        <f t="shared" si="2"/>
        <v>0</v>
      </c>
      <c r="AR24">
        <f t="shared" si="3"/>
        <v>0</v>
      </c>
      <c r="AS24">
        <v>0</v>
      </c>
      <c r="AT24">
        <f t="shared" si="4"/>
        <v>0</v>
      </c>
      <c r="AV24">
        <f t="shared" si="5"/>
        <v>0</v>
      </c>
      <c r="AX24">
        <f t="shared" si="6"/>
        <v>0</v>
      </c>
      <c r="AY24">
        <f t="shared" si="16"/>
        <v>0</v>
      </c>
      <c r="BA24">
        <f t="shared" si="17"/>
        <v>0</v>
      </c>
      <c r="BB24">
        <f t="shared" si="7"/>
        <v>0</v>
      </c>
      <c r="BC24">
        <f t="shared" si="8"/>
        <v>0</v>
      </c>
      <c r="BD24" s="812">
        <v>2003</v>
      </c>
      <c r="BE24">
        <f t="shared" si="9"/>
        <v>0</v>
      </c>
      <c r="BF24">
        <f t="shared" si="10"/>
        <v>0</v>
      </c>
      <c r="BG24">
        <f t="shared" si="11"/>
        <v>0</v>
      </c>
      <c r="BH24">
        <f t="shared" si="12"/>
        <v>0</v>
      </c>
      <c r="BJ24" s="540" t="s">
        <v>1088</v>
      </c>
      <c r="BK24" s="540">
        <v>3036060</v>
      </c>
      <c r="BL24" s="540">
        <v>4891370</v>
      </c>
      <c r="BM24" s="540">
        <v>4714840</v>
      </c>
      <c r="BN24" s="540">
        <v>4972884</v>
      </c>
      <c r="BO24" s="468">
        <v>1952969</v>
      </c>
      <c r="BP24" s="468">
        <v>4030708</v>
      </c>
      <c r="BQ24" s="463">
        <v>3709166</v>
      </c>
      <c r="BR24" s="467">
        <v>4817544</v>
      </c>
      <c r="BS24" s="468">
        <v>4979817</v>
      </c>
      <c r="BT24" s="468">
        <v>2042284</v>
      </c>
      <c r="BW24" s="22" t="s">
        <v>1072</v>
      </c>
      <c r="BX24" s="22">
        <f>BX14*Reykjavík!$C$6</f>
        <v>2674.6795329139923</v>
      </c>
      <c r="BY24" s="22">
        <f>BY14*Reykjavík!$C$6</f>
        <v>2741.6197123313591</v>
      </c>
      <c r="BZ24" s="22">
        <f>BZ14*Reykjavík!$C$6</f>
        <v>2448.9729938946425</v>
      </c>
      <c r="CA24" s="22">
        <f>CA14*Reykjavík!D$6</f>
        <v>2732.9671425421143</v>
      </c>
      <c r="CB24" s="22">
        <f>CB14*Reykjavík!E$6</f>
        <v>3201.2152483137634</v>
      </c>
      <c r="CC24" s="22">
        <f>CC14*Reykjavík!F$6</f>
        <v>3189.9533187939883</v>
      </c>
      <c r="CD24" s="22">
        <f>CD14*Reykjavík!G$6</f>
        <v>2870.3317168819126</v>
      </c>
      <c r="CE24" s="22">
        <f>CE14*Reykjavík!H$6</f>
        <v>2286.9241253086352</v>
      </c>
      <c r="CF24" s="22">
        <f>CF14*Reykjavík!I$6</f>
        <v>2198.4210338566554</v>
      </c>
      <c r="CG24" s="22">
        <f>CG14*Reykjavík!J$6</f>
        <v>1733.6025992713983</v>
      </c>
    </row>
    <row r="25" spans="1:91" ht="14.4" thickBot="1" x14ac:dyDescent="0.3">
      <c r="A25" s="981"/>
      <c r="B25" s="159" t="s">
        <v>718</v>
      </c>
      <c r="C25" s="160">
        <v>9934</v>
      </c>
      <c r="D25" s="161"/>
      <c r="E25" s="163">
        <f>SUM(C23:C25)</f>
        <v>28011.620000000003</v>
      </c>
      <c r="F25" s="455"/>
      <c r="G25" s="984"/>
      <c r="H25" s="180" t="e">
        <f t="shared" si="27"/>
        <v>#DIV/0!</v>
      </c>
      <c r="I25" s="183" t="e">
        <f t="shared" si="28"/>
        <v>#DIV/0!</v>
      </c>
      <c r="J25" s="183" t="e">
        <f>(#REF!-#REF!)/#REF!</f>
        <v>#REF!</v>
      </c>
      <c r="M25" s="74">
        <f>SUM(M13:M24)</f>
        <v>73573.146873003629</v>
      </c>
      <c r="N25" s="74">
        <f>SUM(N13:N24)</f>
        <v>107068.79000000001</v>
      </c>
      <c r="O25" s="74">
        <f>SUM(O13:O24)</f>
        <v>119865.34999999999</v>
      </c>
      <c r="P25" s="74">
        <f>SUM(P13:P24)</f>
        <v>119197.95</v>
      </c>
      <c r="R25">
        <f t="shared" si="0"/>
        <v>2018.1666666666656</v>
      </c>
      <c r="S25" s="23">
        <f t="shared" si="29"/>
        <v>9466.7000000000007</v>
      </c>
      <c r="U25">
        <f>Reykjavík!$C$6</f>
        <v>0.57534034278851043</v>
      </c>
      <c r="V25">
        <f>Reykjavík!$C$9</f>
        <v>0.36776833919461094</v>
      </c>
      <c r="W25" s="812">
        <v>2004</v>
      </c>
      <c r="X25">
        <v>116.24</v>
      </c>
      <c r="Y25">
        <v>3.5562291776102342</v>
      </c>
      <c r="Z25">
        <v>2.5887904569797757</v>
      </c>
      <c r="AA25">
        <v>72.486132795433718</v>
      </c>
      <c r="AB25">
        <f t="shared" si="18"/>
        <v>0.62359026837090259</v>
      </c>
      <c r="AC25">
        <v>0.67979533652159463</v>
      </c>
      <c r="AD25" s="95">
        <f t="shared" si="24"/>
        <v>0.19115622266459589</v>
      </c>
      <c r="AE25">
        <f t="shared" si="19"/>
        <v>72486.132795433718</v>
      </c>
      <c r="AF25">
        <f t="shared" si="14"/>
        <v>66877.561445736443</v>
      </c>
      <c r="AG25">
        <f t="shared" si="15"/>
        <v>41704.196489938324</v>
      </c>
      <c r="AM25" s="812">
        <v>2004</v>
      </c>
      <c r="AN25">
        <v>0</v>
      </c>
      <c r="AO25">
        <f t="shared" si="1"/>
        <v>0</v>
      </c>
      <c r="AQ25">
        <f t="shared" si="2"/>
        <v>0</v>
      </c>
      <c r="AR25">
        <f t="shared" si="3"/>
        <v>0</v>
      </c>
      <c r="AS25">
        <v>0</v>
      </c>
      <c r="AT25">
        <f t="shared" si="4"/>
        <v>0</v>
      </c>
      <c r="AV25">
        <f t="shared" si="5"/>
        <v>0</v>
      </c>
      <c r="AX25">
        <f t="shared" si="6"/>
        <v>0</v>
      </c>
      <c r="AY25">
        <f t="shared" si="16"/>
        <v>0</v>
      </c>
      <c r="BA25">
        <f t="shared" si="17"/>
        <v>0</v>
      </c>
      <c r="BB25">
        <f t="shared" si="7"/>
        <v>0</v>
      </c>
      <c r="BC25">
        <f t="shared" si="8"/>
        <v>0</v>
      </c>
      <c r="BD25" s="812">
        <v>2004</v>
      </c>
      <c r="BE25">
        <f t="shared" si="9"/>
        <v>0</v>
      </c>
      <c r="BF25">
        <f t="shared" si="10"/>
        <v>0</v>
      </c>
      <c r="BG25">
        <f t="shared" si="11"/>
        <v>0</v>
      </c>
      <c r="BH25">
        <f t="shared" si="12"/>
        <v>0</v>
      </c>
      <c r="BJ25" s="545" t="s">
        <v>1089</v>
      </c>
      <c r="BK25" s="545">
        <v>7970435</v>
      </c>
      <c r="BL25" s="545">
        <v>5656049</v>
      </c>
      <c r="BM25" s="545">
        <v>4840908</v>
      </c>
      <c r="BN25" s="545">
        <v>3473408</v>
      </c>
      <c r="BO25" s="541">
        <v>3374648</v>
      </c>
      <c r="BP25" s="469">
        <v>3849882</v>
      </c>
      <c r="BQ25" s="462">
        <v>3422418</v>
      </c>
      <c r="BR25" s="470">
        <v>2035304</v>
      </c>
      <c r="BS25" s="471">
        <v>2022662</v>
      </c>
      <c r="BT25" s="471">
        <v>1601362</v>
      </c>
      <c r="BW25" s="22" t="s">
        <v>1075</v>
      </c>
      <c r="BX25" s="22">
        <f>BX15*Reykjavík!$C$6</f>
        <v>1007.2014977500389</v>
      </c>
      <c r="BY25" s="22">
        <f>BY15*Reykjavík!$C$6</f>
        <v>1032.4090966938172</v>
      </c>
      <c r="BZ25" s="22">
        <f>BZ15*Reykjavík!$C$6</f>
        <v>922.20740355865189</v>
      </c>
      <c r="CA25" s="22">
        <f>CA15*Reykjavík!D$6</f>
        <v>1029.1508068150222</v>
      </c>
      <c r="CB25" s="22">
        <f>CB15*Reykjavík!E$6</f>
        <v>1205.47854539012</v>
      </c>
      <c r="CC25" s="22">
        <f>CC15*Reykjavík!F$6</f>
        <v>1201.2376514286982</v>
      </c>
      <c r="CD25" s="22">
        <f>CD15*Reykjavík!G$6</f>
        <v>1080.8780523823102</v>
      </c>
      <c r="CE25" s="22">
        <f>CE15*Reykjavík!H$6</f>
        <v>861.18481706182911</v>
      </c>
      <c r="CF25" s="22">
        <f>CF15*Reykjavík!I$6</f>
        <v>827.85729308409623</v>
      </c>
      <c r="CG25" s="22">
        <f>CG15*Reykjavík!J$6</f>
        <v>652.8210624871374</v>
      </c>
    </row>
    <row r="26" spans="1:91" ht="14.4" thickBot="1" x14ac:dyDescent="0.3">
      <c r="A26" s="981"/>
      <c r="B26" s="159" t="s">
        <v>725</v>
      </c>
      <c r="C26" s="160">
        <v>8256.6</v>
      </c>
      <c r="D26" s="161"/>
      <c r="E26" s="163">
        <f>SUM(C23:C26)</f>
        <v>36268.22</v>
      </c>
      <c r="F26" s="455"/>
      <c r="G26" s="984"/>
      <c r="H26" s="180" t="e">
        <f>(C26-C13)/C13</f>
        <v>#DIV/0!</v>
      </c>
      <c r="I26" s="183" t="e">
        <f t="shared" si="28"/>
        <v>#DIV/0!</v>
      </c>
      <c r="J26" s="183" t="e">
        <f>(#REF!-#REF!)/#REF!</f>
        <v>#REF!</v>
      </c>
      <c r="R26">
        <f t="shared" si="0"/>
        <v>2018.2499999999989</v>
      </c>
      <c r="S26" s="23">
        <f>O16</f>
        <v>9656.73</v>
      </c>
      <c r="U26">
        <f>Reykjavík!$C$6</f>
        <v>0.57534034278851043</v>
      </c>
      <c r="V26">
        <f>Reykjavík!$C$9</f>
        <v>0.36776833919461094</v>
      </c>
      <c r="W26" s="812">
        <v>2005</v>
      </c>
      <c r="X26">
        <v>127.803</v>
      </c>
      <c r="Y26">
        <v>3.8344647872560418</v>
      </c>
      <c r="Z26">
        <v>2.3889125076741324</v>
      </c>
      <c r="AA26">
        <v>66.889550214875712</v>
      </c>
      <c r="AB26">
        <f t="shared" si="18"/>
        <v>0.52338012577854753</v>
      </c>
      <c r="AC26">
        <v>1.1801175565070059</v>
      </c>
      <c r="AD26" s="95">
        <f t="shared" si="24"/>
        <v>0.30776591310191759</v>
      </c>
      <c r="AE26">
        <f t="shared" si="19"/>
        <v>66889.550214875708</v>
      </c>
      <c r="AF26">
        <f t="shared" si="14"/>
        <v>73530.22182939999</v>
      </c>
      <c r="AG26">
        <f t="shared" si="15"/>
        <v>38484.256749595872</v>
      </c>
      <c r="AM26" s="812">
        <v>2005</v>
      </c>
      <c r="AN26">
        <v>0</v>
      </c>
      <c r="AO26">
        <f t="shared" si="1"/>
        <v>0</v>
      </c>
      <c r="AQ26">
        <f t="shared" si="2"/>
        <v>0</v>
      </c>
      <c r="AR26">
        <f t="shared" si="3"/>
        <v>0</v>
      </c>
      <c r="AS26">
        <v>0</v>
      </c>
      <c r="AT26">
        <f t="shared" si="4"/>
        <v>0</v>
      </c>
      <c r="AV26">
        <f t="shared" si="5"/>
        <v>0</v>
      </c>
      <c r="AX26">
        <f t="shared" si="6"/>
        <v>0</v>
      </c>
      <c r="AY26">
        <f t="shared" si="16"/>
        <v>0</v>
      </c>
      <c r="BA26">
        <f t="shared" si="17"/>
        <v>0</v>
      </c>
      <c r="BB26">
        <f t="shared" si="7"/>
        <v>0</v>
      </c>
      <c r="BC26">
        <f t="shared" si="8"/>
        <v>0</v>
      </c>
      <c r="BD26" s="812">
        <v>2005</v>
      </c>
      <c r="BE26">
        <f t="shared" si="9"/>
        <v>0</v>
      </c>
      <c r="BF26">
        <f t="shared" si="10"/>
        <v>0</v>
      </c>
      <c r="BG26">
        <f t="shared" si="11"/>
        <v>0</v>
      </c>
      <c r="BH26">
        <f t="shared" si="12"/>
        <v>0</v>
      </c>
      <c r="BJ26" s="535" t="s">
        <v>1090</v>
      </c>
      <c r="BK26" s="706"/>
      <c r="BL26" s="706"/>
      <c r="BM26" s="706"/>
      <c r="BN26" s="706"/>
      <c r="BO26" s="542">
        <v>1398060</v>
      </c>
      <c r="BP26" s="535"/>
      <c r="BQ26" s="536"/>
      <c r="BR26" s="535"/>
      <c r="BS26" s="535"/>
      <c r="BW26" s="22" t="s">
        <v>1077</v>
      </c>
      <c r="BX26" s="22">
        <f>BX16*Reykjavík!$C$6</f>
        <v>2188.3741632932665</v>
      </c>
      <c r="BY26" s="22">
        <f>BY16*Reykjavík!$C$6</f>
        <v>2243.1434009983845</v>
      </c>
      <c r="BZ26" s="22">
        <f>BZ16*Reykjavík!$C$6</f>
        <v>2003.7051768228894</v>
      </c>
      <c r="CA26" s="22">
        <f>CA16*Reykjavík!D$6</f>
        <v>2236.0640257162754</v>
      </c>
      <c r="CB26" s="22">
        <f>CB16*Reykjavík!E$6</f>
        <v>2619.1761122567154</v>
      </c>
      <c r="CC26" s="22">
        <f>CC16*Reykjavík!F$6</f>
        <v>2609.9618062859904</v>
      </c>
      <c r="CD26" s="22">
        <f>CD16*Reykjavík!G$6</f>
        <v>2348.453222903383</v>
      </c>
      <c r="CE26" s="22">
        <f>CE16*Reykjavík!H$6</f>
        <v>1871.1197388888831</v>
      </c>
      <c r="CF26" s="22">
        <f>CF16*Reykjavík!I$6</f>
        <v>1798.7081186099908</v>
      </c>
      <c r="CG26" s="22">
        <f>CG16*Reykjavík!J$6</f>
        <v>1418.4021266765985</v>
      </c>
    </row>
    <row r="27" spans="1:91" ht="14.4" thickBot="1" x14ac:dyDescent="0.3">
      <c r="A27" s="981"/>
      <c r="B27" s="159" t="s">
        <v>730</v>
      </c>
      <c r="C27" s="160">
        <v>10593.52</v>
      </c>
      <c r="D27" s="161"/>
      <c r="E27" s="163">
        <f>SUM(C23:C27)</f>
        <v>46861.740000000005</v>
      </c>
      <c r="F27" s="455"/>
      <c r="G27" s="984"/>
      <c r="H27" s="180" t="e">
        <f t="shared" si="27"/>
        <v>#DIV/0!</v>
      </c>
      <c r="I27" s="183" t="e">
        <f t="shared" si="28"/>
        <v>#DIV/0!</v>
      </c>
      <c r="J27" s="183" t="e">
        <f>(#REF!-#REF!)/#REF!</f>
        <v>#REF!</v>
      </c>
      <c r="R27">
        <f t="shared" si="0"/>
        <v>2018.3333333333321</v>
      </c>
      <c r="S27" s="23">
        <f t="shared" si="29"/>
        <v>10785.22</v>
      </c>
      <c r="U27">
        <f>Reykjavík!$C$6</f>
        <v>0.57534034278851043</v>
      </c>
      <c r="V27">
        <f>Reykjavík!$C$9</f>
        <v>0.36776833919461094</v>
      </c>
      <c r="W27" s="812">
        <v>2006</v>
      </c>
      <c r="X27">
        <v>128.45699999999999</v>
      </c>
      <c r="Y27">
        <v>4.1521407573101863</v>
      </c>
      <c r="Z27">
        <v>3.398089691834477</v>
      </c>
      <c r="AA27">
        <v>95.146511371365349</v>
      </c>
      <c r="AB27">
        <f t="shared" si="18"/>
        <v>0.74068763377134261</v>
      </c>
      <c r="AC27">
        <v>0.37648554416076752</v>
      </c>
      <c r="AD27" s="95">
        <f t="shared" si="24"/>
        <v>9.0672635193769308E-2</v>
      </c>
      <c r="AE27">
        <f t="shared" si="19"/>
        <v>95146.511371365355</v>
      </c>
      <c r="AF27">
        <f t="shared" si="14"/>
        <v>73906.494413583685</v>
      </c>
      <c r="AG27">
        <f t="shared" si="15"/>
        <v>54741.626467532245</v>
      </c>
      <c r="AM27" s="812">
        <v>2006</v>
      </c>
      <c r="AN27">
        <v>0</v>
      </c>
      <c r="AO27">
        <f t="shared" si="1"/>
        <v>0</v>
      </c>
      <c r="AQ27">
        <f t="shared" si="2"/>
        <v>0</v>
      </c>
      <c r="AR27">
        <f t="shared" si="3"/>
        <v>0</v>
      </c>
      <c r="AS27">
        <v>0</v>
      </c>
      <c r="AT27">
        <f t="shared" si="4"/>
        <v>0</v>
      </c>
      <c r="AV27">
        <f t="shared" si="5"/>
        <v>0</v>
      </c>
      <c r="AX27">
        <f t="shared" si="6"/>
        <v>0</v>
      </c>
      <c r="AY27">
        <f t="shared" si="16"/>
        <v>0</v>
      </c>
      <c r="BA27">
        <f t="shared" si="17"/>
        <v>0</v>
      </c>
      <c r="BB27">
        <f t="shared" si="7"/>
        <v>0</v>
      </c>
      <c r="BC27">
        <f t="shared" si="8"/>
        <v>0</v>
      </c>
      <c r="BD27" s="812">
        <v>2006</v>
      </c>
      <c r="BE27">
        <f t="shared" si="9"/>
        <v>0</v>
      </c>
      <c r="BF27">
        <f t="shared" si="10"/>
        <v>0</v>
      </c>
      <c r="BG27">
        <f t="shared" si="11"/>
        <v>0</v>
      </c>
      <c r="BH27">
        <f t="shared" si="12"/>
        <v>0</v>
      </c>
      <c r="BJ27" s="535" t="s">
        <v>1085</v>
      </c>
      <c r="BK27" s="535"/>
      <c r="BL27" s="535"/>
      <c r="BM27" s="535"/>
      <c r="BN27" s="535"/>
      <c r="BO27" s="543">
        <v>728441</v>
      </c>
      <c r="BP27" s="535"/>
      <c r="BQ27" s="536"/>
      <c r="BR27" s="540"/>
      <c r="BS27" s="461"/>
      <c r="BW27" s="22" t="s">
        <v>1079</v>
      </c>
      <c r="BX27" s="22">
        <f>BX17*Reykjavík!$C$6</f>
        <v>48877.759147883968</v>
      </c>
      <c r="BY27" s="22">
        <f>BY17*Reykjavík!$C$6</f>
        <v>50101.040638849561</v>
      </c>
      <c r="BZ27" s="22">
        <f>BZ17*Reykjavík!$C$6</f>
        <v>44753.141706230621</v>
      </c>
      <c r="CA27" s="22">
        <f>CA17*Reykjavík!D$6</f>
        <v>49942.921426074856</v>
      </c>
      <c r="CB27" s="22">
        <f>CB17*Reykjavík!E$6</f>
        <v>58499.803794118714</v>
      </c>
      <c r="CC27" s="22">
        <f>CC17*Reykjavík!F$6</f>
        <v>58294.000492514104</v>
      </c>
      <c r="CD27" s="22">
        <f>CD17*Reykjavík!G$6</f>
        <v>52453.155828892246</v>
      </c>
      <c r="CE27" s="22">
        <f>CE17*Reykjavík!H$6</f>
        <v>41791.820369799454</v>
      </c>
      <c r="CF27" s="22">
        <f>CF17*Reykjavík!I$6</f>
        <v>40174.492860241655</v>
      </c>
      <c r="CG27" s="22">
        <f>CG17*Reykjavík!J$6</f>
        <v>31680.285156635899</v>
      </c>
    </row>
    <row r="28" spans="1:91" ht="14.4" thickBot="1" x14ac:dyDescent="0.3">
      <c r="A28" s="981"/>
      <c r="B28" s="159" t="s">
        <v>735</v>
      </c>
      <c r="C28" s="160">
        <v>10734.64</v>
      </c>
      <c r="D28" s="161"/>
      <c r="E28" s="163">
        <f>SUM(C23:C28)</f>
        <v>57596.380000000005</v>
      </c>
      <c r="F28" s="455"/>
      <c r="G28" s="984"/>
      <c r="H28" s="180" t="e">
        <f t="shared" si="27"/>
        <v>#DIV/0!</v>
      </c>
      <c r="I28" s="183" t="e">
        <f t="shared" si="28"/>
        <v>#DIV/0!</v>
      </c>
      <c r="J28" s="183" t="e">
        <f>(#REF!-#REF!)/#REF!</f>
        <v>#REF!</v>
      </c>
      <c r="R28">
        <f t="shared" si="0"/>
        <v>2018.4166666666654</v>
      </c>
      <c r="S28" s="23">
        <f t="shared" si="29"/>
        <v>10218.74</v>
      </c>
      <c r="U28">
        <f>Reykjavík!$C$6</f>
        <v>0.57534034278851043</v>
      </c>
      <c r="V28">
        <f>Reykjavík!$C$9</f>
        <v>0.36776833919461094</v>
      </c>
      <c r="W28" s="812">
        <v>2007</v>
      </c>
      <c r="X28">
        <v>130.59399999999999</v>
      </c>
      <c r="Y28">
        <v>4.4336469394753886</v>
      </c>
      <c r="Z28">
        <v>3.6263400035252897</v>
      </c>
      <c r="AA28">
        <v>101.53752009870811</v>
      </c>
      <c r="AB28">
        <f t="shared" si="18"/>
        <v>0.77750524601978743</v>
      </c>
      <c r="AC28">
        <v>0.40438026889173329</v>
      </c>
      <c r="AD28" s="95">
        <f t="shared" si="24"/>
        <v>9.1207142655247514E-2</v>
      </c>
      <c r="AE28">
        <f t="shared" si="19"/>
        <v>101537.52009870812</v>
      </c>
      <c r="AF28">
        <f t="shared" si="14"/>
        <v>75135.996726122728</v>
      </c>
      <c r="AG28">
        <f t="shared" si="15"/>
        <v>58418.631619485997</v>
      </c>
      <c r="AM28" s="812">
        <v>2007</v>
      </c>
      <c r="AN28">
        <v>0</v>
      </c>
      <c r="AO28">
        <f t="shared" si="1"/>
        <v>0</v>
      </c>
      <c r="AQ28">
        <f t="shared" si="2"/>
        <v>0</v>
      </c>
      <c r="AR28">
        <f t="shared" si="3"/>
        <v>0</v>
      </c>
      <c r="AS28">
        <v>0</v>
      </c>
      <c r="AT28">
        <f t="shared" si="4"/>
        <v>0</v>
      </c>
      <c r="AV28">
        <f t="shared" si="5"/>
        <v>0</v>
      </c>
      <c r="AX28">
        <f t="shared" si="6"/>
        <v>0</v>
      </c>
      <c r="AY28">
        <f t="shared" si="16"/>
        <v>0</v>
      </c>
      <c r="BA28">
        <f t="shared" si="17"/>
        <v>0</v>
      </c>
      <c r="BB28">
        <f t="shared" si="7"/>
        <v>0</v>
      </c>
      <c r="BC28">
        <f t="shared" si="8"/>
        <v>0</v>
      </c>
      <c r="BD28" s="812">
        <v>2007</v>
      </c>
      <c r="BE28">
        <f t="shared" si="9"/>
        <v>0</v>
      </c>
      <c r="BF28">
        <f t="shared" si="10"/>
        <v>0</v>
      </c>
      <c r="BG28">
        <f t="shared" si="11"/>
        <v>0</v>
      </c>
      <c r="BH28">
        <f t="shared" si="12"/>
        <v>0</v>
      </c>
      <c r="BJ28" s="546" t="s">
        <v>1091</v>
      </c>
      <c r="BK28" s="705">
        <f>SUM(BK23:BK25)</f>
        <v>23999905</v>
      </c>
      <c r="BL28" s="705">
        <f>SUM(BL23:BL25)</f>
        <v>22682407</v>
      </c>
      <c r="BM28" s="705">
        <v>21075748</v>
      </c>
      <c r="BN28" s="705">
        <v>20226292</v>
      </c>
      <c r="BO28" s="544">
        <v>20906132</v>
      </c>
      <c r="BP28" s="472">
        <v>18904053</v>
      </c>
      <c r="BQ28" s="465">
        <v>18436607</v>
      </c>
      <c r="BR28" s="473">
        <v>18331949</v>
      </c>
      <c r="BS28" s="474">
        <v>18532268</v>
      </c>
      <c r="BT28" s="474">
        <v>14662686</v>
      </c>
      <c r="BW28" s="22" t="str">
        <f>BW18</f>
        <v>Magn jarðgert (tonn)</v>
      </c>
      <c r="BX28" s="22">
        <f>BX18*Reykjavík!$C$6</f>
        <v>0</v>
      </c>
      <c r="BY28" s="22">
        <f>BY18*Reykjavík!$C$6</f>
        <v>0</v>
      </c>
      <c r="BZ28" s="22">
        <f>BZ18*Reykjavík!$C$6</f>
        <v>0</v>
      </c>
      <c r="CA28" s="22">
        <f>CA18*Reykjavík!D$6</f>
        <v>0</v>
      </c>
      <c r="CB28" s="22">
        <f>CB18*Reykjavík!E$6</f>
        <v>0</v>
      </c>
      <c r="CC28" s="22">
        <f>CC18*Reykjavík!F$6</f>
        <v>0</v>
      </c>
      <c r="CD28" s="22">
        <f>CD18*Reykjavík!G$6</f>
        <v>0</v>
      </c>
      <c r="CE28" s="22">
        <f>CE18*Reykjavík!H$6</f>
        <v>1176.2308795411091</v>
      </c>
      <c r="CF28" s="22">
        <f>CF18*Reykjavík!I$6</f>
        <v>10090.928111868603</v>
      </c>
      <c r="CG28" s="22">
        <f>CG18*Reykjavík!J$6</f>
        <v>15071.65409708788</v>
      </c>
    </row>
    <row r="29" spans="1:91" ht="14.4" thickBot="1" x14ac:dyDescent="0.3">
      <c r="A29" s="981"/>
      <c r="B29" s="159" t="s">
        <v>740</v>
      </c>
      <c r="C29" s="160">
        <v>10589.06</v>
      </c>
      <c r="D29" s="161"/>
      <c r="E29" s="163">
        <f>SUM(C23:C29)</f>
        <v>68185.440000000002</v>
      </c>
      <c r="F29" s="455"/>
      <c r="G29" s="984"/>
      <c r="H29" s="180" t="e">
        <f t="shared" si="27"/>
        <v>#DIV/0!</v>
      </c>
      <c r="I29" s="183" t="e">
        <f>(E29-E16)/E16</f>
        <v>#DIV/0!</v>
      </c>
      <c r="J29" s="183" t="e">
        <f>(#REF!-#REF!)/#REF!</f>
        <v>#REF!</v>
      </c>
      <c r="R29">
        <f t="shared" si="0"/>
        <v>2018.4999999999986</v>
      </c>
      <c r="S29" s="23">
        <f t="shared" si="29"/>
        <v>10590.94</v>
      </c>
      <c r="U29">
        <f>Reykjavík!$C$6</f>
        <v>0.57534034278851043</v>
      </c>
      <c r="V29">
        <f>Reykjavík!$C$9</f>
        <v>0.36776833919461094</v>
      </c>
      <c r="W29" s="812">
        <v>2008</v>
      </c>
      <c r="X29">
        <v>123.495</v>
      </c>
      <c r="Y29">
        <v>4.6939282357665864</v>
      </c>
      <c r="Z29">
        <v>3.658334728263648</v>
      </c>
      <c r="AA29">
        <v>102.43337239138215</v>
      </c>
      <c r="AB29">
        <f t="shared" si="18"/>
        <v>0.8294536004808466</v>
      </c>
      <c r="AC29">
        <v>0.62911187102919996</v>
      </c>
      <c r="AD29" s="95">
        <f t="shared" si="24"/>
        <v>0.13402673399127008</v>
      </c>
      <c r="AE29">
        <f t="shared" si="19"/>
        <v>102433.37239138214</v>
      </c>
      <c r="AF29">
        <f t="shared" si="14"/>
        <v>71051.655632667098</v>
      </c>
      <c r="AG29">
        <f t="shared" si="15"/>
        <v>58934.051584640947</v>
      </c>
      <c r="AM29" s="812">
        <v>2008</v>
      </c>
      <c r="AN29">
        <v>0</v>
      </c>
      <c r="AO29">
        <f t="shared" si="1"/>
        <v>0</v>
      </c>
      <c r="AQ29">
        <f t="shared" si="2"/>
        <v>0</v>
      </c>
      <c r="AR29">
        <f t="shared" si="3"/>
        <v>0</v>
      </c>
      <c r="AS29">
        <v>0</v>
      </c>
      <c r="AT29">
        <f t="shared" si="4"/>
        <v>0</v>
      </c>
      <c r="AV29">
        <f t="shared" si="5"/>
        <v>0</v>
      </c>
      <c r="AX29">
        <f t="shared" si="6"/>
        <v>0</v>
      </c>
      <c r="AY29">
        <f t="shared" si="16"/>
        <v>0</v>
      </c>
      <c r="BA29">
        <f t="shared" si="17"/>
        <v>0</v>
      </c>
      <c r="BB29">
        <f t="shared" si="7"/>
        <v>0</v>
      </c>
      <c r="BC29">
        <f t="shared" si="8"/>
        <v>0</v>
      </c>
      <c r="BD29" s="812">
        <v>2008</v>
      </c>
      <c r="BE29">
        <f t="shared" si="9"/>
        <v>0</v>
      </c>
      <c r="BF29">
        <f t="shared" si="10"/>
        <v>0</v>
      </c>
      <c r="BG29">
        <f t="shared" si="11"/>
        <v>0</v>
      </c>
      <c r="BH29">
        <f t="shared" si="12"/>
        <v>0</v>
      </c>
      <c r="BJ29" s="545"/>
      <c r="BK29" s="545"/>
      <c r="BL29" s="545"/>
      <c r="BM29" s="545"/>
      <c r="BN29" s="545"/>
      <c r="BO29" s="464"/>
      <c r="BP29" s="469"/>
      <c r="BQ29" s="462"/>
      <c r="BR29" s="470"/>
      <c r="BS29" s="471"/>
      <c r="BT29" s="471"/>
      <c r="BW29" s="22" t="str">
        <f>BW19</f>
        <v>CO2 ígildi (tonn)</v>
      </c>
      <c r="BX29" s="22">
        <f>BX19*Reykjavík!$C$6</f>
        <v>0</v>
      </c>
      <c r="BY29" s="22">
        <f>BY19*Reykjavík!$C$6</f>
        <v>0</v>
      </c>
      <c r="BZ29" s="22">
        <f>BZ19*Reykjavík!$C$6</f>
        <v>0</v>
      </c>
      <c r="CA29" s="22">
        <f>CA19*Reykjavík!D$6</f>
        <v>0</v>
      </c>
      <c r="CB29" s="22">
        <f>CB19*Reykjavík!E$6</f>
        <v>0</v>
      </c>
      <c r="CC29" s="22">
        <f>CC19*Reykjavík!F$6</f>
        <v>0</v>
      </c>
      <c r="CD29" s="22">
        <f>CD19*Reykjavík!G$6</f>
        <v>0</v>
      </c>
      <c r="CE29" s="22">
        <f>CE19*Reykjavík!H$6</f>
        <v>31.758233747609946</v>
      </c>
      <c r="CF29" s="22">
        <f>CF19*Reykjavík!I$6</f>
        <v>272.45505902045227</v>
      </c>
      <c r="CG29" s="22">
        <f>CG19*Reykjavík!J$6</f>
        <v>406.93466062137276</v>
      </c>
    </row>
    <row r="30" spans="1:91" ht="14.4" thickBot="1" x14ac:dyDescent="0.3">
      <c r="A30" s="981"/>
      <c r="B30" s="159" t="s">
        <v>752</v>
      </c>
      <c r="C30" s="160">
        <v>11116.02</v>
      </c>
      <c r="D30" s="161"/>
      <c r="E30" s="163">
        <f>SUM(C23:C30)</f>
        <v>79301.460000000006</v>
      </c>
      <c r="F30" s="455"/>
      <c r="G30" s="984"/>
      <c r="H30" s="180" t="e">
        <f t="shared" si="27"/>
        <v>#DIV/0!</v>
      </c>
      <c r="I30" s="183" t="e">
        <f t="shared" si="28"/>
        <v>#DIV/0!</v>
      </c>
      <c r="J30" s="183" t="e">
        <f>(#REF!-#REF!)/#REF!</f>
        <v>#REF!</v>
      </c>
      <c r="R30">
        <f t="shared" si="0"/>
        <v>2018.5833333333319</v>
      </c>
      <c r="S30" s="23">
        <f t="shared" si="29"/>
        <v>10329.120000000001</v>
      </c>
      <c r="U30">
        <f>Reykjavík!$C$6</f>
        <v>0.57534034278851043</v>
      </c>
      <c r="V30">
        <f>Reykjavík!$C$9</f>
        <v>0.36776833919461094</v>
      </c>
      <c r="W30" s="812">
        <v>2009</v>
      </c>
      <c r="X30">
        <v>93.864999999999995</v>
      </c>
      <c r="Y30">
        <v>4.8767188762346754</v>
      </c>
      <c r="Z30">
        <v>3.6651793941487312</v>
      </c>
      <c r="AA30">
        <v>102.62502303616448</v>
      </c>
      <c r="AB30">
        <f t="shared" si="18"/>
        <v>1.0933257661126563</v>
      </c>
      <c r="AC30">
        <v>0.80429732718052971</v>
      </c>
      <c r="AD30" s="95">
        <f t="shared" si="24"/>
        <v>0.16492591588579109</v>
      </c>
      <c r="AE30">
        <f t="shared" si="19"/>
        <v>102625.02303616448</v>
      </c>
      <c r="AF30">
        <f t="shared" si="14"/>
        <v>54004.321275843533</v>
      </c>
      <c r="AG30">
        <f t="shared" si="15"/>
        <v>59044.315932305653</v>
      </c>
      <c r="AM30" s="812">
        <v>2009</v>
      </c>
      <c r="AN30">
        <v>0</v>
      </c>
      <c r="AO30">
        <f t="shared" si="1"/>
        <v>0</v>
      </c>
      <c r="AQ30">
        <f t="shared" si="2"/>
        <v>0</v>
      </c>
      <c r="AR30">
        <f t="shared" si="3"/>
        <v>0</v>
      </c>
      <c r="AS30">
        <v>0</v>
      </c>
      <c r="AT30">
        <f t="shared" si="4"/>
        <v>0</v>
      </c>
      <c r="AV30">
        <f t="shared" si="5"/>
        <v>0</v>
      </c>
      <c r="AX30">
        <f t="shared" si="6"/>
        <v>0</v>
      </c>
      <c r="AY30">
        <f t="shared" si="16"/>
        <v>0</v>
      </c>
      <c r="BA30">
        <f t="shared" si="17"/>
        <v>0</v>
      </c>
      <c r="BB30">
        <f t="shared" si="7"/>
        <v>0</v>
      </c>
      <c r="BC30">
        <f t="shared" si="8"/>
        <v>0</v>
      </c>
      <c r="BD30" s="812">
        <v>2009</v>
      </c>
      <c r="BE30">
        <f t="shared" si="9"/>
        <v>0</v>
      </c>
      <c r="BF30">
        <f t="shared" si="10"/>
        <v>0</v>
      </c>
      <c r="BG30">
        <f t="shared" si="11"/>
        <v>0</v>
      </c>
      <c r="BH30">
        <f t="shared" si="12"/>
        <v>0</v>
      </c>
      <c r="BJ30" s="546" t="s">
        <v>1092</v>
      </c>
      <c r="BK30" s="472">
        <f>BK23*_xlfn.XLOOKUP(BK11,Reykjavík!$A$3:$O$3,Reykjavík!$A$6:$O$6,0,0,1)</f>
        <v>7248642.1973604336</v>
      </c>
      <c r="BL30" s="472">
        <f>BL23*_xlfn.XLOOKUP(BL11,Reykjavík!$A$3:$O$3,Reykjavík!$A$6:$O$6,0,0,1)</f>
        <v>6810793.6077209441</v>
      </c>
      <c r="BM30" s="472">
        <f>BM23*_xlfn.XLOOKUP(BM11,Reykjavík!$A$3:$O$3,Reykjavík!$A$6:$O$6,0,0,1)</f>
        <v>6472896.8177596293</v>
      </c>
      <c r="BN30" s="472">
        <f>BN23*_xlfn.XLOOKUP(BN11,Reykjavík!$A$3:$J$3,Reykjavík!$A$6:$J$6,0,0,1)</f>
        <v>6601133.4497209704</v>
      </c>
      <c r="BO30" s="472">
        <f>BO23*_xlfn.XLOOKUP(BO11,Reykjavík!$A$3:$J$3,Reykjavík!$A$6:$J$6,0,0,1)</f>
        <v>7089513.2876658589</v>
      </c>
      <c r="BP30" s="472">
        <f>BP23*_xlfn.XLOOKUP(BP11,Reykjavík!$A$3:$J$3,Reykjavík!$A$6:$J$6,0,0,1)</f>
        <v>6174351.2286089873</v>
      </c>
      <c r="BQ30" s="472">
        <f>BQ23*_xlfn.XLOOKUP(BQ11,Reykjavík!$A$3:$J$3,Reykjavík!$A$6:$J$6,0,0,1)</f>
        <v>5937391.6177923027</v>
      </c>
      <c r="BR30" s="472">
        <f>BR23*_xlfn.XLOOKUP(BR11,Reykjavík!$A$3:$J$3,Reykjavík!$A$6:$J$6,0,0,1)</f>
        <v>6489821.2948946329</v>
      </c>
      <c r="BS30" s="472">
        <f>BS23*_xlfn.XLOOKUP(BS11,Reykjavík!$A$3:$J$3,Reykjavík!$A$6:$J$6,0,0,1)</f>
        <v>6541544.4741631746</v>
      </c>
      <c r="BT30" s="472">
        <f>BT23*_xlfn.XLOOKUP(BT11,Reykjavík!$A$3:$J$3,Reykjavík!$A$6:$J$6,0,0,1)</f>
        <v>6300141.0590705564</v>
      </c>
      <c r="BW30" s="22" t="s">
        <v>1071</v>
      </c>
      <c r="BX30" s="22">
        <f>(1-Reykjavík!$C$6)*BX13</f>
        <v>43064.311178159944</v>
      </c>
      <c r="BY30" s="22">
        <f>(1-Reykjavík!$C$6)*BY13</f>
        <v>44142.097388162707</v>
      </c>
      <c r="BZ30" s="22">
        <f>(1-Reykjavík!C$6)*BZ13</f>
        <v>39430.269599845989</v>
      </c>
      <c r="CA30" s="22">
        <f>(1-Reykjavík!D$6)*CA13</f>
        <v>44653.385052953534</v>
      </c>
      <c r="CB30" s="22">
        <f>(1-Reykjavík!E$6)*CB13</f>
        <v>53249.052764370797</v>
      </c>
      <c r="CC30" s="22">
        <f>(1-Reykjavík!F$6)*CC13</f>
        <v>53495.717250631285</v>
      </c>
      <c r="CD30" s="22">
        <f>(1-Reykjavík!G$6)*CD13</f>
        <v>48641.630799648039</v>
      </c>
      <c r="CE30" s="22">
        <f>(1-Reykjavík!H$6)*CE13</f>
        <v>39178.895936902481</v>
      </c>
      <c r="CF30" s="83">
        <f>(1-Reykjavík!I$6)*CF13</f>
        <v>37586.756878280125</v>
      </c>
      <c r="CG30" s="83">
        <f>(1-Reykjavík!J$6)*CG13</f>
        <v>29668.482307606515</v>
      </c>
    </row>
    <row r="31" spans="1:91" ht="14.4" thickBot="1" x14ac:dyDescent="0.3">
      <c r="A31" s="981"/>
      <c r="B31" s="159" t="s">
        <v>754</v>
      </c>
      <c r="C31" s="160">
        <v>10037.959999999999</v>
      </c>
      <c r="D31" s="161"/>
      <c r="E31" s="163">
        <f>SUM(C23:C31)</f>
        <v>89339.420000000013</v>
      </c>
      <c r="F31" s="455"/>
      <c r="G31" s="984"/>
      <c r="H31" s="180" t="e">
        <f t="shared" si="27"/>
        <v>#DIV/0!</v>
      </c>
      <c r="I31" s="183" t="e">
        <f t="shared" si="28"/>
        <v>#DIV/0!</v>
      </c>
      <c r="J31" s="183" t="e">
        <f>(#REF!-#REF!)/#REF!</f>
        <v>#REF!</v>
      </c>
      <c r="R31">
        <f t="shared" si="0"/>
        <v>2018.6666666666652</v>
      </c>
      <c r="S31" s="23">
        <f t="shared" si="29"/>
        <v>9486.02</v>
      </c>
      <c r="U31">
        <f>Reykjavík!$C$6</f>
        <v>0.57534034278851043</v>
      </c>
      <c r="V31">
        <f>Reykjavík!$C$9</f>
        <v>0.36776833919461094</v>
      </c>
      <c r="W31" s="812">
        <v>2010</v>
      </c>
      <c r="X31">
        <v>98.153000000000006</v>
      </c>
      <c r="Y31">
        <v>4.8481081297099831</v>
      </c>
      <c r="Z31">
        <v>3.913902419941905</v>
      </c>
      <c r="AA31">
        <v>109.58926775837334</v>
      </c>
      <c r="AB31">
        <f t="shared" si="18"/>
        <v>1.1165147041697485</v>
      </c>
      <c r="AC31">
        <v>0.49932766310786658</v>
      </c>
      <c r="AD31" s="95">
        <f t="shared" si="24"/>
        <v>0.10299433299515469</v>
      </c>
      <c r="AE31">
        <f t="shared" si="19"/>
        <v>109589.26775837335</v>
      </c>
      <c r="AF31">
        <f t="shared" si="14"/>
        <v>56471.380665720666</v>
      </c>
      <c r="AG31">
        <f t="shared" si="15"/>
        <v>63051.126878044372</v>
      </c>
      <c r="AM31" s="812">
        <v>2010</v>
      </c>
      <c r="AN31">
        <v>0</v>
      </c>
      <c r="AO31">
        <f t="shared" si="1"/>
        <v>0</v>
      </c>
      <c r="AQ31">
        <f t="shared" si="2"/>
        <v>0</v>
      </c>
      <c r="AR31">
        <f t="shared" si="3"/>
        <v>0</v>
      </c>
      <c r="AS31">
        <v>0</v>
      </c>
      <c r="AT31">
        <f t="shared" si="4"/>
        <v>0</v>
      </c>
      <c r="AV31">
        <f t="shared" si="5"/>
        <v>0</v>
      </c>
      <c r="AX31">
        <f t="shared" si="6"/>
        <v>0</v>
      </c>
      <c r="AY31">
        <f t="shared" si="16"/>
        <v>0</v>
      </c>
      <c r="BA31">
        <f t="shared" si="17"/>
        <v>0</v>
      </c>
      <c r="BB31">
        <f t="shared" si="7"/>
        <v>0</v>
      </c>
      <c r="BC31">
        <f t="shared" si="8"/>
        <v>0</v>
      </c>
      <c r="BD31" s="812">
        <v>2010</v>
      </c>
      <c r="BE31">
        <f t="shared" si="9"/>
        <v>0</v>
      </c>
      <c r="BF31">
        <f t="shared" si="10"/>
        <v>0</v>
      </c>
      <c r="BG31">
        <f t="shared" si="11"/>
        <v>0</v>
      </c>
      <c r="BH31">
        <f t="shared" si="12"/>
        <v>0</v>
      </c>
      <c r="BJ31" s="545" t="s">
        <v>1093</v>
      </c>
      <c r="BK31" s="469">
        <f>BK30*$BJ$41/1000</f>
        <v>4958.0712629945374</v>
      </c>
      <c r="BL31" s="469">
        <f t="shared" ref="BL31:BT31" si="30">BL30*$BJ$41/1000</f>
        <v>4658.5828276811262</v>
      </c>
      <c r="BM31" s="469">
        <f t="shared" si="30"/>
        <v>4427.4614233475868</v>
      </c>
      <c r="BN31" s="469">
        <f t="shared" si="30"/>
        <v>4515.1752796091441</v>
      </c>
      <c r="BO31" s="469">
        <f t="shared" si="30"/>
        <v>4849.2270887634477</v>
      </c>
      <c r="BP31" s="469">
        <f t="shared" si="30"/>
        <v>4223.2562403685479</v>
      </c>
      <c r="BQ31" s="469">
        <f t="shared" si="30"/>
        <v>4061.1758665699354</v>
      </c>
      <c r="BR31" s="469">
        <f t="shared" si="30"/>
        <v>4439.0377657079298</v>
      </c>
      <c r="BS31" s="469">
        <f t="shared" si="30"/>
        <v>4474.4164203276123</v>
      </c>
      <c r="BT31" s="469">
        <f t="shared" si="30"/>
        <v>4309.2964844042608</v>
      </c>
      <c r="BW31" s="22" t="s">
        <v>1072</v>
      </c>
      <c r="BX31" s="22">
        <f>(1-Reykjavík!$C$6)*BX14</f>
        <v>1974.1853805919579</v>
      </c>
      <c r="BY31" s="22">
        <f>(1-Reykjavík!$C$6)*BY14</f>
        <v>2023.5940375744981</v>
      </c>
      <c r="BZ31" s="22">
        <f>(1-Reykjavík!C$6)*BZ14</f>
        <v>1807.5910113777313</v>
      </c>
      <c r="CA31" s="22">
        <f>(1-Reykjavík!D$6)*CA14</f>
        <v>2047.0328574578857</v>
      </c>
      <c r="CB31" s="22">
        <f>(1-Reykjavík!E$6)*CB14</f>
        <v>2441.081689728825</v>
      </c>
      <c r="CC31" s="22">
        <f>(1-Reykjavík!F$6)*CC14</f>
        <v>2452.389461973738</v>
      </c>
      <c r="CD31" s="22">
        <f>(1-Reykjavík!G$6)*CD14</f>
        <v>2229.8649110058691</v>
      </c>
      <c r="CE31" s="22">
        <f>(1-Reykjavík!H$6)*CE14</f>
        <v>1796.0673576405134</v>
      </c>
      <c r="CF31" s="83">
        <f>(1-Reykjavík!I$6)*CF14</f>
        <v>1723.0793643948261</v>
      </c>
      <c r="CG31" s="83">
        <f>(1-Reykjavík!J$6)*CG14</f>
        <v>1360.0840796852742</v>
      </c>
    </row>
    <row r="32" spans="1:91" ht="13.8" x14ac:dyDescent="0.25">
      <c r="A32" s="981"/>
      <c r="B32" s="159" t="s">
        <v>755</v>
      </c>
      <c r="C32" s="160">
        <v>10419.18</v>
      </c>
      <c r="D32" s="161"/>
      <c r="E32" s="163">
        <f>SUM(C23:C32)</f>
        <v>99758.6</v>
      </c>
      <c r="F32" s="455"/>
      <c r="G32" s="984"/>
      <c r="H32" s="180" t="e">
        <f t="shared" si="27"/>
        <v>#DIV/0!</v>
      </c>
      <c r="I32" s="183" t="e">
        <f t="shared" si="28"/>
        <v>#DIV/0!</v>
      </c>
      <c r="J32" s="183" t="e">
        <f>(#REF!-#REF!)/#REF!</f>
        <v>#REF!</v>
      </c>
      <c r="R32">
        <f t="shared" si="0"/>
        <v>2018.7499999999984</v>
      </c>
      <c r="S32" s="23">
        <f t="shared" si="29"/>
        <v>10851.76</v>
      </c>
      <c r="U32">
        <f>Reykjavík!$C$6</f>
        <v>0.57534034278851043</v>
      </c>
      <c r="V32">
        <f>Reykjavík!$C$9</f>
        <v>0.36776833919461094</v>
      </c>
      <c r="W32" s="812">
        <v>2011</v>
      </c>
      <c r="X32">
        <v>106.38890099999999</v>
      </c>
      <c r="Y32">
        <v>4.8563397838469795</v>
      </c>
      <c r="Z32">
        <v>3.6053205161156821</v>
      </c>
      <c r="AA32">
        <v>100.9489744512391</v>
      </c>
      <c r="AB32">
        <f t="shared" si="18"/>
        <v>0.94886753695518578</v>
      </c>
      <c r="AC32">
        <v>0.85042809927399976</v>
      </c>
      <c r="AD32" s="95">
        <f t="shared" si="24"/>
        <v>0.17511709170405862</v>
      </c>
      <c r="AE32">
        <f t="shared" si="19"/>
        <v>100948.97445123909</v>
      </c>
      <c r="AF32">
        <f t="shared" si="14"/>
        <v>61209.826770232896</v>
      </c>
      <c r="AG32">
        <f t="shared" si="15"/>
        <v>58080.017564924477</v>
      </c>
      <c r="AH32">
        <v>1.0302023905317714</v>
      </c>
      <c r="AI32">
        <f t="shared" ref="AI32:AI45" si="31">AH32*X32*1000</f>
        <v>109602.10013624796</v>
      </c>
      <c r="AJ32">
        <f t="shared" ref="AJ32:AJ45" si="32">AI32*U32</f>
        <v>63058.509862729545</v>
      </c>
      <c r="AM32" s="812">
        <v>2011</v>
      </c>
      <c r="AN32">
        <v>0</v>
      </c>
      <c r="AO32">
        <f t="shared" si="1"/>
        <v>0</v>
      </c>
      <c r="AQ32">
        <f t="shared" si="2"/>
        <v>0</v>
      </c>
      <c r="AR32">
        <f t="shared" si="3"/>
        <v>0</v>
      </c>
      <c r="AS32">
        <v>0</v>
      </c>
      <c r="AT32">
        <f t="shared" si="4"/>
        <v>0</v>
      </c>
      <c r="AV32">
        <f t="shared" si="5"/>
        <v>0</v>
      </c>
      <c r="AX32">
        <f t="shared" si="6"/>
        <v>0</v>
      </c>
      <c r="AY32">
        <f t="shared" si="16"/>
        <v>0</v>
      </c>
      <c r="BA32">
        <f t="shared" si="17"/>
        <v>0</v>
      </c>
      <c r="BB32">
        <f t="shared" si="7"/>
        <v>0</v>
      </c>
      <c r="BC32">
        <f t="shared" si="8"/>
        <v>0</v>
      </c>
      <c r="BD32" s="812">
        <v>2011</v>
      </c>
      <c r="BE32">
        <f t="shared" si="9"/>
        <v>0</v>
      </c>
      <c r="BF32">
        <f t="shared" si="10"/>
        <v>0</v>
      </c>
      <c r="BG32">
        <f t="shared" si="11"/>
        <v>0</v>
      </c>
      <c r="BH32">
        <f t="shared" si="12"/>
        <v>0</v>
      </c>
      <c r="BJ32" s="548"/>
      <c r="BK32" s="707"/>
      <c r="BL32" s="707"/>
      <c r="BM32" s="707"/>
      <c r="BN32" s="707"/>
      <c r="BO32" s="549"/>
      <c r="BP32" s="550"/>
      <c r="BQ32" s="551"/>
      <c r="BR32" s="551"/>
      <c r="BS32" s="551"/>
      <c r="BT32" s="551"/>
      <c r="BW32" s="22" t="s">
        <v>1075</v>
      </c>
      <c r="BX32" s="22">
        <f>(1-Reykjavík!$C$6)*BX15</f>
        <v>743.41708892584188</v>
      </c>
      <c r="BY32" s="22">
        <f>(1-Reykjavík!$C$6)*BY15</f>
        <v>762.02285933767712</v>
      </c>
      <c r="BZ32" s="22">
        <f>(1-Reykjavík!C$6)*BZ15</f>
        <v>680.68280763178166</v>
      </c>
      <c r="CA32" s="22">
        <f>(1-Reykjavík!D$6)*CA15</f>
        <v>770.84919318497782</v>
      </c>
      <c r="CB32" s="22">
        <f>(1-Reykjavík!E$6)*CB15</f>
        <v>919.23578274307226</v>
      </c>
      <c r="CC32" s="22">
        <f>(1-Reykjavík!F$6)*CC15</f>
        <v>923.49393965538241</v>
      </c>
      <c r="CD32" s="22">
        <f>(1-Reykjavík!G$6)*CD15</f>
        <v>839.69808364237747</v>
      </c>
      <c r="CE32" s="22">
        <f>(1-Reykjavík!H$6)*CE15</f>
        <v>676.34335643366603</v>
      </c>
      <c r="CF32" s="22">
        <f>(1-Reykjavík!I$6)*CF15</f>
        <v>648.85833805662901</v>
      </c>
      <c r="CG32" s="22">
        <f>(1-Reykjavík!J$6)*CG15</f>
        <v>512.16555301955941</v>
      </c>
      <c r="CL32" s="16" t="s">
        <v>1094</v>
      </c>
    </row>
    <row r="33" spans="1:85" ht="13.8" x14ac:dyDescent="0.25">
      <c r="A33" s="981"/>
      <c r="B33" s="159" t="s">
        <v>756</v>
      </c>
      <c r="C33" s="160">
        <v>10267.51</v>
      </c>
      <c r="D33" s="161"/>
      <c r="E33" s="163">
        <f>SUM(C23:C33)</f>
        <v>110026.11</v>
      </c>
      <c r="F33" s="455"/>
      <c r="G33" s="984"/>
      <c r="H33" s="180" t="e">
        <f t="shared" si="27"/>
        <v>#DIV/0!</v>
      </c>
      <c r="I33" s="183" t="e">
        <f t="shared" si="28"/>
        <v>#DIV/0!</v>
      </c>
      <c r="J33" s="183" t="e">
        <f>(#REF!-#REF!)/#REF!</f>
        <v>#REF!</v>
      </c>
      <c r="R33">
        <f t="shared" si="0"/>
        <v>2018.8333333333317</v>
      </c>
      <c r="S33" s="23">
        <f t="shared" si="29"/>
        <v>9454.1200000000008</v>
      </c>
      <c r="U33">
        <f>Reykjavík!$C$6</f>
        <v>0.57534034278851043</v>
      </c>
      <c r="V33">
        <f>Reykjavík!$C$9</f>
        <v>0.36776833919461094</v>
      </c>
      <c r="W33" s="812">
        <v>2012</v>
      </c>
      <c r="X33">
        <v>109.286101</v>
      </c>
      <c r="Y33">
        <v>4.9690074977936645</v>
      </c>
      <c r="Z33">
        <v>3.1162282489449455</v>
      </c>
      <c r="AA33">
        <v>87.254390970458473</v>
      </c>
      <c r="AB33">
        <f t="shared" si="18"/>
        <v>0.79840336668666101</v>
      </c>
      <c r="AC33">
        <v>1.5065316656326135</v>
      </c>
      <c r="AD33" s="95">
        <f t="shared" si="24"/>
        <v>0.30318562938404559</v>
      </c>
      <c r="AE33">
        <f t="shared" si="19"/>
        <v>87254.39097045848</v>
      </c>
      <c r="AF33">
        <f t="shared" si="14"/>
        <v>62876.70281135977</v>
      </c>
      <c r="AG33">
        <f t="shared" si="15"/>
        <v>50200.971210746291</v>
      </c>
      <c r="AH33">
        <v>0.88288338539426736</v>
      </c>
      <c r="AI33">
        <f t="shared" si="31"/>
        <v>96486.882827419831</v>
      </c>
      <c r="AJ33">
        <f t="shared" si="32"/>
        <v>55512.796240522563</v>
      </c>
      <c r="AM33" s="812">
        <v>2012</v>
      </c>
      <c r="AN33">
        <v>0</v>
      </c>
      <c r="AO33">
        <f t="shared" si="1"/>
        <v>0</v>
      </c>
      <c r="AQ33">
        <f t="shared" si="2"/>
        <v>0</v>
      </c>
      <c r="AR33">
        <f t="shared" si="3"/>
        <v>0</v>
      </c>
      <c r="AS33">
        <v>0</v>
      </c>
      <c r="AT33">
        <f t="shared" si="4"/>
        <v>0</v>
      </c>
      <c r="AV33">
        <f t="shared" si="5"/>
        <v>0</v>
      </c>
      <c r="AX33">
        <f t="shared" si="6"/>
        <v>0</v>
      </c>
      <c r="AY33">
        <f t="shared" si="16"/>
        <v>0</v>
      </c>
      <c r="BA33">
        <f t="shared" si="17"/>
        <v>0</v>
      </c>
      <c r="BB33">
        <f t="shared" si="7"/>
        <v>0</v>
      </c>
      <c r="BC33">
        <f t="shared" si="8"/>
        <v>0</v>
      </c>
      <c r="BD33" s="812">
        <v>2012</v>
      </c>
      <c r="BE33">
        <f t="shared" si="9"/>
        <v>0</v>
      </c>
      <c r="BF33">
        <f t="shared" si="10"/>
        <v>0</v>
      </c>
      <c r="BG33">
        <f t="shared" si="11"/>
        <v>0</v>
      </c>
      <c r="BH33">
        <f t="shared" si="12"/>
        <v>0</v>
      </c>
      <c r="BW33" s="22" t="s">
        <v>1077</v>
      </c>
      <c r="BX33" s="22">
        <f>(1-Reykjavík!$C$6)*BX16</f>
        <v>1615.2425841206928</v>
      </c>
      <c r="BY33" s="22">
        <f>(1-Reykjavík!$C$6)*BY16</f>
        <v>1655.6678489245894</v>
      </c>
      <c r="BZ33" s="22">
        <f>(1-Reykjavík!C$6)*BZ16</f>
        <v>1478.938100218144</v>
      </c>
      <c r="CA33" s="22">
        <f>(1-Reykjavík!D$6)*CA16</f>
        <v>1674.8450651928156</v>
      </c>
      <c r="CB33" s="22">
        <f>(1-Reykjavík!E$6)*CB16</f>
        <v>1997.2486552326752</v>
      </c>
      <c r="CC33" s="22">
        <f>(1-Reykjavík!F$6)*CC16</f>
        <v>2006.500468887604</v>
      </c>
      <c r="CD33" s="22">
        <f>(1-Reykjavík!G$6)*CD16</f>
        <v>1824.4349271866201</v>
      </c>
      <c r="CE33" s="22">
        <f>(1-Reykjavík!H$6)*CE16</f>
        <v>1469.509656251329</v>
      </c>
      <c r="CF33" s="22">
        <f>(1-Reykjavík!I$6)*CF16</f>
        <v>1409.7922072321303</v>
      </c>
      <c r="CG33" s="22">
        <f>(1-Reykjavík!J$6)*CG16</f>
        <v>1112.7960651970425</v>
      </c>
    </row>
    <row r="34" spans="1:85" ht="14.4" thickBot="1" x14ac:dyDescent="0.3">
      <c r="A34" s="987"/>
      <c r="B34" s="167" t="s">
        <v>758</v>
      </c>
      <c r="C34" s="168">
        <v>9171.84</v>
      </c>
      <c r="D34" s="171"/>
      <c r="E34" s="163">
        <f>SUM(C23:C34)</f>
        <v>119197.95</v>
      </c>
      <c r="F34" s="455"/>
      <c r="G34" s="984"/>
      <c r="H34" s="184" t="e">
        <f t="shared" si="27"/>
        <v>#DIV/0!</v>
      </c>
      <c r="I34" s="187" t="e">
        <f t="shared" si="28"/>
        <v>#DIV/0!</v>
      </c>
      <c r="J34" s="187" t="e">
        <f>(#REF!-#REF!)/#REF!</f>
        <v>#REF!</v>
      </c>
      <c r="R34">
        <f t="shared" si="0"/>
        <v>2018.9166666666649</v>
      </c>
      <c r="S34" s="23">
        <f t="shared" si="29"/>
        <v>8887.74</v>
      </c>
      <c r="U34">
        <f>Reykjavík!$C$6</f>
        <v>0.57534034278851043</v>
      </c>
      <c r="V34">
        <f>Reykjavík!$C$9</f>
        <v>0.36776833919461094</v>
      </c>
      <c r="W34" s="812">
        <v>2013</v>
      </c>
      <c r="X34">
        <v>106.53392799999999</v>
      </c>
      <c r="Y34">
        <v>5.0996428663906794</v>
      </c>
      <c r="Z34">
        <v>3.38103561557062</v>
      </c>
      <c r="AA34">
        <v>94.668997235977358</v>
      </c>
      <c r="AB34">
        <f t="shared" si="18"/>
        <v>0.88862767958745847</v>
      </c>
      <c r="AC34">
        <v>1.3429366268677683</v>
      </c>
      <c r="AD34" s="95">
        <f t="shared" si="24"/>
        <v>0.26333934788226543</v>
      </c>
      <c r="AE34">
        <f t="shared" si="19"/>
        <v>94668.997235977353</v>
      </c>
      <c r="AF34">
        <f t="shared" si="14"/>
        <v>61293.266654126484</v>
      </c>
      <c r="AG34">
        <f t="shared" si="15"/>
        <v>54466.893321191754</v>
      </c>
      <c r="AH34">
        <v>0.93200495278239082</v>
      </c>
      <c r="AI34">
        <f t="shared" si="31"/>
        <v>99290.148535362619</v>
      </c>
      <c r="AJ34">
        <f t="shared" si="32"/>
        <v>57125.628093857646</v>
      </c>
      <c r="AM34" s="812">
        <v>2013</v>
      </c>
      <c r="AN34">
        <v>0</v>
      </c>
      <c r="AO34">
        <f t="shared" si="1"/>
        <v>0</v>
      </c>
      <c r="AQ34">
        <f t="shared" si="2"/>
        <v>0</v>
      </c>
      <c r="AR34">
        <f t="shared" si="3"/>
        <v>0</v>
      </c>
      <c r="AS34">
        <v>0</v>
      </c>
      <c r="AT34">
        <f t="shared" si="4"/>
        <v>0</v>
      </c>
      <c r="AV34">
        <f t="shared" si="5"/>
        <v>0</v>
      </c>
      <c r="AX34">
        <f t="shared" si="6"/>
        <v>0</v>
      </c>
      <c r="AY34">
        <f t="shared" si="16"/>
        <v>0</v>
      </c>
      <c r="BA34">
        <f t="shared" si="17"/>
        <v>0</v>
      </c>
      <c r="BB34">
        <f t="shared" si="7"/>
        <v>0</v>
      </c>
      <c r="BC34">
        <f t="shared" si="8"/>
        <v>0</v>
      </c>
      <c r="BD34" s="812">
        <v>2013</v>
      </c>
      <c r="BE34">
        <f t="shared" si="9"/>
        <v>0</v>
      </c>
      <c r="BF34">
        <f t="shared" si="10"/>
        <v>0</v>
      </c>
      <c r="BG34">
        <f t="shared" si="11"/>
        <v>0</v>
      </c>
      <c r="BH34">
        <f t="shared" si="12"/>
        <v>0</v>
      </c>
      <c r="BJ34" s="16" t="s">
        <v>1095</v>
      </c>
      <c r="BK34" s="16"/>
      <c r="BL34" s="16"/>
      <c r="BM34" s="16"/>
      <c r="BN34" s="16"/>
      <c r="BO34" s="16"/>
      <c r="BP34" s="23"/>
      <c r="BW34" s="22" t="s">
        <v>1079</v>
      </c>
      <c r="BX34" s="22">
        <f>(1-Reykjavík!$C$6)*BX17</f>
        <v>36076.75475077195</v>
      </c>
      <c r="BY34" s="22">
        <f>(1-Reykjavík!$C$6)*BY17</f>
        <v>36979.660839555581</v>
      </c>
      <c r="BZ34" s="22">
        <f>(1-Reykjavík!C$6)*BZ17</f>
        <v>33032.367805104739</v>
      </c>
      <c r="CA34" s="22">
        <f>(1-Reykjavík!D$6)*CA17</f>
        <v>37407.987664834232</v>
      </c>
      <c r="CB34" s="22">
        <f>(1-Reykjavík!E$6)*CB17</f>
        <v>44608.934050833755</v>
      </c>
      <c r="CC34" s="22">
        <f>(1-Reykjavík!F$6)*CC17</f>
        <v>44815.575093801563</v>
      </c>
      <c r="CD34" s="22">
        <f>(1-Reykjavík!G$6)*CD17</f>
        <v>40749.106093364382</v>
      </c>
      <c r="CE34" s="22">
        <f>(1-Reykjavík!H$6)*CE17</f>
        <v>32821.781690043055</v>
      </c>
      <c r="CF34" s="22">
        <f>(1-Reykjavík!I$6)*CF17</f>
        <v>31487.980944701652</v>
      </c>
      <c r="CG34" s="22">
        <f>(1-Reykjavík!J$6)*CG17</f>
        <v>24854.51481183706</v>
      </c>
    </row>
    <row r="35" spans="1:85" ht="14.4" thickBot="1" x14ac:dyDescent="0.3">
      <c r="A35" s="172" t="s">
        <v>3</v>
      </c>
      <c r="B35" s="188"/>
      <c r="C35" s="174">
        <f>SUM(C23:C34)</f>
        <v>119197.95</v>
      </c>
      <c r="D35" s="449">
        <v>123079</v>
      </c>
      <c r="E35" s="175">
        <f>E29</f>
        <v>68185.440000000002</v>
      </c>
      <c r="F35" s="453"/>
      <c r="G35" s="985"/>
      <c r="H35" s="189" t="e">
        <f t="shared" si="27"/>
        <v>#DIV/0!</v>
      </c>
      <c r="I35" s="191" t="e">
        <f t="shared" si="28"/>
        <v>#DIV/0!</v>
      </c>
      <c r="J35" s="191" t="e">
        <f>(#REF!-#REF!)/#REF!</f>
        <v>#REF!</v>
      </c>
      <c r="R35">
        <f t="shared" si="0"/>
        <v>2018.9999999999982</v>
      </c>
      <c r="S35" s="23">
        <f>N13</f>
        <v>10359.98</v>
      </c>
      <c r="U35">
        <f>Reykjavík!$C$6</f>
        <v>0.57534034278851043</v>
      </c>
      <c r="V35">
        <f>Reykjavík!$C$9</f>
        <v>0.36776833919461094</v>
      </c>
      <c r="W35" s="812">
        <v>2014</v>
      </c>
      <c r="X35">
        <v>108.45529199999999</v>
      </c>
      <c r="Y35">
        <v>5.1939208434016901</v>
      </c>
      <c r="Z35">
        <v>3.5062591060455213</v>
      </c>
      <c r="AA35">
        <v>98.17525496927459</v>
      </c>
      <c r="AB35">
        <f t="shared" si="18"/>
        <v>0.90521405787441522</v>
      </c>
      <c r="AC35">
        <v>1.2980773922399997</v>
      </c>
      <c r="AD35" s="95">
        <f t="shared" si="24"/>
        <v>0.24992244421457932</v>
      </c>
      <c r="AE35">
        <f t="shared" si="19"/>
        <v>98175.254969274596</v>
      </c>
      <c r="AF35">
        <f t="shared" si="14"/>
        <v>62398.704876507982</v>
      </c>
      <c r="AG35">
        <f t="shared" si="15"/>
        <v>56484.184847371856</v>
      </c>
      <c r="AH35">
        <v>0.94208679229611725</v>
      </c>
      <c r="AI35">
        <f t="shared" si="31"/>
        <v>102174.29814781873</v>
      </c>
      <c r="AJ35">
        <f t="shared" si="32"/>
        <v>58784.99572054149</v>
      </c>
      <c r="AM35" s="812">
        <v>2014</v>
      </c>
      <c r="AN35">
        <v>0</v>
      </c>
      <c r="AO35">
        <f t="shared" si="1"/>
        <v>0</v>
      </c>
      <c r="AQ35">
        <f t="shared" si="2"/>
        <v>0</v>
      </c>
      <c r="AR35">
        <f t="shared" si="3"/>
        <v>0</v>
      </c>
      <c r="AS35">
        <v>0</v>
      </c>
      <c r="AT35">
        <f t="shared" si="4"/>
        <v>0</v>
      </c>
      <c r="AV35">
        <f t="shared" si="5"/>
        <v>0</v>
      </c>
      <c r="AX35">
        <f t="shared" si="6"/>
        <v>0</v>
      </c>
      <c r="AY35">
        <f t="shared" si="16"/>
        <v>0</v>
      </c>
      <c r="BA35">
        <f t="shared" si="17"/>
        <v>0</v>
      </c>
      <c r="BB35">
        <f t="shared" si="7"/>
        <v>0</v>
      </c>
      <c r="BC35">
        <f t="shared" si="8"/>
        <v>0</v>
      </c>
      <c r="BD35" s="812">
        <v>2014</v>
      </c>
      <c r="BE35">
        <f t="shared" si="9"/>
        <v>0</v>
      </c>
      <c r="BF35">
        <f t="shared" si="10"/>
        <v>0</v>
      </c>
      <c r="BG35">
        <f t="shared" si="11"/>
        <v>0</v>
      </c>
      <c r="BH35">
        <f t="shared" si="12"/>
        <v>0</v>
      </c>
      <c r="BJ35">
        <v>437.18848875999998</v>
      </c>
      <c r="BO35" s="23">
        <f>AVERAGE(BO30:BS30)</f>
        <v>6446524.3806249909</v>
      </c>
      <c r="BW35" t="s">
        <v>1081</v>
      </c>
      <c r="CE35" s="22">
        <f>(1-Reykjavík!H$6)*CE18</f>
        <v>923.76912045889094</v>
      </c>
      <c r="CF35" s="22">
        <f>(1-Reykjavík!I$6)*CF18</f>
        <v>7909.0718881313969</v>
      </c>
      <c r="CG35" s="22">
        <f>(1-Reykjavík!J$6)*CG18</f>
        <v>11824.34590291212</v>
      </c>
    </row>
    <row r="36" spans="1:85" ht="14.25" customHeight="1" x14ac:dyDescent="0.25">
      <c r="A36" s="981">
        <v>2018</v>
      </c>
      <c r="B36" s="151" t="s">
        <v>710</v>
      </c>
      <c r="C36" s="152">
        <v>10796.84</v>
      </c>
      <c r="D36" s="153"/>
      <c r="E36" s="155">
        <f>C36</f>
        <v>10796.84</v>
      </c>
      <c r="F36" s="454"/>
      <c r="G36" s="983" t="str">
        <f>"Milli áranna "&amp; A23&amp;" og "&amp; A36</f>
        <v>Milli áranna 2017 og 2018</v>
      </c>
      <c r="H36" s="178">
        <f t="shared" si="27"/>
        <v>0.14155394046534048</v>
      </c>
      <c r="I36" s="179">
        <f t="shared" si="28"/>
        <v>0.14155394046534048</v>
      </c>
      <c r="J36" s="179" t="e">
        <f>(#REF!-#REF!)/#REF!</f>
        <v>#REF!</v>
      </c>
      <c r="R36">
        <f t="shared" si="0"/>
        <v>2019.0833333333314</v>
      </c>
      <c r="S36" s="23">
        <f t="shared" ref="S36:S46" si="33">N14</f>
        <v>8657.68</v>
      </c>
      <c r="U36">
        <f>_xlfn.XLOOKUP($W36,Reykjavík!$A$3:$N$3,Reykjavík!$A$6:$N$6,0.6,0)</f>
        <v>0.57534034278851043</v>
      </c>
      <c r="V36">
        <f>_xlfn.XLOOKUP($W36,Reykjavík!$A$3:$N$3,Reykjavík!$A$9:$N$9,0.6,0)</f>
        <v>0.36776833919461094</v>
      </c>
      <c r="W36" s="812">
        <v>2015</v>
      </c>
      <c r="X36">
        <v>111.738162</v>
      </c>
      <c r="Y36">
        <v>5.2697437568518168</v>
      </c>
      <c r="Z36">
        <v>3.6292215800446357</v>
      </c>
      <c r="AA36">
        <v>101.6182042412498</v>
      </c>
      <c r="AB36">
        <f t="shared" si="18"/>
        <v>0.90943149969882087</v>
      </c>
      <c r="AC36">
        <v>1.2372753345799998</v>
      </c>
      <c r="AD36" s="95">
        <f t="shared" si="24"/>
        <v>0.23478851945529075</v>
      </c>
      <c r="AE36">
        <f t="shared" si="19"/>
        <v>101618.2042412498</v>
      </c>
      <c r="AF36">
        <f t="shared" si="14"/>
        <v>64287.472427638109</v>
      </c>
      <c r="AG36">
        <f t="shared" si="15"/>
        <v>58465.052461713523</v>
      </c>
      <c r="AH36">
        <v>1.0024863764332059</v>
      </c>
      <c r="AI36">
        <f t="shared" si="31"/>
        <v>112015.98513268655</v>
      </c>
      <c r="AJ36">
        <f t="shared" si="32"/>
        <v>64447.315284032564</v>
      </c>
      <c r="AM36" s="812">
        <v>2015</v>
      </c>
      <c r="AN36">
        <v>0</v>
      </c>
      <c r="AO36">
        <f t="shared" si="1"/>
        <v>0</v>
      </c>
      <c r="AQ36">
        <f t="shared" si="2"/>
        <v>0</v>
      </c>
      <c r="AR36">
        <f t="shared" si="3"/>
        <v>0</v>
      </c>
      <c r="AS36">
        <v>0</v>
      </c>
      <c r="AT36">
        <f t="shared" si="4"/>
        <v>0</v>
      </c>
      <c r="AV36">
        <f t="shared" si="5"/>
        <v>0</v>
      </c>
      <c r="AX36">
        <f t="shared" si="6"/>
        <v>0</v>
      </c>
      <c r="AY36">
        <f t="shared" si="16"/>
        <v>0</v>
      </c>
      <c r="AZ36">
        <v>0.68400000000000005</v>
      </c>
      <c r="BA36">
        <f t="shared" si="17"/>
        <v>0</v>
      </c>
      <c r="BB36">
        <f t="shared" si="7"/>
        <v>0</v>
      </c>
      <c r="BC36">
        <f t="shared" si="8"/>
        <v>0</v>
      </c>
      <c r="BD36" s="812">
        <v>2015</v>
      </c>
      <c r="BE36">
        <f t="shared" si="9"/>
        <v>0</v>
      </c>
      <c r="BF36">
        <f t="shared" si="10"/>
        <v>0</v>
      </c>
      <c r="BG36">
        <f t="shared" si="11"/>
        <v>0</v>
      </c>
      <c r="BH36">
        <f t="shared" si="12"/>
        <v>0</v>
      </c>
      <c r="BJ36">
        <v>0.208358918866</v>
      </c>
      <c r="BM36">
        <v>29.6</v>
      </c>
      <c r="BW36" t="s">
        <v>1079</v>
      </c>
      <c r="CE36" s="22">
        <f>(1-Reykjavík!H$6)*CE19</f>
        <v>24.941766252390057</v>
      </c>
      <c r="CF36" s="22">
        <f>(1-Reykjavík!I$6)*CF19</f>
        <v>213.5449409795477</v>
      </c>
      <c r="CG36" s="22">
        <f>(1-Reykjavík!J$6)*CG19</f>
        <v>319.25733937862725</v>
      </c>
    </row>
    <row r="37" spans="1:85" ht="13.8" x14ac:dyDescent="0.25">
      <c r="A37" s="981"/>
      <c r="B37" s="159" t="s">
        <v>715</v>
      </c>
      <c r="C37" s="160">
        <v>9341.42</v>
      </c>
      <c r="D37" s="161"/>
      <c r="E37" s="163">
        <f>SUM(C36:C37)</f>
        <v>20138.260000000002</v>
      </c>
      <c r="F37" s="455"/>
      <c r="G37" s="984"/>
      <c r="H37" s="180">
        <f t="shared" si="27"/>
        <v>8.3741704951505833E-2</v>
      </c>
      <c r="I37" s="183">
        <f t="shared" si="28"/>
        <v>0.11398845644504084</v>
      </c>
      <c r="J37" s="183" t="e">
        <f>(#REF!-#REF!)/#REF!</f>
        <v>#REF!</v>
      </c>
      <c r="R37">
        <f t="shared" si="0"/>
        <v>2019.1666666666647</v>
      </c>
      <c r="S37" s="23">
        <f t="shared" si="33"/>
        <v>8700.56</v>
      </c>
      <c r="U37">
        <f>_xlfn.XLOOKUP($W37,Reykjavík!$A$3:$N$3,Reykjavík!$A$6:$N$6,0.6,0)</f>
        <v>0.57175044823056786</v>
      </c>
      <c r="V37">
        <f>_xlfn.XLOOKUP($W37,Reykjavík!$A$3:$N$3,Reykjavík!$A$9:$N$9,0.6,0)</f>
        <v>0.36580622998687262</v>
      </c>
      <c r="W37" s="812">
        <v>2016</v>
      </c>
      <c r="X37">
        <v>122.55149899999998</v>
      </c>
      <c r="Y37">
        <v>5.3760458731555865</v>
      </c>
      <c r="Z37">
        <v>3.7133140904600279</v>
      </c>
      <c r="AA37">
        <v>103.97279453288078</v>
      </c>
      <c r="AB37">
        <f t="shared" si="18"/>
        <v>0.84840083867828331</v>
      </c>
      <c r="AC37">
        <v>1.2501413281999998</v>
      </c>
      <c r="AD37" s="95">
        <f t="shared" si="24"/>
        <v>0.23253918543410834</v>
      </c>
      <c r="AE37">
        <f t="shared" si="19"/>
        <v>103972.79453288078</v>
      </c>
      <c r="AF37">
        <f t="shared" si="14"/>
        <v>70068.874484577973</v>
      </c>
      <c r="AG37">
        <f t="shared" si="15"/>
        <v>59446.491877959321</v>
      </c>
      <c r="AH37">
        <v>1.0346914663362832</v>
      </c>
      <c r="AI37">
        <f t="shared" si="31"/>
        <v>126802.99020201951</v>
      </c>
      <c r="AJ37">
        <f t="shared" si="32"/>
        <v>72499.66648498096</v>
      </c>
      <c r="AM37" s="812">
        <v>2016</v>
      </c>
      <c r="AN37">
        <v>0</v>
      </c>
      <c r="AO37">
        <f t="shared" si="1"/>
        <v>0</v>
      </c>
      <c r="AQ37">
        <f t="shared" si="2"/>
        <v>0</v>
      </c>
      <c r="AR37">
        <f t="shared" si="3"/>
        <v>0</v>
      </c>
      <c r="AS37">
        <v>0</v>
      </c>
      <c r="AT37">
        <f t="shared" si="4"/>
        <v>0</v>
      </c>
      <c r="AV37">
        <f t="shared" si="5"/>
        <v>0</v>
      </c>
      <c r="AX37">
        <f t="shared" si="6"/>
        <v>0</v>
      </c>
      <c r="AY37">
        <f t="shared" si="16"/>
        <v>0</v>
      </c>
      <c r="AZ37">
        <v>0.68400000000000005</v>
      </c>
      <c r="BA37">
        <f t="shared" si="17"/>
        <v>0</v>
      </c>
      <c r="BB37">
        <f t="shared" si="7"/>
        <v>0</v>
      </c>
      <c r="BC37">
        <f t="shared" si="8"/>
        <v>0</v>
      </c>
      <c r="BD37" s="812">
        <v>2016</v>
      </c>
      <c r="BE37">
        <f>_xlfn.XLOOKUP(W37,$BJ$11:$BT$11,$BJ$23:$BT$23)/1000</f>
        <v>11019.04</v>
      </c>
      <c r="BF37">
        <f>BE37*U37</f>
        <v>6300.1410590705573</v>
      </c>
      <c r="BG37">
        <f>BE37*AZ37</f>
        <v>7537.023360000001</v>
      </c>
      <c r="BH37">
        <f t="shared" ref="BH37:BH41" si="34">BF37*AZ37</f>
        <v>4309.2964844042617</v>
      </c>
      <c r="BJ37">
        <v>5.9697074000000003E-2</v>
      </c>
      <c r="BM37">
        <v>273</v>
      </c>
      <c r="BP37" s="22"/>
    </row>
    <row r="38" spans="1:85" ht="13.8" x14ac:dyDescent="0.25">
      <c r="A38" s="981"/>
      <c r="B38" s="159" t="s">
        <v>718</v>
      </c>
      <c r="C38" s="160">
        <v>9466.7000000000007</v>
      </c>
      <c r="D38" s="161"/>
      <c r="E38" s="163">
        <f>SUM(C36:C38)</f>
        <v>29604.960000000003</v>
      </c>
      <c r="F38" s="455"/>
      <c r="G38" s="984"/>
      <c r="H38" s="180">
        <f t="shared" si="27"/>
        <v>-4.7040467082746049E-2</v>
      </c>
      <c r="I38" s="183">
        <f t="shared" si="28"/>
        <v>5.6881394221398117E-2</v>
      </c>
      <c r="J38" s="183" t="e">
        <f>(#REF!-#REF!)/#REF!</f>
        <v>#REF!</v>
      </c>
      <c r="R38">
        <f t="shared" si="0"/>
        <v>2019.249999999998</v>
      </c>
      <c r="S38" s="23">
        <f t="shared" si="33"/>
        <v>8838.84</v>
      </c>
      <c r="U38">
        <f>_xlfn.XLOOKUP($W38,Reykjavík!$A$3:$N$3,Reykjavík!$A$6:$N$6,0.6,0)</f>
        <v>0.56736029377147967</v>
      </c>
      <c r="V38">
        <f>_xlfn.XLOOKUP($W38,Reykjavík!$A$3:$N$3,Reykjavík!$A$9:$N$9,0.6,0)</f>
        <v>0.36243748251916502</v>
      </c>
      <c r="W38" s="812">
        <v>2017</v>
      </c>
      <c r="X38">
        <v>141.92535500000002</v>
      </c>
      <c r="Y38">
        <v>5.5209722528407337</v>
      </c>
      <c r="Z38">
        <v>3.7446441135266277</v>
      </c>
      <c r="AA38">
        <v>104.85003517874557</v>
      </c>
      <c r="AB38">
        <f t="shared" si="18"/>
        <v>0.73876887733517071</v>
      </c>
      <c r="AC38">
        <v>1.3602565711444807</v>
      </c>
      <c r="AD38" s="95">
        <f t="shared" si="24"/>
        <v>0.24637989630260884</v>
      </c>
      <c r="AE38">
        <f t="shared" si="19"/>
        <v>104850.03517874557</v>
      </c>
      <c r="AF38">
        <f t="shared" si="14"/>
        <v>80522.811106421563</v>
      </c>
      <c r="AG38">
        <f t="shared" si="15"/>
        <v>59487.746760963069</v>
      </c>
      <c r="AH38">
        <v>1.2848696570205758</v>
      </c>
      <c r="AI38">
        <f t="shared" si="31"/>
        <v>182355.5822013735</v>
      </c>
      <c r="AJ38">
        <f t="shared" si="32"/>
        <v>103461.31668864048</v>
      </c>
      <c r="AM38" s="812">
        <v>2017</v>
      </c>
      <c r="AN38">
        <v>0</v>
      </c>
      <c r="AO38">
        <f t="shared" si="1"/>
        <v>0</v>
      </c>
      <c r="AQ38">
        <f t="shared" si="2"/>
        <v>0</v>
      </c>
      <c r="AR38">
        <f t="shared" si="3"/>
        <v>0</v>
      </c>
      <c r="AS38">
        <v>0</v>
      </c>
      <c r="AT38">
        <f t="shared" si="4"/>
        <v>0</v>
      </c>
      <c r="AV38">
        <f t="shared" si="5"/>
        <v>0</v>
      </c>
      <c r="AX38">
        <f t="shared" si="6"/>
        <v>0</v>
      </c>
      <c r="AY38">
        <f t="shared" si="16"/>
        <v>0</v>
      </c>
      <c r="AZ38">
        <v>0.68400000000000005</v>
      </c>
      <c r="BA38">
        <f t="shared" si="17"/>
        <v>0</v>
      </c>
      <c r="BB38">
        <f t="shared" si="7"/>
        <v>0</v>
      </c>
      <c r="BC38">
        <f t="shared" si="8"/>
        <v>0</v>
      </c>
      <c r="BD38" s="812">
        <v>2017</v>
      </c>
      <c r="BE38">
        <f t="shared" ref="BE38:BE46" si="35">_xlfn.XLOOKUP(W38,$BJ$11:$BT$11,$BJ$23:$BT$23)/1000</f>
        <v>11529.789000000001</v>
      </c>
      <c r="BF38">
        <f t="shared" si="10"/>
        <v>6541.5444741631754</v>
      </c>
      <c r="BG38">
        <f t="shared" ref="BG38:BG46" si="36">BE38*AZ38</f>
        <v>7886.3756760000015</v>
      </c>
      <c r="BH38">
        <f t="shared" si="34"/>
        <v>4474.4164203276123</v>
      </c>
    </row>
    <row r="39" spans="1:85" ht="13.8" x14ac:dyDescent="0.25">
      <c r="A39" s="981"/>
      <c r="B39" s="159" t="s">
        <v>725</v>
      </c>
      <c r="C39" s="160">
        <v>9656.73</v>
      </c>
      <c r="D39" s="161"/>
      <c r="E39" s="163">
        <f>SUM(C36:C39)</f>
        <v>39261.69</v>
      </c>
      <c r="F39" s="455"/>
      <c r="G39" s="984"/>
      <c r="H39" s="180">
        <f t="shared" si="27"/>
        <v>0.16957706562023098</v>
      </c>
      <c r="I39" s="183">
        <f t="shared" ref="I39:I54" si="37">(E39-E26)/E26</f>
        <v>8.2536997955786118E-2</v>
      </c>
      <c r="J39" s="183" t="e">
        <f>(#REF!-#REF!)/#REF!</f>
        <v>#REF!</v>
      </c>
      <c r="R39">
        <f t="shared" si="0"/>
        <v>2019.3333333333312</v>
      </c>
      <c r="S39" s="23">
        <f t="shared" si="33"/>
        <v>10672.39</v>
      </c>
      <c r="U39">
        <f>_xlfn.XLOOKUP($W39,Reykjavík!$A$3:$N$3,Reykjavík!$A$6:$N$6,0.6,0)</f>
        <v>0.56535971718470224</v>
      </c>
      <c r="V39">
        <f>_xlfn.XLOOKUP($W39,Reykjavík!$A$3:$N$3,Reykjavík!$A$9:$N$9,0.6,0)</f>
        <v>0.35986884211080034</v>
      </c>
      <c r="W39" s="812">
        <v>2018</v>
      </c>
      <c r="X39">
        <v>147.361953</v>
      </c>
      <c r="Y39">
        <v>5.68007071474831</v>
      </c>
      <c r="Z39">
        <v>3.749192786530184</v>
      </c>
      <c r="AA39">
        <v>104.97739802284515</v>
      </c>
      <c r="AB39">
        <f t="shared" si="18"/>
        <v>0.71237789596100931</v>
      </c>
      <c r="AC39">
        <v>1.5143009519369941</v>
      </c>
      <c r="AD39" s="95">
        <f t="shared" si="24"/>
        <v>0.26659896117228082</v>
      </c>
      <c r="AE39">
        <f t="shared" si="19"/>
        <v>104977.39802284515</v>
      </c>
      <c r="AF39">
        <f t="shared" si="14"/>
        <v>83312.512071865378</v>
      </c>
      <c r="AG39">
        <f t="shared" si="15"/>
        <v>59349.992056981653</v>
      </c>
      <c r="AH39">
        <v>1.2578749753982104</v>
      </c>
      <c r="AI39">
        <f t="shared" si="31"/>
        <v>185362.91300450722</v>
      </c>
      <c r="AJ39">
        <f t="shared" si="32"/>
        <v>104796.72407276077</v>
      </c>
      <c r="AM39" s="812">
        <v>2018</v>
      </c>
      <c r="AN39">
        <v>0</v>
      </c>
      <c r="AO39">
        <f t="shared" si="1"/>
        <v>0</v>
      </c>
      <c r="AQ39">
        <f t="shared" si="2"/>
        <v>0</v>
      </c>
      <c r="AR39">
        <f t="shared" si="3"/>
        <v>0</v>
      </c>
      <c r="AS39">
        <v>0</v>
      </c>
      <c r="AT39">
        <f t="shared" si="4"/>
        <v>0</v>
      </c>
      <c r="AV39">
        <f t="shared" si="5"/>
        <v>0</v>
      </c>
      <c r="AX39">
        <f t="shared" si="6"/>
        <v>0</v>
      </c>
      <c r="AY39">
        <f t="shared" si="16"/>
        <v>0</v>
      </c>
      <c r="AZ39">
        <v>0.68400000000000005</v>
      </c>
      <c r="BA39">
        <f t="shared" si="17"/>
        <v>0</v>
      </c>
      <c r="BB39">
        <f t="shared" si="7"/>
        <v>0</v>
      </c>
      <c r="BC39">
        <f t="shared" si="8"/>
        <v>0</v>
      </c>
      <c r="BD39" s="812">
        <v>2018</v>
      </c>
      <c r="BE39">
        <f t="shared" si="35"/>
        <v>11479.101000000001</v>
      </c>
      <c r="BF39">
        <f t="shared" si="10"/>
        <v>6489.821294894633</v>
      </c>
      <c r="BG39">
        <f t="shared" si="36"/>
        <v>7851.7050840000011</v>
      </c>
      <c r="BH39">
        <f t="shared" si="34"/>
        <v>4439.0377657079289</v>
      </c>
    </row>
    <row r="40" spans="1:85" ht="13.8" x14ac:dyDescent="0.25">
      <c r="A40" s="981"/>
      <c r="B40" s="159" t="s">
        <v>730</v>
      </c>
      <c r="C40" s="160">
        <v>10785.22</v>
      </c>
      <c r="D40" s="161"/>
      <c r="E40" s="163">
        <f>SUM(C36:C40)</f>
        <v>50046.91</v>
      </c>
      <c r="F40" s="455"/>
      <c r="G40" s="984"/>
      <c r="H40" s="180">
        <f t="shared" si="27"/>
        <v>1.8095968101254249E-2</v>
      </c>
      <c r="I40" s="183">
        <f t="shared" si="37"/>
        <v>6.7969520551306839E-2</v>
      </c>
      <c r="J40" s="183" t="e">
        <f>(#REF!-#REF!)/#REF!</f>
        <v>#REF!</v>
      </c>
      <c r="R40">
        <f t="shared" si="0"/>
        <v>2019.4166666666645</v>
      </c>
      <c r="S40" s="23">
        <f t="shared" si="33"/>
        <v>8821.0400000000009</v>
      </c>
      <c r="U40">
        <f>_xlfn.XLOOKUP($W40,Reykjavík!$A$3:$N$3,Reykjavík!$A$6:$N$6,0.6,0)</f>
        <v>0.56278844254493865</v>
      </c>
      <c r="V40">
        <f>_xlfn.XLOOKUP($W40,Reykjavík!$A$3:$N$3,Reykjavík!$A$9:$N$9,0.6,0)</f>
        <v>0.35871667792186979</v>
      </c>
      <c r="W40" s="812">
        <v>2019</v>
      </c>
      <c r="X40">
        <v>130.97152300000002</v>
      </c>
      <c r="Y40">
        <v>5.7834545712662555</v>
      </c>
      <c r="Z40">
        <v>2.9040681409767868</v>
      </c>
      <c r="AA40">
        <v>81.313907947350032</v>
      </c>
      <c r="AB40">
        <f t="shared" si="18"/>
        <v>0.62085181637041831</v>
      </c>
      <c r="AC40">
        <v>2.5567121924031593</v>
      </c>
      <c r="AD40" s="95">
        <f t="shared" si="24"/>
        <v>0.44207353250522397</v>
      </c>
      <c r="AE40">
        <f t="shared" si="19"/>
        <v>81313.907947350031</v>
      </c>
      <c r="AF40">
        <f t="shared" si="14"/>
        <v>73709.259446908618</v>
      </c>
      <c r="AG40">
        <f t="shared" si="15"/>
        <v>45762.527610931633</v>
      </c>
      <c r="AH40">
        <v>1.0514255394326761</v>
      </c>
      <c r="AI40">
        <f t="shared" si="31"/>
        <v>137706.80422059417</v>
      </c>
      <c r="AJ40">
        <f t="shared" si="32"/>
        <v>77499.797875148986</v>
      </c>
      <c r="AM40" s="812">
        <v>2019</v>
      </c>
      <c r="AN40">
        <v>0</v>
      </c>
      <c r="AO40">
        <f t="shared" si="1"/>
        <v>0</v>
      </c>
      <c r="AQ40">
        <f t="shared" si="2"/>
        <v>0</v>
      </c>
      <c r="AR40">
        <f t="shared" si="3"/>
        <v>0</v>
      </c>
      <c r="AS40">
        <v>0</v>
      </c>
      <c r="AT40">
        <f t="shared" si="4"/>
        <v>0</v>
      </c>
      <c r="AV40">
        <f t="shared" si="5"/>
        <v>0</v>
      </c>
      <c r="AX40">
        <f t="shared" si="6"/>
        <v>0</v>
      </c>
      <c r="AY40">
        <f t="shared" si="16"/>
        <v>0</v>
      </c>
      <c r="AZ40">
        <v>0.68400000000000005</v>
      </c>
      <c r="BA40">
        <f t="shared" si="17"/>
        <v>0</v>
      </c>
      <c r="BB40">
        <f t="shared" si="7"/>
        <v>0</v>
      </c>
      <c r="BC40">
        <f t="shared" si="8"/>
        <v>0</v>
      </c>
      <c r="BD40" s="812">
        <v>2019</v>
      </c>
      <c r="BE40">
        <f t="shared" si="35"/>
        <v>10549.953</v>
      </c>
      <c r="BF40">
        <f t="shared" si="10"/>
        <v>5937.3916177923029</v>
      </c>
      <c r="BG40">
        <f t="shared" si="36"/>
        <v>7216.1678520000005</v>
      </c>
      <c r="BH40">
        <f t="shared" si="34"/>
        <v>4061.1758665699354</v>
      </c>
    </row>
    <row r="41" spans="1:85" ht="14.4" thickBot="1" x14ac:dyDescent="0.3">
      <c r="A41" s="981"/>
      <c r="B41" s="159" t="s">
        <v>735</v>
      </c>
      <c r="C41" s="160">
        <v>10218.74</v>
      </c>
      <c r="D41" s="161"/>
      <c r="E41" s="163">
        <f>SUM(C36:C41)</f>
        <v>60265.65</v>
      </c>
      <c r="F41" s="455"/>
      <c r="G41" s="984"/>
      <c r="H41" s="180">
        <f t="shared" si="27"/>
        <v>-4.805936668579474E-2</v>
      </c>
      <c r="I41" s="183">
        <f t="shared" si="37"/>
        <v>4.6344405672717567E-2</v>
      </c>
      <c r="J41" s="183" t="e">
        <f>(#REF!-#REF!)/#REF!</f>
        <v>#REF!</v>
      </c>
      <c r="R41">
        <f t="shared" si="0"/>
        <v>2019.4999999999977</v>
      </c>
      <c r="S41" s="23">
        <f t="shared" si="33"/>
        <v>9611.26</v>
      </c>
      <c r="U41">
        <f>_xlfn.XLOOKUP($W41,Reykjavík!$A$3:$N$3,Reykjavík!$A$6:$N$6,0.6,0)</f>
        <v>0.56010994263862335</v>
      </c>
      <c r="V41">
        <f>_xlfn.XLOOKUP($W41,Reykjavík!$A$3:$N$3,Reykjavík!$A$9:$N$9,0.6,0)</f>
        <v>0.35744064263561948</v>
      </c>
      <c r="W41" s="812">
        <v>2020</v>
      </c>
      <c r="X41">
        <v>105.25498999999999</v>
      </c>
      <c r="Y41">
        <v>5.8325537084365804</v>
      </c>
      <c r="Z41">
        <v>3.8883354302803217</v>
      </c>
      <c r="AA41">
        <v>108.87339204784901</v>
      </c>
      <c r="AB41">
        <f t="shared" si="18"/>
        <v>1.0343774869756674</v>
      </c>
      <c r="AC41">
        <v>1.5121810081251119</v>
      </c>
      <c r="AD41" s="95">
        <f t="shared" si="24"/>
        <v>0.25926568081795737</v>
      </c>
      <c r="AE41">
        <f t="shared" si="19"/>
        <v>108873.392047849</v>
      </c>
      <c r="AF41">
        <f t="shared" si="14"/>
        <v>58954.366411328869</v>
      </c>
      <c r="AG41">
        <f t="shared" si="15"/>
        <v>60981.069374793056</v>
      </c>
      <c r="AH41">
        <v>1.3785949845813608</v>
      </c>
      <c r="AI41">
        <f t="shared" si="31"/>
        <v>145104.00131616127</v>
      </c>
      <c r="AJ41">
        <f t="shared" si="32"/>
        <v>81274.193853829813</v>
      </c>
      <c r="AM41" s="812">
        <v>2020</v>
      </c>
      <c r="AN41">
        <v>2100</v>
      </c>
      <c r="AO41">
        <f t="shared" si="1"/>
        <v>1176.2308795411091</v>
      </c>
      <c r="AP41">
        <v>0.20699999999999999</v>
      </c>
      <c r="AQ41">
        <f t="shared" ref="AQ41:AQ45" si="38">AN41*AP41</f>
        <v>434.7</v>
      </c>
      <c r="AR41">
        <f t="shared" ref="AR41:AR45" si="39">AO41*AP41</f>
        <v>243.47979206500958</v>
      </c>
      <c r="AS41">
        <v>0</v>
      </c>
      <c r="AT41">
        <f t="shared" si="4"/>
        <v>0</v>
      </c>
      <c r="AU41">
        <v>13340</v>
      </c>
      <c r="AV41">
        <f t="shared" si="5"/>
        <v>4768.2581727591642</v>
      </c>
      <c r="AX41">
        <f t="shared" si="6"/>
        <v>0</v>
      </c>
      <c r="AY41">
        <f t="shared" si="16"/>
        <v>13340</v>
      </c>
      <c r="AZ41">
        <v>0.68400000000000005</v>
      </c>
      <c r="BA41">
        <f t="shared" ref="BA41:BA46" si="40">AY41*AZ41</f>
        <v>9124.5600000000013</v>
      </c>
      <c r="BB41">
        <f t="shared" si="7"/>
        <v>4768.2581727591642</v>
      </c>
      <c r="BC41">
        <f t="shared" ref="BC41:BC46" si="41">BB41*AZ41</f>
        <v>3261.4885901672687</v>
      </c>
      <c r="BD41" s="812">
        <v>2020</v>
      </c>
      <c r="BE41">
        <f t="shared" si="35"/>
        <v>11023.463</v>
      </c>
      <c r="BF41">
        <f t="shared" si="10"/>
        <v>6174.3512286089863</v>
      </c>
      <c r="BG41">
        <f t="shared" si="36"/>
        <v>7540.0486920000003</v>
      </c>
      <c r="BH41">
        <f t="shared" si="34"/>
        <v>4223.256240368547</v>
      </c>
      <c r="BJ41">
        <v>0.68400000000000005</v>
      </c>
    </row>
    <row r="42" spans="1:85" ht="14.4" thickBot="1" x14ac:dyDescent="0.3">
      <c r="A42" s="981"/>
      <c r="B42" s="159" t="s">
        <v>740</v>
      </c>
      <c r="C42" s="160">
        <v>10590.94</v>
      </c>
      <c r="D42" s="161"/>
      <c r="E42" s="163">
        <f>SUM(C36:C42)</f>
        <v>70856.59</v>
      </c>
      <c r="F42" s="455"/>
      <c r="G42" s="984"/>
      <c r="H42" s="180">
        <f t="shared" si="27"/>
        <v>1.7754172702780216E-4</v>
      </c>
      <c r="I42" s="183">
        <f t="shared" si="37"/>
        <v>3.9174785702050088E-2</v>
      </c>
      <c r="J42" s="183" t="e">
        <f>(#REF!-#REF!)/#REF!</f>
        <v>#REF!</v>
      </c>
      <c r="R42">
        <f t="shared" si="0"/>
        <v>2019.583333333331</v>
      </c>
      <c r="S42" s="23">
        <f t="shared" si="33"/>
        <v>8938.94</v>
      </c>
      <c r="U42">
        <f>_xlfn.XLOOKUP($W42,Reykjavík!$A$3:$N$3,Reykjavík!$A$6:$N$6,0.6,0)</f>
        <v>0.56060711732603352</v>
      </c>
      <c r="V42">
        <f>_xlfn.XLOOKUP($W42,Reykjavík!$A$3:$N$3,Reykjavík!$A$9:$N$9,0.6,0)</f>
        <v>0.3589470217528426</v>
      </c>
      <c r="W42" s="812">
        <v>2021</v>
      </c>
      <c r="X42">
        <v>96.272450000000006</v>
      </c>
      <c r="Y42">
        <v>5.7597479074565365</v>
      </c>
      <c r="Z42">
        <v>3.9838081055490395</v>
      </c>
      <c r="AA42">
        <v>111.54662695537311</v>
      </c>
      <c r="AB42">
        <f t="shared" si="18"/>
        <v>1.1586557416516678</v>
      </c>
      <c r="AC42">
        <v>1.3332944568464928</v>
      </c>
      <c r="AD42" s="95">
        <f t="shared" si="24"/>
        <v>0.23148486327334178</v>
      </c>
      <c r="AE42">
        <f t="shared" si="19"/>
        <v>111546.62695537311</v>
      </c>
      <c r="AF42">
        <f t="shared" si="14"/>
        <v>53971.020672414699</v>
      </c>
      <c r="AG42">
        <f t="shared" si="15"/>
        <v>62533.83298489415</v>
      </c>
      <c r="AH42">
        <v>1.2968573774950241</v>
      </c>
      <c r="AI42">
        <f t="shared" si="31"/>
        <v>124851.63703202084</v>
      </c>
      <c r="AJ42">
        <f t="shared" si="32"/>
        <v>69992.71632995746</v>
      </c>
      <c r="AM42" s="812">
        <v>2021</v>
      </c>
      <c r="AN42">
        <v>18000</v>
      </c>
      <c r="AO42">
        <f t="shared" si="1"/>
        <v>10090.928111868603</v>
      </c>
      <c r="AP42">
        <v>0.20699999999999999</v>
      </c>
      <c r="AQ42">
        <f t="shared" si="38"/>
        <v>3726</v>
      </c>
      <c r="AR42">
        <f t="shared" si="39"/>
        <v>2088.8221191568009</v>
      </c>
      <c r="AS42">
        <v>0</v>
      </c>
      <c r="AT42">
        <f t="shared" si="4"/>
        <v>0</v>
      </c>
      <c r="AU42">
        <v>12790</v>
      </c>
      <c r="AV42">
        <f t="shared" si="5"/>
        <v>4590.9324082188568</v>
      </c>
      <c r="AX42">
        <f t="shared" si="6"/>
        <v>0</v>
      </c>
      <c r="AY42">
        <f t="shared" si="16"/>
        <v>12790</v>
      </c>
      <c r="AZ42">
        <v>0.68400000000000005</v>
      </c>
      <c r="BA42">
        <f t="shared" si="40"/>
        <v>8748.36</v>
      </c>
      <c r="BB42">
        <f t="shared" si="7"/>
        <v>4590.9324082188568</v>
      </c>
      <c r="BC42">
        <f t="shared" si="41"/>
        <v>3140.1977672216985</v>
      </c>
      <c r="BD42" s="812">
        <v>2021</v>
      </c>
      <c r="BE42">
        <f t="shared" si="35"/>
        <v>12646.135</v>
      </c>
      <c r="BF42">
        <f t="shared" si="10"/>
        <v>7089.513287665859</v>
      </c>
      <c r="BG42">
        <f t="shared" si="36"/>
        <v>8649.9563400000006</v>
      </c>
      <c r="BH42">
        <f t="shared" ref="BH42:BH45" si="42">BF42*AZ42</f>
        <v>4849.2270887634477</v>
      </c>
      <c r="BW42" s="457" t="s">
        <v>1073</v>
      </c>
      <c r="BX42" s="529">
        <v>2021</v>
      </c>
      <c r="BY42" s="458">
        <v>2020</v>
      </c>
      <c r="BZ42" s="459">
        <v>2019</v>
      </c>
      <c r="CA42" s="460">
        <v>2018</v>
      </c>
      <c r="CB42" s="460">
        <v>2017</v>
      </c>
    </row>
    <row r="43" spans="1:85" ht="14.4" thickBot="1" x14ac:dyDescent="0.3">
      <c r="A43" s="981"/>
      <c r="B43" s="159" t="s">
        <v>752</v>
      </c>
      <c r="C43" s="160">
        <v>10329.120000000001</v>
      </c>
      <c r="D43" s="161"/>
      <c r="E43" s="163">
        <f>SUM(C36:C43)</f>
        <v>81185.709999999992</v>
      </c>
      <c r="F43" s="455"/>
      <c r="G43" s="984"/>
      <c r="H43" s="180">
        <f t="shared" si="27"/>
        <v>-7.0789725099451029E-2</v>
      </c>
      <c r="I43" s="183">
        <f t="shared" si="37"/>
        <v>2.3760596589268157E-2</v>
      </c>
      <c r="J43" s="183" t="e">
        <f>(#REF!-#REF!)/#REF!</f>
        <v>#REF!</v>
      </c>
      <c r="R43">
        <f t="shared" si="0"/>
        <v>2019.6666666666642</v>
      </c>
      <c r="S43" s="23">
        <f t="shared" si="33"/>
        <v>9020.64</v>
      </c>
      <c r="U43">
        <f>_xlfn.XLOOKUP($W43,Reykjavík!$A$3:$N$3,Reykjavík!$A$6:$N$6,0.6,0)</f>
        <v>0.56036786500178015</v>
      </c>
      <c r="V43">
        <f>_xlfn.XLOOKUP($W43,Reykjavík!$A$3:$N$3,Reykjavík!$A$9:$N$9,0.6,0)</f>
        <v>0.35799373556178526</v>
      </c>
      <c r="W43" s="812">
        <v>2022</v>
      </c>
      <c r="X43">
        <v>67.470669999999998</v>
      </c>
      <c r="Y43">
        <v>5.5942864594038699</v>
      </c>
      <c r="Z43">
        <v>4.2056366999791397</v>
      </c>
      <c r="AA43">
        <v>117.75782759941592</v>
      </c>
      <c r="AB43">
        <f t="shared" si="18"/>
        <v>1.745318782211825</v>
      </c>
      <c r="AC43">
        <v>0.92135679276038096</v>
      </c>
      <c r="AD43" s="95">
        <f t="shared" si="24"/>
        <v>0.16469603397080262</v>
      </c>
      <c r="AE43">
        <f t="shared" si="19"/>
        <v>117757.82759941592</v>
      </c>
      <c r="AF43">
        <f t="shared" si="14"/>
        <v>37808.395298139658</v>
      </c>
      <c r="AG43">
        <f t="shared" si="15"/>
        <v>65987.702439132394</v>
      </c>
      <c r="AH43">
        <v>1.4029920906216826</v>
      </c>
      <c r="AI43">
        <f t="shared" si="31"/>
        <v>94660.816358945638</v>
      </c>
      <c r="AJ43">
        <f t="shared" si="32"/>
        <v>53044.879562387949</v>
      </c>
      <c r="AM43" s="812">
        <v>2022</v>
      </c>
      <c r="AN43">
        <v>26896</v>
      </c>
      <c r="AO43">
        <f t="shared" si="1"/>
        <v>15071.65409708788</v>
      </c>
      <c r="AP43">
        <v>0.20699999999999999</v>
      </c>
      <c r="AQ43">
        <f t="shared" si="38"/>
        <v>5567.4719999999998</v>
      </c>
      <c r="AR43">
        <f t="shared" si="39"/>
        <v>3119.8323980971909</v>
      </c>
      <c r="AS43">
        <v>0</v>
      </c>
      <c r="AT43">
        <f t="shared" si="4"/>
        <v>0</v>
      </c>
      <c r="AU43">
        <v>11680</v>
      </c>
      <c r="AV43">
        <f t="shared" si="5"/>
        <v>4181.3668313616517</v>
      </c>
      <c r="AX43">
        <f t="shared" si="6"/>
        <v>0</v>
      </c>
      <c r="AY43">
        <f t="shared" si="16"/>
        <v>11680</v>
      </c>
      <c r="AZ43">
        <v>0.68400000000000005</v>
      </c>
      <c r="BA43">
        <f t="shared" si="40"/>
        <v>7989.1200000000008</v>
      </c>
      <c r="BB43">
        <f t="shared" si="7"/>
        <v>4181.3668313616517</v>
      </c>
      <c r="BC43">
        <f t="shared" si="41"/>
        <v>2860.0549126513702</v>
      </c>
      <c r="BD43" s="812">
        <v>2022</v>
      </c>
      <c r="BE43">
        <f t="shared" si="35"/>
        <v>11780</v>
      </c>
      <c r="BF43">
        <f t="shared" si="10"/>
        <v>6601.13344972097</v>
      </c>
      <c r="BG43">
        <f t="shared" si="36"/>
        <v>8057.52</v>
      </c>
      <c r="BH43">
        <f t="shared" si="42"/>
        <v>4515.1752796091441</v>
      </c>
      <c r="BJ43" s="16" t="s">
        <v>1096</v>
      </c>
      <c r="BK43" s="16"/>
      <c r="BL43" s="16"/>
      <c r="BW43" s="461" t="s">
        <v>1076</v>
      </c>
      <c r="BY43" s="531" t="s">
        <v>1097</v>
      </c>
      <c r="BZ43" s="462">
        <v>5378535</v>
      </c>
      <c r="CA43" s="532" t="s">
        <v>1098</v>
      </c>
      <c r="CB43" s="530" t="s">
        <v>1099</v>
      </c>
    </row>
    <row r="44" spans="1:85" ht="14.4" thickBot="1" x14ac:dyDescent="0.3">
      <c r="A44" s="981"/>
      <c r="B44" s="159" t="s">
        <v>754</v>
      </c>
      <c r="C44" s="160">
        <v>9486.02</v>
      </c>
      <c r="D44" s="161"/>
      <c r="E44" s="163">
        <f>SUM(C36:C44)</f>
        <v>90671.73</v>
      </c>
      <c r="F44" s="455"/>
      <c r="G44" s="984"/>
      <c r="H44" s="180">
        <f t="shared" si="27"/>
        <v>-5.4985275892711141E-2</v>
      </c>
      <c r="I44" s="183">
        <f t="shared" si="37"/>
        <v>1.4912901829897518E-2</v>
      </c>
      <c r="J44" s="183" t="e">
        <f>(#REF!-#REF!)/#REF!</f>
        <v>#REF!</v>
      </c>
      <c r="R44">
        <f t="shared" si="0"/>
        <v>2019.7499999999975</v>
      </c>
      <c r="S44" s="23">
        <f t="shared" si="33"/>
        <v>8615.68</v>
      </c>
      <c r="U44">
        <f>_xlfn.XLOOKUP($W44,Reykjavík!$A$3:$N$3,Reykjavík!$A$6:$N$6,0.6,0)</f>
        <v>0.56188340431941231</v>
      </c>
      <c r="V44">
        <f>_xlfn.XLOOKUP($W44,Reykjavík!$A$3:$N$3,Reykjavík!$A$9:$N$9,0.6,0)</f>
        <v>0.35791992921448329</v>
      </c>
      <c r="W44" s="812">
        <v>2023</v>
      </c>
      <c r="X44">
        <v>71.217950000000002</v>
      </c>
      <c r="Y44">
        <v>5.1908306657159073</v>
      </c>
      <c r="Z44">
        <v>3.6812456244019072</v>
      </c>
      <c r="AA44">
        <v>103.0748774832534</v>
      </c>
      <c r="AB44">
        <f t="shared" si="18"/>
        <v>1.4473159854117312</v>
      </c>
      <c r="AC44">
        <v>1.1005577497137879</v>
      </c>
      <c r="AD44" s="95">
        <f t="shared" si="24"/>
        <v>0.21201958233442036</v>
      </c>
      <c r="AE44">
        <f t="shared" si="19"/>
        <v>103074.8774832534</v>
      </c>
      <c r="AF44">
        <f t="shared" si="14"/>
        <v>40016.184194649686</v>
      </c>
      <c r="AG44">
        <f t="shared" si="15"/>
        <v>57916.063060096756</v>
      </c>
      <c r="AH44">
        <v>1.2371816903172497</v>
      </c>
      <c r="AI44">
        <f t="shared" si="31"/>
        <v>88109.543761929366</v>
      </c>
      <c r="AJ44">
        <f t="shared" si="32"/>
        <v>49507.290401983111</v>
      </c>
      <c r="AM44" s="812">
        <v>2023</v>
      </c>
      <c r="AN44">
        <v>29751</v>
      </c>
      <c r="AO44">
        <f t="shared" si="1"/>
        <v>16716.593161906836</v>
      </c>
      <c r="AP44">
        <v>0.20699999999999999</v>
      </c>
      <c r="AQ44">
        <f t="shared" si="38"/>
        <v>6158.4569999999994</v>
      </c>
      <c r="AR44">
        <f t="shared" si="39"/>
        <v>3460.334784514715</v>
      </c>
      <c r="AS44">
        <v>4684.7629999999999</v>
      </c>
      <c r="AT44">
        <f t="shared" si="4"/>
        <v>2632.290582869623</v>
      </c>
      <c r="AU44">
        <v>17508</v>
      </c>
      <c r="AV44">
        <f t="shared" si="5"/>
        <v>6266.4621206871734</v>
      </c>
      <c r="AW44">
        <v>15600</v>
      </c>
      <c r="AX44">
        <f t="shared" si="6"/>
        <v>5583.5508957459397</v>
      </c>
      <c r="AY44">
        <f t="shared" si="16"/>
        <v>37792.762999999999</v>
      </c>
      <c r="AZ44">
        <v>0.68400000000000005</v>
      </c>
      <c r="BA44">
        <f t="shared" si="40"/>
        <v>25850.249892</v>
      </c>
      <c r="BB44">
        <f t="shared" si="7"/>
        <v>14482.303599302737</v>
      </c>
      <c r="BC44">
        <f t="shared" si="41"/>
        <v>9905.8956619230721</v>
      </c>
      <c r="BD44" s="812">
        <v>2023</v>
      </c>
      <c r="BE44">
        <f t="shared" si="35"/>
        <v>11520</v>
      </c>
      <c r="BF44">
        <f t="shared" si="10"/>
        <v>6472.8968177596298</v>
      </c>
      <c r="BG44">
        <f t="shared" si="36"/>
        <v>7879.68</v>
      </c>
      <c r="BH44">
        <f t="shared" si="42"/>
        <v>4427.4614233475868</v>
      </c>
      <c r="BW44" s="461" t="s">
        <v>1078</v>
      </c>
      <c r="BY44" s="530" t="s">
        <v>1100</v>
      </c>
      <c r="BZ44" s="463">
        <v>5556521</v>
      </c>
      <c r="CA44" s="532" t="s">
        <v>1101</v>
      </c>
      <c r="CB44" s="530" t="s">
        <v>1102</v>
      </c>
    </row>
    <row r="45" spans="1:85" ht="14.4" thickBot="1" x14ac:dyDescent="0.3">
      <c r="A45" s="981"/>
      <c r="B45" s="159" t="s">
        <v>755</v>
      </c>
      <c r="C45" s="160">
        <v>10851.76</v>
      </c>
      <c r="D45" s="161"/>
      <c r="E45" s="163">
        <f>SUM(C36:C45)</f>
        <v>101523.48999999999</v>
      </c>
      <c r="F45" s="455"/>
      <c r="G45" s="984"/>
      <c r="H45" s="180">
        <f t="shared" si="27"/>
        <v>4.1517662618363434E-2</v>
      </c>
      <c r="I45" s="183">
        <f t="shared" si="37"/>
        <v>1.7691607540602863E-2</v>
      </c>
      <c r="J45" s="183" t="e">
        <f>(#REF!-#REF!)/#REF!</f>
        <v>#REF!</v>
      </c>
      <c r="R45">
        <f t="shared" si="0"/>
        <v>2019.8333333333308</v>
      </c>
      <c r="S45" s="23">
        <f t="shared" si="33"/>
        <v>7421.58</v>
      </c>
      <c r="U45">
        <f>_xlfn.XLOOKUP($W45,Reykjavík!$A$3:$N$3,Reykjavík!$A$6:$N$6,0.6,0)</f>
        <v>0.56125260344064154</v>
      </c>
      <c r="V45">
        <f>_xlfn.XLOOKUP($W45,Reykjavík!$A$3:$N$3,Reykjavík!$A$9:$N$9,0.6,0)</f>
        <v>0.35674934719044316</v>
      </c>
      <c r="W45" s="812">
        <v>2024</v>
      </c>
      <c r="X45">
        <v>15.879490000000001</v>
      </c>
      <c r="Y45">
        <v>4.8225550883036945</v>
      </c>
      <c r="Z45">
        <v>3.3995111008502734</v>
      </c>
      <c r="AA45">
        <v>95.186310823807659</v>
      </c>
      <c r="AB45">
        <f t="shared" si="18"/>
        <v>5.9942926897405178</v>
      </c>
      <c r="AC45">
        <v>1.0453205318033911</v>
      </c>
      <c r="AD45" s="95">
        <f t="shared" si="24"/>
        <v>0.21675657668248149</v>
      </c>
      <c r="AE45">
        <f>AA45*1000</f>
        <v>95186.310823807653</v>
      </c>
      <c r="AF45" s="22">
        <f t="shared" si="14"/>
        <v>8912.4051038096331</v>
      </c>
      <c r="AG45">
        <f t="shared" si="15"/>
        <v>53423.564761772162</v>
      </c>
      <c r="AH45">
        <v>0.22849517480698731</v>
      </c>
      <c r="AI45">
        <f t="shared" si="31"/>
        <v>3628.3868433958069</v>
      </c>
      <c r="AJ45">
        <f t="shared" si="32"/>
        <v>2036.4415621456678</v>
      </c>
      <c r="AM45" s="812">
        <v>2024</v>
      </c>
      <c r="AN45">
        <v>19204</v>
      </c>
      <c r="AO45">
        <f t="shared" si="1"/>
        <v>10778.29499647408</v>
      </c>
      <c r="AP45">
        <v>0.20699999999999999</v>
      </c>
      <c r="AQ45">
        <f t="shared" si="38"/>
        <v>3975.2279999999996</v>
      </c>
      <c r="AR45">
        <f t="shared" si="39"/>
        <v>2231.1070642701343</v>
      </c>
      <c r="AS45">
        <v>43000</v>
      </c>
      <c r="AT45">
        <f>AS45*U45</f>
        <v>24133.861947947586</v>
      </c>
      <c r="AU45">
        <v>19200</v>
      </c>
      <c r="AV45">
        <f>AU45*V45</f>
        <v>6849.5874660565087</v>
      </c>
      <c r="AW45">
        <v>18500</v>
      </c>
      <c r="AX45">
        <f>AW45*V45</f>
        <v>6599.8629230231982</v>
      </c>
      <c r="AY45">
        <f>AW45+AU45+AS45</f>
        <v>80700</v>
      </c>
      <c r="AZ45">
        <v>0.52600000000000002</v>
      </c>
      <c r="BA45">
        <f t="shared" si="40"/>
        <v>42448.200000000004</v>
      </c>
      <c r="BB45">
        <f t="shared" si="7"/>
        <v>37583.312337027295</v>
      </c>
      <c r="BC45">
        <f t="shared" si="41"/>
        <v>19768.822289276359</v>
      </c>
      <c r="BD45" s="812">
        <v>2024</v>
      </c>
      <c r="BE45">
        <f t="shared" si="35"/>
        <v>12134.987999999999</v>
      </c>
      <c r="BF45">
        <f t="shared" si="10"/>
        <v>6810.7936077209433</v>
      </c>
      <c r="BG45">
        <f t="shared" si="36"/>
        <v>6383.0036879999998</v>
      </c>
      <c r="BH45">
        <f t="shared" si="42"/>
        <v>3582.4774376612163</v>
      </c>
      <c r="BW45" s="461" t="s">
        <v>1080</v>
      </c>
      <c r="BY45" s="530" t="s">
        <v>1103</v>
      </c>
      <c r="BZ45" s="463">
        <v>1989735</v>
      </c>
      <c r="CA45" s="532" t="s">
        <v>1104</v>
      </c>
      <c r="CB45" s="530" t="s">
        <v>1105</v>
      </c>
    </row>
    <row r="46" spans="1:85" ht="14.4" thickBot="1" x14ac:dyDescent="0.3">
      <c r="A46" s="981"/>
      <c r="B46" s="159" t="s">
        <v>756</v>
      </c>
      <c r="C46" s="160">
        <v>9454.1200000000008</v>
      </c>
      <c r="D46" s="161"/>
      <c r="E46" s="163">
        <f>SUM(C36:C46)</f>
        <v>110977.60999999999</v>
      </c>
      <c r="F46" s="455"/>
      <c r="G46" s="984"/>
      <c r="H46" s="180">
        <f t="shared" si="27"/>
        <v>-7.9219791361293965E-2</v>
      </c>
      <c r="I46" s="183">
        <f t="shared" si="37"/>
        <v>8.647947291783609E-3</v>
      </c>
      <c r="J46" s="183" t="e">
        <f>(#REF!-#REF!)/#REF!</f>
        <v>#REF!</v>
      </c>
      <c r="R46">
        <f t="shared" si="0"/>
        <v>2019.916666666664</v>
      </c>
      <c r="S46" s="23">
        <f t="shared" si="33"/>
        <v>7410.2</v>
      </c>
      <c r="U46">
        <f>_xlfn.XLOOKUP($W46,Reykjavík!$A$3:$N$3,Reykjavík!$A$6:$N$6,0.6,0)</f>
        <v>0.55787065884632547</v>
      </c>
      <c r="V46">
        <f>_xlfn.XLOOKUP($W46,Reykjavík!$A$3:$N$3,Reykjavík!$A$9:$N$9,0.6,0)</f>
        <v>0.35633364488861041</v>
      </c>
      <c r="W46" s="812">
        <v>2025</v>
      </c>
      <c r="X46">
        <v>28.946000000000002</v>
      </c>
      <c r="Y46">
        <v>4.2876995232394375</v>
      </c>
      <c r="Z46">
        <v>3.0367478721054937</v>
      </c>
      <c r="AA46">
        <v>85.028940418953823</v>
      </c>
      <c r="AB46">
        <v>2.9375022600343335</v>
      </c>
      <c r="AC46">
        <v>0.91353522089999994</v>
      </c>
      <c r="AD46" s="95">
        <f t="shared" ref="AD46" si="43">AC46/Y46</f>
        <v>0.2130595243320145</v>
      </c>
      <c r="AE46">
        <f>AA46*1000</f>
        <v>85028.940418953818</v>
      </c>
      <c r="AF46" s="22">
        <f t="shared" ref="AF46" si="44">U46*X46*1000</f>
        <v>16148.124090965737</v>
      </c>
      <c r="AG46">
        <f>AE46*U46</f>
        <v>47435.151012526723</v>
      </c>
      <c r="AH46">
        <v>0.20167608747733862</v>
      </c>
      <c r="AI46">
        <f>AH46*X46*1000</f>
        <v>5837.7160281190445</v>
      </c>
      <c r="AJ46">
        <f>AI46*U46</f>
        <v>3256.6904867645258</v>
      </c>
      <c r="AM46" s="812">
        <v>2025</v>
      </c>
      <c r="AN46">
        <v>19397</v>
      </c>
      <c r="AO46">
        <f t="shared" si="1"/>
        <v>10821.017169642175</v>
      </c>
      <c r="AP46">
        <v>0.20699999999999999</v>
      </c>
      <c r="AQ46">
        <f>AN46*AP46</f>
        <v>4015.1789999999996</v>
      </c>
      <c r="AR46">
        <f>AO46*AP46</f>
        <v>2239.9505541159301</v>
      </c>
      <c r="AS46">
        <v>45000</v>
      </c>
      <c r="AT46">
        <f>AS46*U46</f>
        <v>25104.179648084646</v>
      </c>
      <c r="AU46">
        <v>31700</v>
      </c>
      <c r="AV46">
        <f>AU46*V46</f>
        <v>11295.77654296895</v>
      </c>
      <c r="AW46">
        <f>AU46/U46</f>
        <v>56823.207131121555</v>
      </c>
      <c r="AX46">
        <v>8408.4490000000005</v>
      </c>
      <c r="AY46">
        <f>AW46+AU46+AS46</f>
        <v>133523.20713112154</v>
      </c>
      <c r="AZ46">
        <v>0.52600000000000002</v>
      </c>
      <c r="BA46">
        <f t="shared" si="40"/>
        <v>70233.206950969936</v>
      </c>
      <c r="BB46">
        <f t="shared" ref="BB46" si="45">AX46+AV46+AT46</f>
        <v>44808.405191053593</v>
      </c>
      <c r="BC46">
        <f t="shared" si="41"/>
        <v>23569.221130494192</v>
      </c>
      <c r="BD46" s="812">
        <v>2025</v>
      </c>
      <c r="BE46">
        <f t="shared" si="35"/>
        <v>12993.41</v>
      </c>
      <c r="BF46">
        <f t="shared" si="10"/>
        <v>7248.6421973604338</v>
      </c>
      <c r="BG46">
        <f t="shared" si="36"/>
        <v>6834.5336600000001</v>
      </c>
      <c r="BH46">
        <f>BF46*AZ46</f>
        <v>3812.7857958115883</v>
      </c>
      <c r="BW46" s="533" t="s">
        <v>1082</v>
      </c>
      <c r="BY46" s="534" t="s">
        <v>1106</v>
      </c>
      <c r="BZ46" s="462">
        <v>5511816</v>
      </c>
      <c r="CA46" s="534" t="s">
        <v>1107</v>
      </c>
      <c r="CB46" s="534" t="s">
        <v>1108</v>
      </c>
    </row>
    <row r="47" spans="1:85" ht="14.4" thickBot="1" x14ac:dyDescent="0.3">
      <c r="A47" s="987"/>
      <c r="B47" s="167" t="s">
        <v>758</v>
      </c>
      <c r="C47" s="168">
        <v>8887.74</v>
      </c>
      <c r="D47" s="171"/>
      <c r="E47" s="163">
        <f>SUM(C36:C47)</f>
        <v>119865.34999999999</v>
      </c>
      <c r="F47" s="455"/>
      <c r="G47" s="984"/>
      <c r="H47" s="184">
        <f t="shared" si="27"/>
        <v>-3.0975245970274269E-2</v>
      </c>
      <c r="I47" s="187">
        <f t="shared" si="37"/>
        <v>5.5990895816580254E-3</v>
      </c>
      <c r="J47" s="187" t="e">
        <f>(#REF!-#REF!)/#REF!</f>
        <v>#REF!</v>
      </c>
      <c r="R47">
        <f t="shared" si="0"/>
        <v>2019.9999999999973</v>
      </c>
      <c r="S47" s="23">
        <f>M13</f>
        <v>8379.56</v>
      </c>
      <c r="X47">
        <v>15.879490000000001</v>
      </c>
      <c r="Y47">
        <v>3.8273667747514528</v>
      </c>
      <c r="Z47">
        <v>3.4446300972763075</v>
      </c>
      <c r="AA47">
        <v>96.449642723736616</v>
      </c>
      <c r="AB47">
        <f t="shared" si="18"/>
        <v>6.0738501503345894</v>
      </c>
      <c r="AG47">
        <f>AA45*1000-AG45</f>
        <v>41762.74606203549</v>
      </c>
      <c r="AW47">
        <f>AS45+AU45+AW45</f>
        <v>80700</v>
      </c>
      <c r="AX47">
        <f>(AW47-AS45)*Reykjavík!L8+AS45</f>
        <v>66963.274836732453</v>
      </c>
    </row>
    <row r="48" spans="1:85" ht="14.4" thickBot="1" x14ac:dyDescent="0.3">
      <c r="A48" s="172" t="s">
        <v>3</v>
      </c>
      <c r="B48" s="188"/>
      <c r="C48" s="174">
        <f>SUM(C36:C47)</f>
        <v>119865.34999999999</v>
      </c>
      <c r="D48" s="449">
        <f>263064*0.495</f>
        <v>130216.68</v>
      </c>
      <c r="E48" s="175">
        <f>E42</f>
        <v>70856.59</v>
      </c>
      <c r="F48" s="453"/>
      <c r="G48" s="985"/>
      <c r="H48" s="189">
        <f t="shared" si="27"/>
        <v>5.5990895816580254E-3</v>
      </c>
      <c r="I48" s="191">
        <f t="shared" si="37"/>
        <v>3.9174785702050088E-2</v>
      </c>
      <c r="J48" s="191" t="e">
        <f>(#REF!-#REF!)/#REF!</f>
        <v>#REF!</v>
      </c>
      <c r="R48">
        <f t="shared" si="0"/>
        <v>2020.0833333333305</v>
      </c>
      <c r="S48" s="23">
        <f t="shared" ref="S48:S54" si="46">M14</f>
        <v>6154.64</v>
      </c>
      <c r="X48">
        <v>15.879490000000001</v>
      </c>
      <c r="Y48">
        <v>3.4299851737609237</v>
      </c>
      <c r="Z48">
        <v>3.0869866563848314</v>
      </c>
      <c r="AA48">
        <v>86.435626378775282</v>
      </c>
      <c r="AB48">
        <f t="shared" si="18"/>
        <v>5.4432243339537525</v>
      </c>
      <c r="AO48">
        <f>AN45-AO45</f>
        <v>8425.7050035259199</v>
      </c>
      <c r="AW48">
        <f>AT45+AV45+AX45</f>
        <v>37583.312337027295</v>
      </c>
    </row>
    <row r="49" spans="1:80" ht="14.25" customHeight="1" thickBot="1" x14ac:dyDescent="0.3">
      <c r="A49" s="981">
        <v>2019</v>
      </c>
      <c r="B49" s="151" t="s">
        <v>710</v>
      </c>
      <c r="C49" s="152">
        <v>10359.98</v>
      </c>
      <c r="D49" s="153"/>
      <c r="E49" s="155">
        <f>C49</f>
        <v>10359.98</v>
      </c>
      <c r="F49" s="454"/>
      <c r="G49" s="983" t="str">
        <f>"Milli áranna "&amp; A36&amp;" og "&amp; A49</f>
        <v>Milli áranna 2018 og 2019</v>
      </c>
      <c r="H49" s="178">
        <f t="shared" si="27"/>
        <v>-4.046183883432565E-2</v>
      </c>
      <c r="I49" s="179">
        <f t="shared" si="37"/>
        <v>-4.046183883432565E-2</v>
      </c>
      <c r="J49" s="179" t="e">
        <f>(#REF!-#REF!)/#REF!</f>
        <v>#REF!</v>
      </c>
      <c r="R49">
        <f t="shared" si="0"/>
        <v>2020.1666666666638</v>
      </c>
      <c r="S49" s="23">
        <f t="shared" si="46"/>
        <v>7204.3</v>
      </c>
      <c r="X49">
        <v>15.879490000000001</v>
      </c>
      <c r="Y49">
        <v>3.0858685295170583</v>
      </c>
      <c r="Z49">
        <v>2.7772816765653525</v>
      </c>
      <c r="AA49">
        <v>77.763886943829874</v>
      </c>
      <c r="AB49">
        <f t="shared" si="18"/>
        <v>4.8971274860735372</v>
      </c>
      <c r="AW49">
        <f>AW48*BC7</f>
        <v>25706.985638526672</v>
      </c>
      <c r="BW49" s="528" t="s">
        <v>1087</v>
      </c>
      <c r="BX49" s="537" t="s">
        <v>1109</v>
      </c>
      <c r="BY49" s="538" t="s">
        <v>1110</v>
      </c>
      <c r="BZ49" s="465">
        <v>18436607</v>
      </c>
      <c r="CA49" s="539" t="s">
        <v>1111</v>
      </c>
      <c r="CB49" s="537" t="s">
        <v>1112</v>
      </c>
    </row>
    <row r="50" spans="1:80" ht="14.4" thickBot="1" x14ac:dyDescent="0.3">
      <c r="A50" s="981"/>
      <c r="B50" s="159" t="s">
        <v>715</v>
      </c>
      <c r="C50" s="160">
        <v>8657.68</v>
      </c>
      <c r="D50" s="161"/>
      <c r="E50" s="163">
        <f>SUM(C49:C50)</f>
        <v>19017.66</v>
      </c>
      <c r="F50" s="455"/>
      <c r="G50" s="984"/>
      <c r="H50" s="180">
        <f t="shared" si="27"/>
        <v>-7.3194439389300536E-2</v>
      </c>
      <c r="I50" s="183">
        <f t="shared" si="37"/>
        <v>-5.5645323876045004E-2</v>
      </c>
      <c r="J50" s="183" t="e">
        <f>(#REF!-#REF!)/#REF!</f>
        <v>#REF!</v>
      </c>
      <c r="R50">
        <f t="shared" si="0"/>
        <v>2020.249999999997</v>
      </c>
      <c r="S50" s="23">
        <f t="shared" si="46"/>
        <v>7158.26</v>
      </c>
      <c r="X50">
        <v>15.879490000000001</v>
      </c>
      <c r="Y50">
        <v>2.786902654824631</v>
      </c>
      <c r="Z50">
        <v>2.5082123893421677</v>
      </c>
      <c r="AA50">
        <v>70.229946901580689</v>
      </c>
      <c r="AB50">
        <f t="shared" si="18"/>
        <v>4.4226827751760718</v>
      </c>
      <c r="AG50">
        <f>X46*1000-AF46</f>
        <v>12797.875909034263</v>
      </c>
      <c r="AO50">
        <f>AO46-AN46</f>
        <v>-8575.9828303578252</v>
      </c>
      <c r="AW50">
        <f>AW47*BC7</f>
        <v>55198.8</v>
      </c>
      <c r="BW50" s="461" t="s">
        <v>290</v>
      </c>
      <c r="BY50" s="530" t="s">
        <v>1113</v>
      </c>
      <c r="BZ50" s="463">
        <v>10549953</v>
      </c>
      <c r="CA50" s="532" t="s">
        <v>1114</v>
      </c>
      <c r="CB50" s="530" t="s">
        <v>1115</v>
      </c>
    </row>
    <row r="51" spans="1:80" ht="14.4" thickBot="1" x14ac:dyDescent="0.3">
      <c r="A51" s="981"/>
      <c r="B51" s="159" t="s">
        <v>718</v>
      </c>
      <c r="C51" s="160">
        <v>8700.56</v>
      </c>
      <c r="D51" s="161"/>
      <c r="E51" s="163">
        <f>SUM(C49:C51)</f>
        <v>27718.22</v>
      </c>
      <c r="F51" s="455"/>
      <c r="G51" s="984"/>
      <c r="H51" s="180">
        <f t="shared" si="27"/>
        <v>-8.0929996725363773E-2</v>
      </c>
      <c r="I51" s="183">
        <f t="shared" si="37"/>
        <v>-6.3730537045143837E-2</v>
      </c>
      <c r="J51" s="183" t="e">
        <f>(#REF!-#REF!)/#REF!</f>
        <v>#REF!</v>
      </c>
      <c r="R51">
        <f t="shared" si="0"/>
        <v>2020.3333333333303</v>
      </c>
      <c r="S51" s="23">
        <f t="shared" si="46"/>
        <v>6950.12</v>
      </c>
      <c r="X51">
        <v>15.879490000000001</v>
      </c>
      <c r="Y51">
        <v>2.5262844539719898</v>
      </c>
      <c r="Z51">
        <v>2.273656008574791</v>
      </c>
      <c r="AA51">
        <v>63.662368240094146</v>
      </c>
      <c r="AB51">
        <f t="shared" si="18"/>
        <v>4.0090940099520918</v>
      </c>
      <c r="BW51" s="461" t="s">
        <v>1088</v>
      </c>
      <c r="BY51" s="530" t="s">
        <v>1116</v>
      </c>
      <c r="BZ51" s="463">
        <v>3709166</v>
      </c>
      <c r="CA51" s="532" t="s">
        <v>1117</v>
      </c>
      <c r="CB51" s="530" t="s">
        <v>1118</v>
      </c>
    </row>
    <row r="52" spans="1:80" ht="14.4" thickBot="1" x14ac:dyDescent="0.3">
      <c r="A52" s="981"/>
      <c r="B52" s="159" t="s">
        <v>725</v>
      </c>
      <c r="C52" s="160">
        <v>8838.84</v>
      </c>
      <c r="D52" s="161"/>
      <c r="E52" s="163">
        <f>SUM(C49:C52)</f>
        <v>36557.06</v>
      </c>
      <c r="F52" s="455"/>
      <c r="G52" s="984"/>
      <c r="H52" s="180">
        <f t="shared" si="27"/>
        <v>-8.4696372374499382E-2</v>
      </c>
      <c r="I52" s="183">
        <f t="shared" si="37"/>
        <v>-6.8887253707112572E-2</v>
      </c>
      <c r="J52" s="183" t="e">
        <f>(#REF!-#REF!)/#REF!</f>
        <v>#REF!</v>
      </c>
      <c r="R52">
        <f t="shared" si="0"/>
        <v>2020.4166666666636</v>
      </c>
      <c r="S52" s="23">
        <f t="shared" si="46"/>
        <v>7245.1</v>
      </c>
      <c r="BW52" s="533" t="s">
        <v>1089</v>
      </c>
      <c r="BY52" s="534" t="s">
        <v>1119</v>
      </c>
      <c r="BZ52" s="462">
        <v>3422418</v>
      </c>
      <c r="CA52" s="534" t="s">
        <v>1120</v>
      </c>
      <c r="CB52" s="534" t="s">
        <v>1121</v>
      </c>
    </row>
    <row r="53" spans="1:80" ht="13.8" x14ac:dyDescent="0.25">
      <c r="A53" s="981"/>
      <c r="B53" s="159" t="s">
        <v>730</v>
      </c>
      <c r="C53" s="160">
        <v>10672.39</v>
      </c>
      <c r="D53" s="161"/>
      <c r="E53" s="163">
        <f>SUM(C49:C53)</f>
        <v>47229.45</v>
      </c>
      <c r="F53" s="455"/>
      <c r="G53" s="984"/>
      <c r="H53" s="180">
        <f t="shared" si="27"/>
        <v>-1.0461539032119877E-2</v>
      </c>
      <c r="I53" s="183">
        <f t="shared" si="37"/>
        <v>-5.6296382733719348E-2</v>
      </c>
      <c r="J53" s="183" t="e">
        <f>(#REF!-#REF!)/#REF!</f>
        <v>#REF!</v>
      </c>
      <c r="R53">
        <f t="shared" si="0"/>
        <v>2020.4999999999968</v>
      </c>
      <c r="S53" s="23">
        <f t="shared" si="46"/>
        <v>7600.9</v>
      </c>
    </row>
    <row r="54" spans="1:80" ht="13.8" x14ac:dyDescent="0.25">
      <c r="A54" s="981"/>
      <c r="B54" s="159" t="s">
        <v>735</v>
      </c>
      <c r="C54" s="160">
        <v>8821.0400000000009</v>
      </c>
      <c r="D54" s="161"/>
      <c r="E54" s="163">
        <f>SUM(C49:C54)</f>
        <v>56050.49</v>
      </c>
      <c r="F54" s="455"/>
      <c r="G54" s="984"/>
      <c r="H54" s="180">
        <f t="shared" si="27"/>
        <v>-0.13677811550151966</v>
      </c>
      <c r="I54" s="183">
        <f t="shared" si="37"/>
        <v>-6.9942994060464017E-2</v>
      </c>
      <c r="J54" s="183" t="e">
        <f>(#REF!-#REF!)/#REF!</f>
        <v>#REF!</v>
      </c>
      <c r="R54">
        <f t="shared" si="0"/>
        <v>2020.5833333333301</v>
      </c>
      <c r="S54" s="23">
        <f t="shared" si="46"/>
        <v>6408.64</v>
      </c>
    </row>
    <row r="55" spans="1:80" ht="14.4" thickBot="1" x14ac:dyDescent="0.3">
      <c r="A55" s="981"/>
      <c r="B55" s="159" t="s">
        <v>740</v>
      </c>
      <c r="C55" s="160">
        <v>9611.26</v>
      </c>
      <c r="D55" s="161"/>
      <c r="E55" s="163">
        <f>SUM(C49:C55)</f>
        <v>65661.75</v>
      </c>
      <c r="F55" s="455"/>
      <c r="G55" s="984"/>
      <c r="H55" s="180">
        <f t="shared" ref="H55:H74" si="47">(C55-C42)/C42</f>
        <v>-9.2501704286871628E-2</v>
      </c>
      <c r="I55" s="183">
        <f t="shared" ref="I55:I67" si="48">(E55-E42)/E42</f>
        <v>-7.3314846226723532E-2</v>
      </c>
      <c r="J55" s="183" t="e">
        <f>(#REF!-#REF!)/#REF!</f>
        <v>#REF!</v>
      </c>
      <c r="R55">
        <f t="shared" si="0"/>
        <v>2020.6666666666633</v>
      </c>
      <c r="S55" s="23">
        <f>M21</f>
        <v>7314.64</v>
      </c>
      <c r="BW55" s="528" t="s">
        <v>1091</v>
      </c>
      <c r="BX55" s="537" t="s">
        <v>1109</v>
      </c>
      <c r="BY55" s="538" t="s">
        <v>1110</v>
      </c>
      <c r="BZ55" s="465">
        <v>18436607</v>
      </c>
      <c r="CA55" s="539" t="s">
        <v>1111</v>
      </c>
      <c r="CB55" s="537" t="s">
        <v>1112</v>
      </c>
    </row>
    <row r="56" spans="1:80" ht="13.8" x14ac:dyDescent="0.25">
      <c r="A56" s="981"/>
      <c r="B56" s="159" t="s">
        <v>752</v>
      </c>
      <c r="C56" s="160">
        <v>8938.94</v>
      </c>
      <c r="D56" s="161"/>
      <c r="E56" s="163">
        <f>SUM(C49:C56)</f>
        <v>74600.69</v>
      </c>
      <c r="F56" s="455"/>
      <c r="G56" s="984"/>
      <c r="H56" s="180">
        <f t="shared" si="47"/>
        <v>-0.13458842573229859</v>
      </c>
      <c r="I56" s="183">
        <f t="shared" si="48"/>
        <v>-8.1110579682064615E-2</v>
      </c>
      <c r="J56" s="183" t="e">
        <f>(#REF!-#REF!)/#REF!</f>
        <v>#REF!</v>
      </c>
      <c r="S56" s="23"/>
    </row>
    <row r="57" spans="1:80" ht="13.8" x14ac:dyDescent="0.25">
      <c r="A57" s="981"/>
      <c r="B57" s="159" t="s">
        <v>754</v>
      </c>
      <c r="C57" s="160">
        <v>9020.64</v>
      </c>
      <c r="D57" s="161"/>
      <c r="E57" s="163">
        <f>SUM(C49:C57)</f>
        <v>83621.33</v>
      </c>
      <c r="F57" s="455"/>
      <c r="G57" s="984"/>
      <c r="H57" s="180">
        <f t="shared" si="47"/>
        <v>-4.9059563441780744E-2</v>
      </c>
      <c r="I57" s="183">
        <f t="shared" si="48"/>
        <v>-7.775742229689446E-2</v>
      </c>
      <c r="J57" s="183" t="e">
        <f>(#REF!-#REF!)/#REF!</f>
        <v>#REF!</v>
      </c>
    </row>
    <row r="58" spans="1:80" ht="13.8" x14ac:dyDescent="0.25">
      <c r="A58" s="981"/>
      <c r="B58" s="159" t="s">
        <v>755</v>
      </c>
      <c r="C58" s="160">
        <v>8615.68</v>
      </c>
      <c r="D58" s="161"/>
      <c r="E58" s="163">
        <f>SUM(C49:C58)</f>
        <v>92237.010000000009</v>
      </c>
      <c r="F58" s="455"/>
      <c r="G58" s="984"/>
      <c r="H58" s="180">
        <f t="shared" si="47"/>
        <v>-0.20605689768295649</v>
      </c>
      <c r="I58" s="183">
        <f t="shared" si="48"/>
        <v>-9.1471244733607779E-2</v>
      </c>
      <c r="J58" s="183" t="e">
        <f>(#REF!-#REF!)/#REF!</f>
        <v>#REF!</v>
      </c>
    </row>
    <row r="59" spans="1:80" ht="13.8" x14ac:dyDescent="0.25">
      <c r="A59" s="981"/>
      <c r="B59" s="159" t="s">
        <v>756</v>
      </c>
      <c r="C59" s="160">
        <v>7421.58</v>
      </c>
      <c r="D59" s="161"/>
      <c r="E59" s="163">
        <f>SUM(C49:C59)</f>
        <v>99658.590000000011</v>
      </c>
      <c r="F59" s="455"/>
      <c r="G59" s="984"/>
      <c r="H59" s="180">
        <f t="shared" si="47"/>
        <v>-0.21498986685170071</v>
      </c>
      <c r="I59" s="183">
        <f t="shared" si="48"/>
        <v>-0.10199372648230554</v>
      </c>
      <c r="J59" s="183" t="e">
        <f>(#REF!-#REF!)/#REF!</f>
        <v>#REF!</v>
      </c>
    </row>
    <row r="60" spans="1:80" ht="14.4" thickBot="1" x14ac:dyDescent="0.3">
      <c r="A60" s="987"/>
      <c r="B60" s="167" t="s">
        <v>758</v>
      </c>
      <c r="C60" s="168">
        <v>7410.2</v>
      </c>
      <c r="D60" s="171"/>
      <c r="E60" s="163">
        <f>SUM(C49:C60)</f>
        <v>107068.79000000001</v>
      </c>
      <c r="F60" s="455"/>
      <c r="G60" s="984"/>
      <c r="H60" s="184">
        <f t="shared" si="47"/>
        <v>-0.16624473713227433</v>
      </c>
      <c r="I60" s="187">
        <f t="shared" si="48"/>
        <v>-0.10675779113813945</v>
      </c>
      <c r="J60" s="187" t="e">
        <f>(#REF!-#REF!)/#REF!</f>
        <v>#REF!</v>
      </c>
    </row>
    <row r="61" spans="1:80" ht="14.4" thickBot="1" x14ac:dyDescent="0.3">
      <c r="A61" s="172" t="s">
        <v>3</v>
      </c>
      <c r="B61" s="188"/>
      <c r="C61" s="174">
        <f>SUM(C49:C60)</f>
        <v>107068.79000000001</v>
      </c>
      <c r="D61" s="449">
        <f>224756*0.504</f>
        <v>113277.024</v>
      </c>
      <c r="E61" s="175">
        <f>E55</f>
        <v>65661.75</v>
      </c>
      <c r="F61" s="453"/>
      <c r="G61" s="985"/>
      <c r="H61" s="189">
        <f t="shared" si="47"/>
        <v>-0.10675779113813945</v>
      </c>
      <c r="I61" s="191">
        <f t="shared" si="48"/>
        <v>-7.3314846226723532E-2</v>
      </c>
      <c r="J61" s="191" t="e">
        <f>(#REF!-#REF!)/#REF!</f>
        <v>#REF!</v>
      </c>
    </row>
    <row r="62" spans="1:80" ht="14.25" customHeight="1" x14ac:dyDescent="0.25">
      <c r="A62" s="981">
        <v>2020</v>
      </c>
      <c r="B62" s="151" t="s">
        <v>710</v>
      </c>
      <c r="C62" s="152">
        <v>8379.56</v>
      </c>
      <c r="D62" s="153"/>
      <c r="E62" s="155">
        <f>C62</f>
        <v>8379.56</v>
      </c>
      <c r="F62" s="454"/>
      <c r="G62" s="983" t="str">
        <f>"Milli áranna "&amp; A49&amp;" og "&amp; A62</f>
        <v>Milli áranna 2019 og 2020</v>
      </c>
      <c r="H62" s="178">
        <f t="shared" si="47"/>
        <v>-0.19116060069614035</v>
      </c>
      <c r="I62" s="179">
        <f t="shared" si="48"/>
        <v>-0.19116060069614035</v>
      </c>
      <c r="J62" s="179" t="e">
        <f>(#REF!-#REF!)/#REF!</f>
        <v>#REF!</v>
      </c>
    </row>
    <row r="63" spans="1:80" ht="13.8" x14ac:dyDescent="0.25">
      <c r="A63" s="981"/>
      <c r="B63" s="159" t="s">
        <v>715</v>
      </c>
      <c r="C63" s="160">
        <v>6154.64</v>
      </c>
      <c r="D63" s="161"/>
      <c r="E63" s="163">
        <f>SUM(C62:C63)</f>
        <v>14534.2</v>
      </c>
      <c r="F63" s="455"/>
      <c r="G63" s="984"/>
      <c r="H63" s="180">
        <f t="shared" si="47"/>
        <v>-0.28911209469511462</v>
      </c>
      <c r="I63" s="183">
        <f t="shared" si="48"/>
        <v>-0.23575245324608807</v>
      </c>
      <c r="J63" s="183" t="e">
        <f>(#REF!-#REF!)/#REF!</f>
        <v>#REF!</v>
      </c>
    </row>
    <row r="64" spans="1:80" ht="13.8" x14ac:dyDescent="0.25">
      <c r="A64" s="981"/>
      <c r="B64" s="159" t="s">
        <v>718</v>
      </c>
      <c r="C64" s="160">
        <v>7204.3</v>
      </c>
      <c r="D64" s="161"/>
      <c r="E64" s="163">
        <f>SUM(C62:C64)</f>
        <v>21738.5</v>
      </c>
      <c r="F64" s="455"/>
      <c r="G64" s="984"/>
      <c r="H64" s="180">
        <f t="shared" si="47"/>
        <v>-0.17197283852993364</v>
      </c>
      <c r="I64" s="183">
        <f t="shared" si="48"/>
        <v>-0.21573246766928039</v>
      </c>
      <c r="J64" s="183" t="e">
        <f>(#REF!-#REF!)/#REF!</f>
        <v>#REF!</v>
      </c>
      <c r="K64" t="s">
        <v>1122</v>
      </c>
    </row>
    <row r="65" spans="1:15" ht="13.8" x14ac:dyDescent="0.25">
      <c r="A65" s="981"/>
      <c r="B65" s="159" t="s">
        <v>725</v>
      </c>
      <c r="C65" s="160">
        <v>7158.26</v>
      </c>
      <c r="D65" s="161"/>
      <c r="E65" s="163">
        <f>SUM(C62:C65)</f>
        <v>28896.760000000002</v>
      </c>
      <c r="F65" s="455"/>
      <c r="G65" s="984"/>
      <c r="H65" s="180">
        <f t="shared" si="47"/>
        <v>-0.19013580967638286</v>
      </c>
      <c r="I65" s="183">
        <f t="shared" si="48"/>
        <v>-0.20954365586291665</v>
      </c>
      <c r="J65" s="183" t="e">
        <f>(#REF!-#REF!)/#REF!</f>
        <v>#REF!</v>
      </c>
      <c r="K65" t="s">
        <v>1123</v>
      </c>
    </row>
    <row r="66" spans="1:15" ht="13.8" x14ac:dyDescent="0.25">
      <c r="A66" s="981"/>
      <c r="B66" s="159" t="s">
        <v>730</v>
      </c>
      <c r="C66" s="160">
        <v>6950.12</v>
      </c>
      <c r="D66" s="161"/>
      <c r="E66" s="163">
        <f>SUM(C62:C66)</f>
        <v>35846.880000000005</v>
      </c>
      <c r="F66" s="455"/>
      <c r="G66" s="984"/>
      <c r="H66" s="180">
        <f t="shared" si="47"/>
        <v>-0.34877567255319564</v>
      </c>
      <c r="I66" s="183">
        <f t="shared" si="48"/>
        <v>-0.24100577076379237</v>
      </c>
      <c r="J66" s="183" t="e">
        <f>(#REF!-#REF!)/#REF!</f>
        <v>#REF!</v>
      </c>
      <c r="K66" t="s">
        <v>1124</v>
      </c>
    </row>
    <row r="67" spans="1:15" ht="13.8" x14ac:dyDescent="0.25">
      <c r="A67" s="981"/>
      <c r="B67" s="159" t="s">
        <v>735</v>
      </c>
      <c r="C67" s="160">
        <v>7245.1</v>
      </c>
      <c r="D67" s="161"/>
      <c r="E67" s="163">
        <f>SUM(C62:C67)</f>
        <v>43091.98</v>
      </c>
      <c r="F67" s="455"/>
      <c r="G67" s="984"/>
      <c r="H67" s="180">
        <f t="shared" si="47"/>
        <v>-0.17865693841089036</v>
      </c>
      <c r="I67" s="183">
        <f t="shared" si="48"/>
        <v>-0.23119351855800002</v>
      </c>
      <c r="J67" s="183" t="e">
        <f>(#REF!-#REF!)/#REF!</f>
        <v>#REF!</v>
      </c>
    </row>
    <row r="68" spans="1:15" ht="13.8" x14ac:dyDescent="0.25">
      <c r="A68" s="981"/>
      <c r="B68" s="159" t="s">
        <v>740</v>
      </c>
      <c r="C68" s="160">
        <v>7600.9</v>
      </c>
      <c r="D68" s="161"/>
      <c r="E68" s="163">
        <f>SUM(C62:C68)</f>
        <v>50692.880000000005</v>
      </c>
      <c r="F68" s="455"/>
      <c r="G68" s="984"/>
      <c r="H68" s="180">
        <f t="shared" si="47"/>
        <v>-0.20916716434681826</v>
      </c>
      <c r="I68" s="183">
        <f t="shared" ref="I68:I80" si="49">(E68-E55)/E55</f>
        <v>-0.22796940380053829</v>
      </c>
      <c r="J68" s="183" t="e">
        <f>(#REF!-#REF!)/#REF!</f>
        <v>#REF!</v>
      </c>
    </row>
    <row r="69" spans="1:15" ht="13.8" x14ac:dyDescent="0.25">
      <c r="A69" s="981"/>
      <c r="B69" s="159" t="s">
        <v>752</v>
      </c>
      <c r="C69" s="160">
        <v>6408.64</v>
      </c>
      <c r="D69" s="161"/>
      <c r="E69" s="163">
        <f>SUM(C62:C69)</f>
        <v>57101.520000000004</v>
      </c>
      <c r="F69" s="455"/>
      <c r="G69" s="984"/>
      <c r="H69" s="180">
        <f t="shared" si="47"/>
        <v>-0.28306488241335104</v>
      </c>
      <c r="I69" s="183">
        <f t="shared" si="49"/>
        <v>-0.23457115477082047</v>
      </c>
      <c r="J69" s="183" t="e">
        <f>(#REF!-#REF!)/#REF!</f>
        <v>#REF!</v>
      </c>
    </row>
    <row r="70" spans="1:15" ht="13.8" x14ac:dyDescent="0.25">
      <c r="A70" s="981"/>
      <c r="B70" s="159" t="s">
        <v>754</v>
      </c>
      <c r="C70" s="160">
        <v>7314.64</v>
      </c>
      <c r="D70" s="161"/>
      <c r="E70" s="163">
        <f>SUM(C62:C70)</f>
        <v>64416.160000000003</v>
      </c>
      <c r="F70" s="455"/>
      <c r="G70" s="984"/>
      <c r="H70" s="180">
        <f t="shared" si="47"/>
        <v>-0.18912183614466371</v>
      </c>
      <c r="I70" s="183">
        <f t="shared" si="49"/>
        <v>-0.22966831548840466</v>
      </c>
      <c r="J70" s="183" t="e">
        <f>(#REF!-#REF!)/#REF!</f>
        <v>#REF!</v>
      </c>
    </row>
    <row r="71" spans="1:15" ht="13.8" x14ac:dyDescent="0.25">
      <c r="A71" s="981"/>
      <c r="B71" s="159" t="s">
        <v>755</v>
      </c>
      <c r="C71" s="160">
        <v>3364.7</v>
      </c>
      <c r="D71" s="161"/>
      <c r="E71" s="163">
        <f>SUM(C62:C71)</f>
        <v>67780.86</v>
      </c>
      <c r="F71" s="455"/>
      <c r="G71" s="984"/>
      <c r="H71" s="180">
        <f t="shared" si="47"/>
        <v>-0.60946785395929282</v>
      </c>
      <c r="I71" s="183">
        <f t="shared" si="49"/>
        <v>-0.26514465288933375</v>
      </c>
      <c r="J71" s="183" t="e">
        <f>(#REF!-#REF!)/#REF!</f>
        <v>#REF!</v>
      </c>
    </row>
    <row r="72" spans="1:15" ht="13.8" x14ac:dyDescent="0.25">
      <c r="A72" s="981"/>
      <c r="B72" s="159" t="s">
        <v>756</v>
      </c>
      <c r="C72" s="160">
        <v>3000</v>
      </c>
      <c r="D72" s="161"/>
      <c r="E72" s="163">
        <f>SUM(C62:C72)</f>
        <v>70780.86</v>
      </c>
      <c r="F72" s="455"/>
      <c r="G72" s="984"/>
      <c r="H72" s="180">
        <f t="shared" si="47"/>
        <v>-0.59577340674088264</v>
      </c>
      <c r="I72" s="183">
        <f t="shared" si="49"/>
        <v>-0.28976659212216438</v>
      </c>
      <c r="J72" s="183" t="e">
        <f>(#REF!-#REF!)/#REF!</f>
        <v>#REF!</v>
      </c>
    </row>
    <row r="73" spans="1:15" ht="14.4" thickBot="1" x14ac:dyDescent="0.3">
      <c r="A73" s="987"/>
      <c r="B73" s="167" t="s">
        <v>758</v>
      </c>
      <c r="C73" s="168">
        <v>3000</v>
      </c>
      <c r="D73" s="171"/>
      <c r="E73" s="163">
        <f>SUM(C62:C73)</f>
        <v>73780.86</v>
      </c>
      <c r="F73" s="455"/>
      <c r="G73" s="984"/>
      <c r="H73" s="184">
        <f t="shared" si="47"/>
        <v>-0.59515262745944775</v>
      </c>
      <c r="I73" s="187">
        <f t="shared" si="49"/>
        <v>-0.31090227133415821</v>
      </c>
      <c r="J73" s="187" t="e">
        <f>(#REF!-#REF!)/#REF!</f>
        <v>#REF!</v>
      </c>
    </row>
    <row r="74" spans="1:15" ht="14.4" thickBot="1" x14ac:dyDescent="0.3">
      <c r="A74" s="172" t="s">
        <v>3</v>
      </c>
      <c r="B74" s="188"/>
      <c r="C74" s="174">
        <f>SUM(C62:C73)</f>
        <v>73780.86</v>
      </c>
      <c r="D74" s="449">
        <f>212060*0.42</f>
        <v>89065.2</v>
      </c>
      <c r="E74" s="175">
        <f>E68</f>
        <v>50692.880000000005</v>
      </c>
      <c r="F74" s="453"/>
      <c r="G74" s="985"/>
      <c r="H74" s="189">
        <f t="shared" si="47"/>
        <v>-0.31090227133415821</v>
      </c>
      <c r="I74" s="191">
        <f t="shared" si="49"/>
        <v>-0.22796940380053829</v>
      </c>
      <c r="J74" s="191" t="e">
        <f>(#REF!-#REF!)/#REF!</f>
        <v>#REF!</v>
      </c>
    </row>
    <row r="75" spans="1:15" ht="14.25" customHeight="1" x14ac:dyDescent="0.25">
      <c r="A75" s="981">
        <v>2021</v>
      </c>
      <c r="B75" s="151" t="s">
        <v>710</v>
      </c>
      <c r="C75" s="152">
        <v>8379.56</v>
      </c>
      <c r="D75" s="153"/>
      <c r="E75" s="155">
        <f>C75</f>
        <v>8379.56</v>
      </c>
      <c r="F75" s="454"/>
      <c r="G75" s="983" t="str">
        <f>"Milli áranna "&amp; A62&amp;" og "&amp; A75</f>
        <v>Milli áranna 2020 og 2021</v>
      </c>
      <c r="H75" s="178">
        <f>(C75-C62)/C62</f>
        <v>0</v>
      </c>
      <c r="I75" s="179">
        <f t="shared" si="49"/>
        <v>0</v>
      </c>
      <c r="J75" s="179" t="e">
        <f>(#REF!-#REF!)/#REF!</f>
        <v>#REF!</v>
      </c>
    </row>
    <row r="76" spans="1:15" ht="13.8" x14ac:dyDescent="0.25">
      <c r="A76" s="981"/>
      <c r="B76" s="159" t="s">
        <v>715</v>
      </c>
      <c r="C76" s="160">
        <v>6154.64</v>
      </c>
      <c r="D76" s="161"/>
      <c r="E76" s="163">
        <f>SUM(C75:C76)</f>
        <v>14534.2</v>
      </c>
      <c r="F76" s="455"/>
      <c r="G76" s="984"/>
      <c r="H76" s="180">
        <f>(C76-C63)/C63</f>
        <v>0</v>
      </c>
      <c r="I76" s="183">
        <f t="shared" si="49"/>
        <v>0</v>
      </c>
      <c r="J76" s="183" t="e">
        <f>(#REF!-#REF!)/#REF!</f>
        <v>#REF!</v>
      </c>
    </row>
    <row r="77" spans="1:15" ht="13.8" x14ac:dyDescent="0.25">
      <c r="A77" s="981"/>
      <c r="B77" s="159" t="s">
        <v>718</v>
      </c>
      <c r="C77" s="160">
        <v>7204.3</v>
      </c>
      <c r="D77" s="161"/>
      <c r="E77" s="163">
        <f>SUM(C75:C77)</f>
        <v>21738.5</v>
      </c>
      <c r="F77" s="455"/>
      <c r="G77" s="984"/>
      <c r="H77" s="180">
        <f t="shared" ref="H77:H87" si="50">(C77-C64)/C64</f>
        <v>0</v>
      </c>
      <c r="I77" s="183">
        <f t="shared" si="49"/>
        <v>0</v>
      </c>
      <c r="J77" s="183" t="e">
        <f>(#REF!-#REF!)/#REF!</f>
        <v>#REF!</v>
      </c>
      <c r="O77">
        <f>212060*0.42</f>
        <v>89065.2</v>
      </c>
    </row>
    <row r="78" spans="1:15" ht="13.8" x14ac:dyDescent="0.25">
      <c r="A78" s="981"/>
      <c r="B78" s="159" t="s">
        <v>725</v>
      </c>
      <c r="C78" s="160">
        <v>7158.26</v>
      </c>
      <c r="D78" s="161"/>
      <c r="E78" s="163">
        <f>SUM(C75:C78)</f>
        <v>28896.760000000002</v>
      </c>
      <c r="F78" s="455"/>
      <c r="G78" s="984"/>
      <c r="H78" s="180">
        <f t="shared" si="50"/>
        <v>0</v>
      </c>
      <c r="I78" s="183">
        <f t="shared" si="49"/>
        <v>0</v>
      </c>
      <c r="J78" s="183" t="e">
        <f>(#REF!-#REF!)/#REF!</f>
        <v>#REF!</v>
      </c>
    </row>
    <row r="79" spans="1:15" ht="13.8" x14ac:dyDescent="0.25">
      <c r="A79" s="981"/>
      <c r="B79" s="159" t="s">
        <v>730</v>
      </c>
      <c r="C79" s="160">
        <v>6950.12</v>
      </c>
      <c r="D79" s="161"/>
      <c r="E79" s="163">
        <f>SUM(C75:C79)</f>
        <v>35846.880000000005</v>
      </c>
      <c r="F79" s="455"/>
      <c r="G79" s="984"/>
      <c r="H79" s="180">
        <f t="shared" si="50"/>
        <v>0</v>
      </c>
      <c r="I79" s="183">
        <f t="shared" si="49"/>
        <v>0</v>
      </c>
      <c r="J79" s="183" t="e">
        <f>(#REF!-#REF!)/#REF!</f>
        <v>#REF!</v>
      </c>
    </row>
    <row r="80" spans="1:15" ht="13.8" x14ac:dyDescent="0.25">
      <c r="A80" s="981"/>
      <c r="B80" s="159" t="s">
        <v>735</v>
      </c>
      <c r="C80" s="160">
        <v>7245.1</v>
      </c>
      <c r="D80" s="161"/>
      <c r="E80" s="163">
        <f>SUM(C75:C80)</f>
        <v>43091.98</v>
      </c>
      <c r="F80" s="455"/>
      <c r="G80" s="984"/>
      <c r="H80" s="180">
        <f t="shared" si="50"/>
        <v>0</v>
      </c>
      <c r="I80" s="183">
        <f t="shared" si="49"/>
        <v>0</v>
      </c>
      <c r="J80" s="183" t="e">
        <f>(#REF!-#REF!)/#REF!</f>
        <v>#REF!</v>
      </c>
    </row>
    <row r="81" spans="1:10" ht="13.8" x14ac:dyDescent="0.25">
      <c r="A81" s="981"/>
      <c r="B81" s="159" t="s">
        <v>740</v>
      </c>
      <c r="C81" s="160">
        <v>7600.9</v>
      </c>
      <c r="D81" s="161"/>
      <c r="E81" s="163">
        <f>SUM(C75:C81)</f>
        <v>50692.880000000005</v>
      </c>
      <c r="F81" s="455"/>
      <c r="G81" s="984"/>
      <c r="H81" s="180">
        <f t="shared" si="50"/>
        <v>0</v>
      </c>
      <c r="I81" s="183">
        <f t="shared" ref="I81:I93" si="51">(E81-E68)/E68</f>
        <v>0</v>
      </c>
      <c r="J81" s="183" t="e">
        <f>(#REF!-#REF!)/#REF!</f>
        <v>#REF!</v>
      </c>
    </row>
    <row r="82" spans="1:10" ht="13.8" x14ac:dyDescent="0.25">
      <c r="A82" s="981"/>
      <c r="B82" s="159" t="s">
        <v>752</v>
      </c>
      <c r="C82" s="160">
        <v>6408.64</v>
      </c>
      <c r="D82" s="161"/>
      <c r="E82" s="163">
        <f>SUM(C75:C82)</f>
        <v>57101.520000000004</v>
      </c>
      <c r="F82" s="455"/>
      <c r="G82" s="984"/>
      <c r="H82" s="180">
        <f t="shared" si="50"/>
        <v>0</v>
      </c>
      <c r="I82" s="183">
        <f t="shared" si="51"/>
        <v>0</v>
      </c>
      <c r="J82" s="183" t="e">
        <f>(#REF!-#REF!)/#REF!</f>
        <v>#REF!</v>
      </c>
    </row>
    <row r="83" spans="1:10" ht="13.8" x14ac:dyDescent="0.25">
      <c r="A83" s="981"/>
      <c r="B83" s="159" t="s">
        <v>754</v>
      </c>
      <c r="C83" s="160">
        <v>7314.64</v>
      </c>
      <c r="D83" s="161"/>
      <c r="E83" s="163">
        <f>SUM(C75:C83)</f>
        <v>64416.160000000003</v>
      </c>
      <c r="F83" s="455"/>
      <c r="G83" s="984"/>
      <c r="H83" s="180">
        <f t="shared" si="50"/>
        <v>0</v>
      </c>
      <c r="I83" s="183">
        <f t="shared" si="51"/>
        <v>0</v>
      </c>
      <c r="J83" s="183" t="e">
        <f>(#REF!-#REF!)/#REF!</f>
        <v>#REF!</v>
      </c>
    </row>
    <row r="84" spans="1:10" ht="13.8" x14ac:dyDescent="0.25">
      <c r="A84" s="981"/>
      <c r="B84" s="159" t="s">
        <v>755</v>
      </c>
      <c r="C84" s="160">
        <v>3364.7</v>
      </c>
      <c r="D84" s="161"/>
      <c r="E84" s="163">
        <f>SUM(C75:C84)</f>
        <v>67780.86</v>
      </c>
      <c r="F84" s="455"/>
      <c r="G84" s="984"/>
      <c r="H84" s="180">
        <f t="shared" si="50"/>
        <v>0</v>
      </c>
      <c r="I84" s="183">
        <f t="shared" si="51"/>
        <v>0</v>
      </c>
      <c r="J84" s="183" t="e">
        <f>(#REF!-#REF!)/#REF!</f>
        <v>#REF!</v>
      </c>
    </row>
    <row r="85" spans="1:10" ht="13.8" x14ac:dyDescent="0.25">
      <c r="A85" s="981"/>
      <c r="B85" s="159" t="s">
        <v>756</v>
      </c>
      <c r="C85" s="160">
        <v>3000</v>
      </c>
      <c r="D85" s="161"/>
      <c r="E85" s="163">
        <f>SUM(C75:C85)</f>
        <v>70780.86</v>
      </c>
      <c r="F85" s="455"/>
      <c r="G85" s="984"/>
      <c r="H85" s="180">
        <f t="shared" si="50"/>
        <v>0</v>
      </c>
      <c r="I85" s="183">
        <f t="shared" si="51"/>
        <v>0</v>
      </c>
      <c r="J85" s="183" t="e">
        <f>(#REF!-#REF!)/#REF!</f>
        <v>#REF!</v>
      </c>
    </row>
    <row r="86" spans="1:10" ht="14.4" thickBot="1" x14ac:dyDescent="0.3">
      <c r="A86" s="987"/>
      <c r="B86" s="167" t="s">
        <v>758</v>
      </c>
      <c r="C86" s="168">
        <v>3000</v>
      </c>
      <c r="D86" s="171"/>
      <c r="E86" s="163">
        <f>SUM(C75:C86)</f>
        <v>73780.86</v>
      </c>
      <c r="F86" s="455"/>
      <c r="G86" s="984"/>
      <c r="H86" s="184">
        <f t="shared" si="50"/>
        <v>0</v>
      </c>
      <c r="I86" s="187">
        <f t="shared" si="51"/>
        <v>0</v>
      </c>
      <c r="J86" s="187" t="e">
        <f>(#REF!-#REF!)/#REF!</f>
        <v>#REF!</v>
      </c>
    </row>
    <row r="87" spans="1:10" ht="14.4" thickBot="1" x14ac:dyDescent="0.3">
      <c r="A87" s="172" t="s">
        <v>3</v>
      </c>
      <c r="B87" s="188"/>
      <c r="C87" s="174">
        <f>SUM(C75:C86)</f>
        <v>73780.86</v>
      </c>
      <c r="D87" s="449">
        <f>198936*0.43</f>
        <v>85542.48</v>
      </c>
      <c r="E87" s="175">
        <f>E81</f>
        <v>50692.880000000005</v>
      </c>
      <c r="F87" s="453"/>
      <c r="G87" s="985"/>
      <c r="H87" s="189">
        <f t="shared" si="50"/>
        <v>0</v>
      </c>
      <c r="I87" s="191">
        <f t="shared" si="51"/>
        <v>0</v>
      </c>
      <c r="J87" s="191" t="e">
        <f>(#REF!-#REF!)/#REF!</f>
        <v>#REF!</v>
      </c>
    </row>
    <row r="88" spans="1:10" ht="14.25" customHeight="1" x14ac:dyDescent="0.25">
      <c r="A88" s="981">
        <v>2022</v>
      </c>
      <c r="B88" s="151" t="s">
        <v>710</v>
      </c>
      <c r="C88" s="152"/>
      <c r="D88" s="153"/>
      <c r="E88" s="155">
        <f>C88</f>
        <v>0</v>
      </c>
      <c r="F88" s="454"/>
      <c r="G88" s="983" t="str">
        <f>"Milli áranna "&amp; A75&amp;" og "&amp; A88</f>
        <v>Milli áranna 2021 og 2022</v>
      </c>
      <c r="H88" s="178">
        <f>(C88-C75)/C75</f>
        <v>-1</v>
      </c>
      <c r="I88" s="179">
        <f t="shared" si="51"/>
        <v>-1</v>
      </c>
      <c r="J88" s="179" t="e">
        <f>(#REF!-#REF!)/#REF!</f>
        <v>#REF!</v>
      </c>
    </row>
    <row r="89" spans="1:10" ht="13.8" x14ac:dyDescent="0.25">
      <c r="A89" s="981"/>
      <c r="B89" s="159" t="s">
        <v>715</v>
      </c>
      <c r="C89" s="160"/>
      <c r="D89" s="161"/>
      <c r="E89" s="163">
        <f>SUM(C88:C89)</f>
        <v>0</v>
      </c>
      <c r="F89" s="455"/>
      <c r="G89" s="984"/>
      <c r="H89" s="180">
        <f>(C89-C76)/C76</f>
        <v>-1</v>
      </c>
      <c r="I89" s="183">
        <f t="shared" si="51"/>
        <v>-1</v>
      </c>
      <c r="J89" s="183" t="e">
        <f>(#REF!-#REF!)/#REF!</f>
        <v>#REF!</v>
      </c>
    </row>
    <row r="90" spans="1:10" ht="13.8" x14ac:dyDescent="0.25">
      <c r="A90" s="981"/>
      <c r="B90" s="159" t="s">
        <v>718</v>
      </c>
      <c r="C90" s="160"/>
      <c r="D90" s="161"/>
      <c r="E90" s="163">
        <f>SUM(C88:C90)</f>
        <v>0</v>
      </c>
      <c r="F90" s="455"/>
      <c r="G90" s="984"/>
      <c r="H90" s="180">
        <f t="shared" ref="H90:H100" si="52">(C90-C77)/C77</f>
        <v>-1</v>
      </c>
      <c r="I90" s="183">
        <f t="shared" si="51"/>
        <v>-1</v>
      </c>
      <c r="J90" s="183" t="e">
        <f>(#REF!-#REF!)/#REF!</f>
        <v>#REF!</v>
      </c>
    </row>
    <row r="91" spans="1:10" ht="13.8" x14ac:dyDescent="0.25">
      <c r="A91" s="981"/>
      <c r="B91" s="159" t="s">
        <v>725</v>
      </c>
      <c r="C91" s="160"/>
      <c r="D91" s="161"/>
      <c r="E91" s="163">
        <f>SUM(C88:C91)</f>
        <v>0</v>
      </c>
      <c r="F91" s="455"/>
      <c r="G91" s="984"/>
      <c r="H91" s="180">
        <f t="shared" si="52"/>
        <v>-1</v>
      </c>
      <c r="I91" s="183">
        <f t="shared" si="51"/>
        <v>-1</v>
      </c>
      <c r="J91" s="183" t="e">
        <f>(#REF!-#REF!)/#REF!</f>
        <v>#REF!</v>
      </c>
    </row>
    <row r="92" spans="1:10" ht="13.8" x14ac:dyDescent="0.25">
      <c r="A92" s="981"/>
      <c r="B92" s="159" t="s">
        <v>730</v>
      </c>
      <c r="C92" s="160"/>
      <c r="D92" s="161"/>
      <c r="E92" s="163">
        <f>SUM(C88:C92)</f>
        <v>0</v>
      </c>
      <c r="F92" s="455"/>
      <c r="G92" s="984"/>
      <c r="H92" s="180">
        <f t="shared" si="52"/>
        <v>-1</v>
      </c>
      <c r="I92" s="183">
        <f t="shared" si="51"/>
        <v>-1</v>
      </c>
      <c r="J92" s="183" t="e">
        <f>(#REF!-#REF!)/#REF!</f>
        <v>#REF!</v>
      </c>
    </row>
    <row r="93" spans="1:10" ht="13.8" x14ac:dyDescent="0.25">
      <c r="A93" s="981"/>
      <c r="B93" s="159" t="s">
        <v>735</v>
      </c>
      <c r="C93" s="160"/>
      <c r="D93" s="161"/>
      <c r="E93" s="163">
        <f>SUM(C88:C93)</f>
        <v>0</v>
      </c>
      <c r="F93" s="455"/>
      <c r="G93" s="984"/>
      <c r="H93" s="180">
        <f t="shared" si="52"/>
        <v>-1</v>
      </c>
      <c r="I93" s="183">
        <f t="shared" si="51"/>
        <v>-1</v>
      </c>
      <c r="J93" s="183" t="e">
        <f>(#REF!-#REF!)/#REF!</f>
        <v>#REF!</v>
      </c>
    </row>
    <row r="94" spans="1:10" ht="13.8" x14ac:dyDescent="0.25">
      <c r="A94" s="981"/>
      <c r="B94" s="159" t="s">
        <v>740</v>
      </c>
      <c r="C94" s="160"/>
      <c r="D94" s="161"/>
      <c r="E94" s="163">
        <f>SUM(C88:C94)</f>
        <v>0</v>
      </c>
      <c r="F94" s="455"/>
      <c r="G94" s="984"/>
      <c r="H94" s="180">
        <f t="shared" si="52"/>
        <v>-1</v>
      </c>
      <c r="I94" s="183">
        <f t="shared" ref="I94:I100" si="53">(E94-E81)/E81</f>
        <v>-1</v>
      </c>
      <c r="J94" s="183" t="e">
        <f>(#REF!-#REF!)/#REF!</f>
        <v>#REF!</v>
      </c>
    </row>
    <row r="95" spans="1:10" ht="13.8" x14ac:dyDescent="0.25">
      <c r="A95" s="981"/>
      <c r="B95" s="159" t="s">
        <v>752</v>
      </c>
      <c r="C95" s="160"/>
      <c r="D95" s="161"/>
      <c r="E95" s="163">
        <f>SUM(C88:C95)</f>
        <v>0</v>
      </c>
      <c r="F95" s="455"/>
      <c r="G95" s="984"/>
      <c r="H95" s="180">
        <f t="shared" si="52"/>
        <v>-1</v>
      </c>
      <c r="I95" s="183">
        <f t="shared" si="53"/>
        <v>-1</v>
      </c>
      <c r="J95" s="183" t="e">
        <f>(#REF!-#REF!)/#REF!</f>
        <v>#REF!</v>
      </c>
    </row>
    <row r="96" spans="1:10" ht="13.8" x14ac:dyDescent="0.25">
      <c r="A96" s="981"/>
      <c r="B96" s="159" t="s">
        <v>754</v>
      </c>
      <c r="C96" s="160"/>
      <c r="D96" s="161"/>
      <c r="E96" s="163">
        <f>SUM(C88:C96)</f>
        <v>0</v>
      </c>
      <c r="F96" s="455"/>
      <c r="G96" s="984"/>
      <c r="H96" s="180">
        <f t="shared" si="52"/>
        <v>-1</v>
      </c>
      <c r="I96" s="183">
        <f t="shared" si="53"/>
        <v>-1</v>
      </c>
      <c r="J96" s="183" t="e">
        <f>(#REF!-#REF!)/#REF!</f>
        <v>#REF!</v>
      </c>
    </row>
    <row r="97" spans="1:10" ht="13.8" x14ac:dyDescent="0.25">
      <c r="A97" s="981"/>
      <c r="B97" s="159" t="s">
        <v>755</v>
      </c>
      <c r="C97" s="160"/>
      <c r="D97" s="161"/>
      <c r="E97" s="163">
        <f>SUM(C88:C97)</f>
        <v>0</v>
      </c>
      <c r="F97" s="455"/>
      <c r="G97" s="984"/>
      <c r="H97" s="180">
        <f t="shared" si="52"/>
        <v>-1</v>
      </c>
      <c r="I97" s="183">
        <f t="shared" si="53"/>
        <v>-1</v>
      </c>
      <c r="J97" s="183" t="e">
        <f>(#REF!-#REF!)/#REF!</f>
        <v>#REF!</v>
      </c>
    </row>
    <row r="98" spans="1:10" ht="13.8" x14ac:dyDescent="0.25">
      <c r="A98" s="981"/>
      <c r="B98" s="159" t="s">
        <v>756</v>
      </c>
      <c r="C98" s="160"/>
      <c r="D98" s="161"/>
      <c r="E98" s="163">
        <f>SUM(C88:C98)</f>
        <v>0</v>
      </c>
      <c r="F98" s="455"/>
      <c r="G98" s="984"/>
      <c r="H98" s="180">
        <f t="shared" si="52"/>
        <v>-1</v>
      </c>
      <c r="I98" s="183">
        <f t="shared" si="53"/>
        <v>-1</v>
      </c>
      <c r="J98" s="183" t="e">
        <f>(#REF!-#REF!)/#REF!</f>
        <v>#REF!</v>
      </c>
    </row>
    <row r="99" spans="1:10" ht="14.4" thickBot="1" x14ac:dyDescent="0.3">
      <c r="A99" s="987"/>
      <c r="B99" s="167" t="s">
        <v>758</v>
      </c>
      <c r="C99" s="168"/>
      <c r="D99" s="171"/>
      <c r="E99" s="163">
        <f>SUM(C88:C99)</f>
        <v>0</v>
      </c>
      <c r="F99" s="455"/>
      <c r="G99" s="984"/>
      <c r="H99" s="184">
        <f t="shared" si="52"/>
        <v>-1</v>
      </c>
      <c r="I99" s="187">
        <f t="shared" si="53"/>
        <v>-1</v>
      </c>
      <c r="J99" s="187" t="e">
        <f>(#REF!-#REF!)/#REF!</f>
        <v>#REF!</v>
      </c>
    </row>
    <row r="100" spans="1:10" ht="14.4" thickBot="1" x14ac:dyDescent="0.3">
      <c r="A100" s="172" t="s">
        <v>3</v>
      </c>
      <c r="B100" s="188"/>
      <c r="C100" s="174">
        <f>SUM(C88:C99)</f>
        <v>0</v>
      </c>
      <c r="D100" s="449">
        <f>0.358*188505</f>
        <v>67484.789999999994</v>
      </c>
      <c r="E100" s="175">
        <f>E94</f>
        <v>0</v>
      </c>
      <c r="F100" s="453"/>
      <c r="G100" s="985"/>
      <c r="H100" s="189">
        <f t="shared" si="52"/>
        <v>-1</v>
      </c>
      <c r="I100" s="191">
        <f t="shared" si="53"/>
        <v>-1</v>
      </c>
      <c r="J100" s="191" t="e">
        <f>(#REF!-#REF!)/#REF!</f>
        <v>#REF!</v>
      </c>
    </row>
  </sheetData>
  <mergeCells count="19">
    <mergeCell ref="X10:AG10"/>
    <mergeCell ref="A3:H3"/>
    <mergeCell ref="A4:B6"/>
    <mergeCell ref="C4:H4"/>
    <mergeCell ref="G5:J5"/>
    <mergeCell ref="A8:B8"/>
    <mergeCell ref="A88:A99"/>
    <mergeCell ref="G88:G100"/>
    <mergeCell ref="A75:A86"/>
    <mergeCell ref="G75:G87"/>
    <mergeCell ref="A10:A21"/>
    <mergeCell ref="A62:A73"/>
    <mergeCell ref="G62:G74"/>
    <mergeCell ref="A23:A34"/>
    <mergeCell ref="G23:G35"/>
    <mergeCell ref="A36:A47"/>
    <mergeCell ref="G36:G48"/>
    <mergeCell ref="A49:A60"/>
    <mergeCell ref="G49:G61"/>
  </mergeCells>
  <hyperlinks>
    <hyperlink ref="CI11" r:id="rId1" xr:uid="{C6F3B69A-9012-421F-B7ED-892F7C48E9FF}"/>
  </hyperlinks>
  <pageMargins left="0.7" right="0.7" top="0.75" bottom="0.75" header="0.3" footer="0.3"/>
  <pageSetup paperSize="9" orientation="portrait" r:id="rId2"/>
  <drawing r:id="rId3"/>
  <tableParts count="1">
    <tablePart r:id="rId4"/>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F4DC0-298B-4B8F-9746-F3FABF852F5D}">
  <sheetPr>
    <tabColor rgb="FFFFC000"/>
  </sheetPr>
  <dimension ref="A1:S57"/>
  <sheetViews>
    <sheetView showGridLines="0" workbookViewId="0"/>
  </sheetViews>
  <sheetFormatPr defaultColWidth="9.109375" defaultRowHeight="13.2" x14ac:dyDescent="0.25"/>
  <cols>
    <col min="3" max="8" width="11.6640625" customWidth="1"/>
    <col min="10" max="10" width="10" bestFit="1" customWidth="1"/>
    <col min="15" max="15" width="9.33203125" bestFit="1" customWidth="1"/>
    <col min="16" max="20" width="9.5546875" bestFit="1" customWidth="1"/>
    <col min="28" max="28" width="10" bestFit="1" customWidth="1"/>
  </cols>
  <sheetData>
    <row r="1" spans="2:19" ht="21" x14ac:dyDescent="0.4">
      <c r="B1" s="33" t="s">
        <v>976</v>
      </c>
      <c r="C1" s="33"/>
    </row>
    <row r="3" spans="2:19" x14ac:dyDescent="0.25">
      <c r="B3" s="34"/>
      <c r="C3" t="s">
        <v>978</v>
      </c>
    </row>
    <row r="6" spans="2:19" ht="13.8" x14ac:dyDescent="0.25">
      <c r="G6" s="16" t="s">
        <v>1125</v>
      </c>
      <c r="H6" s="114" t="s">
        <v>1126</v>
      </c>
    </row>
    <row r="7" spans="2:19" ht="17.399999999999999" x14ac:dyDescent="0.3">
      <c r="C7" s="35" t="s">
        <v>227</v>
      </c>
    </row>
    <row r="9" spans="2:19" x14ac:dyDescent="0.25">
      <c r="C9">
        <v>2015</v>
      </c>
      <c r="D9">
        <v>2016</v>
      </c>
      <c r="E9">
        <v>2017</v>
      </c>
      <c r="F9">
        <v>2018</v>
      </c>
      <c r="G9">
        <v>2019</v>
      </c>
      <c r="H9">
        <v>2020</v>
      </c>
      <c r="I9">
        <v>2021</v>
      </c>
      <c r="J9">
        <v>2022</v>
      </c>
      <c r="K9">
        <v>2023</v>
      </c>
      <c r="L9">
        <v>2024</v>
      </c>
      <c r="M9">
        <v>2025</v>
      </c>
    </row>
    <row r="10" spans="2:19" x14ac:dyDescent="0.25">
      <c r="B10" t="s">
        <v>1127</v>
      </c>
      <c r="C10">
        <v>1119</v>
      </c>
      <c r="D10">
        <v>1137</v>
      </c>
      <c r="E10">
        <v>1060</v>
      </c>
    </row>
    <row r="11" spans="2:19" x14ac:dyDescent="0.25">
      <c r="B11" t="s">
        <v>1128</v>
      </c>
      <c r="C11">
        <v>1041</v>
      </c>
      <c r="D11">
        <v>790</v>
      </c>
      <c r="E11">
        <v>775</v>
      </c>
      <c r="F11">
        <v>998</v>
      </c>
    </row>
    <row r="12" spans="2:19" x14ac:dyDescent="0.25">
      <c r="C12">
        <v>1041</v>
      </c>
      <c r="D12">
        <v>790</v>
      </c>
      <c r="E12">
        <v>775</v>
      </c>
      <c r="F12">
        <v>998</v>
      </c>
      <c r="G12">
        <v>480</v>
      </c>
      <c r="H12">
        <v>480</v>
      </c>
      <c r="O12">
        <v>1160</v>
      </c>
      <c r="P12">
        <v>139</v>
      </c>
      <c r="Q12">
        <f>O12/P12</f>
        <v>8.3453237410071939</v>
      </c>
      <c r="R12">
        <f>P12/O12</f>
        <v>0.11982758620689656</v>
      </c>
      <c r="S12">
        <f>P12*O12</f>
        <v>161240</v>
      </c>
    </row>
    <row r="13" spans="2:19" x14ac:dyDescent="0.25">
      <c r="B13" s="16" t="s">
        <v>1129</v>
      </c>
      <c r="C13" s="23">
        <v>118798</v>
      </c>
      <c r="D13" s="23">
        <v>119266</v>
      </c>
      <c r="E13" s="23">
        <v>120513</v>
      </c>
      <c r="F13" s="23">
        <v>123141</v>
      </c>
      <c r="G13" s="23">
        <v>125360</v>
      </c>
      <c r="H13" s="23">
        <v>126549</v>
      </c>
      <c r="I13" s="23">
        <v>128610</v>
      </c>
      <c r="J13" s="23">
        <v>130638</v>
      </c>
      <c r="K13" s="23">
        <v>134298</v>
      </c>
      <c r="L13" s="23">
        <v>136894</v>
      </c>
      <c r="M13" s="23">
        <v>138772</v>
      </c>
      <c r="N13" s="580"/>
      <c r="O13">
        <v>1137</v>
      </c>
      <c r="P13">
        <v>143</v>
      </c>
      <c r="Q13">
        <f>O13/P13</f>
        <v>7.9510489510489508</v>
      </c>
      <c r="R13">
        <f>P13/O13</f>
        <v>0.12576956904133685</v>
      </c>
      <c r="S13">
        <f>P13*O13</f>
        <v>162591</v>
      </c>
    </row>
    <row r="14" spans="2:19" x14ac:dyDescent="0.25">
      <c r="B14" s="16" t="s">
        <v>1130</v>
      </c>
      <c r="C14" s="23">
        <v>206483</v>
      </c>
      <c r="D14" s="23">
        <v>208598</v>
      </c>
      <c r="E14" s="23">
        <v>212410</v>
      </c>
      <c r="F14" s="23">
        <v>217810</v>
      </c>
      <c r="G14" s="23">
        <v>222748</v>
      </c>
      <c r="H14" s="23">
        <v>225936</v>
      </c>
      <c r="I14" s="23">
        <v>229412</v>
      </c>
      <c r="J14" s="23">
        <v>233129</v>
      </c>
      <c r="K14" s="23">
        <v>239014</v>
      </c>
      <c r="L14" s="23">
        <v>243908</v>
      </c>
      <c r="M14" s="23">
        <v>248753</v>
      </c>
      <c r="N14" s="580"/>
    </row>
    <row r="15" spans="2:19" x14ac:dyDescent="0.25">
      <c r="C15" s="23">
        <f>Reykjavík!C7</f>
        <v>323024</v>
      </c>
      <c r="D15" s="23">
        <f>Reykjavík!D7</f>
        <v>326036</v>
      </c>
      <c r="E15" s="23">
        <f>Reykjavík!E7</f>
        <v>332507</v>
      </c>
      <c r="F15" s="23">
        <f>Reykjavík!F7</f>
        <v>342183</v>
      </c>
      <c r="G15" s="23">
        <f>Reykjavík!G7</f>
        <v>349468</v>
      </c>
      <c r="H15" s="23">
        <f>Reykjavík!H7</f>
        <v>354042</v>
      </c>
      <c r="I15" s="23">
        <f>Reykjavík!I7</f>
        <v>358298</v>
      </c>
      <c r="J15" s="23">
        <f>Reykjavík!J7</f>
        <v>364917</v>
      </c>
      <c r="K15" s="23">
        <f>Reykjavík!K7</f>
        <v>375218</v>
      </c>
      <c r="L15" s="23">
        <f>Reykjavík!L7</f>
        <v>383726</v>
      </c>
      <c r="M15" s="23">
        <f>Reykjavík!M7</f>
        <v>389444</v>
      </c>
      <c r="N15" s="580"/>
    </row>
    <row r="16" spans="2:19" x14ac:dyDescent="0.25">
      <c r="B16">
        <v>2017</v>
      </c>
      <c r="C16" s="41">
        <f t="shared" ref="C16:H16" si="0">C13/C10</f>
        <v>106.16443252904379</v>
      </c>
      <c r="D16" s="41">
        <f t="shared" si="0"/>
        <v>104.89533861037819</v>
      </c>
      <c r="E16" s="41">
        <f t="shared" si="0"/>
        <v>113.69150943396227</v>
      </c>
      <c r="F16" s="41" t="e">
        <f>F13/F10</f>
        <v>#DIV/0!</v>
      </c>
      <c r="G16" s="41" t="e">
        <f t="shared" si="0"/>
        <v>#DIV/0!</v>
      </c>
      <c r="H16" s="41" t="e">
        <f t="shared" si="0"/>
        <v>#DIV/0!</v>
      </c>
    </row>
    <row r="17" spans="2:17" x14ac:dyDescent="0.25">
      <c r="B17">
        <v>2018</v>
      </c>
      <c r="C17" s="41">
        <f t="shared" ref="C17:H17" si="1">C13/C11</f>
        <v>114.11911623439001</v>
      </c>
      <c r="D17" s="41">
        <f t="shared" si="1"/>
        <v>150.96962025316455</v>
      </c>
      <c r="E17" s="41">
        <f t="shared" si="1"/>
        <v>155.50064516129032</v>
      </c>
      <c r="F17" s="41">
        <f t="shared" si="1"/>
        <v>123.38777555110221</v>
      </c>
      <c r="G17" s="41" t="e">
        <f t="shared" si="1"/>
        <v>#DIV/0!</v>
      </c>
      <c r="H17" s="41" t="e">
        <f t="shared" si="1"/>
        <v>#DIV/0!</v>
      </c>
      <c r="J17" s="23"/>
    </row>
    <row r="18" spans="2:17" x14ac:dyDescent="0.25">
      <c r="B18">
        <v>2019</v>
      </c>
      <c r="C18" s="83">
        <f t="shared" ref="C18:H18" si="2">C12*C13/1000000</f>
        <v>123.668718</v>
      </c>
      <c r="D18" s="83">
        <f t="shared" si="2"/>
        <v>94.220140000000001</v>
      </c>
      <c r="E18" s="83">
        <f t="shared" si="2"/>
        <v>93.397575000000003</v>
      </c>
      <c r="F18" s="83">
        <f t="shared" si="2"/>
        <v>122.894718</v>
      </c>
      <c r="G18" s="83">
        <f t="shared" si="2"/>
        <v>60.172800000000002</v>
      </c>
      <c r="H18" s="83">
        <f t="shared" si="2"/>
        <v>60.743519999999997</v>
      </c>
      <c r="L18" s="23"/>
      <c r="M18" s="23"/>
      <c r="P18">
        <f>K14*60/1000*365/1000</f>
        <v>5234.4065999999993</v>
      </c>
    </row>
    <row r="20" spans="2:17" x14ac:dyDescent="0.25">
      <c r="C20" s="22">
        <f t="shared" ref="C20:K20" si="3">C15*60/1000*365/1000</f>
        <v>7074.2255999999998</v>
      </c>
      <c r="D20" s="22">
        <f t="shared" si="3"/>
        <v>7140.1884</v>
      </c>
      <c r="E20" s="22">
        <f t="shared" si="3"/>
        <v>7281.9032999999999</v>
      </c>
      <c r="F20" s="22">
        <f t="shared" si="3"/>
        <v>7493.8077000000003</v>
      </c>
      <c r="G20" s="22">
        <f t="shared" si="3"/>
        <v>7653.3492000000006</v>
      </c>
      <c r="H20" s="22">
        <f t="shared" si="3"/>
        <v>7753.5198</v>
      </c>
      <c r="I20" s="22">
        <f t="shared" si="3"/>
        <v>7846.7262000000001</v>
      </c>
      <c r="J20" s="22">
        <f t="shared" si="3"/>
        <v>7991.6822999999995</v>
      </c>
      <c r="K20" s="22">
        <f t="shared" si="3"/>
        <v>8217.2741999999998</v>
      </c>
      <c r="L20" s="22">
        <f>L15*60/1000*365/1000</f>
        <v>8403.599400000001</v>
      </c>
      <c r="M20" s="22">
        <f>M15*60/1000*365/1000</f>
        <v>8528.8235999999997</v>
      </c>
    </row>
    <row r="21" spans="2:17" x14ac:dyDescent="0.25">
      <c r="B21" s="16" t="s">
        <v>1131</v>
      </c>
      <c r="C21" s="22">
        <f t="shared" ref="C21:K21" si="4">C13*60/1000*365/1000</f>
        <v>2601.6762000000003</v>
      </c>
      <c r="D21" s="22">
        <f t="shared" si="4"/>
        <v>2611.9254000000001</v>
      </c>
      <c r="E21" s="22">
        <f t="shared" si="4"/>
        <v>2639.2346999999995</v>
      </c>
      <c r="F21" s="22">
        <f t="shared" si="4"/>
        <v>2696.7878999999998</v>
      </c>
      <c r="G21" s="22">
        <f t="shared" si="4"/>
        <v>2745.384</v>
      </c>
      <c r="H21" s="22">
        <f t="shared" si="4"/>
        <v>2771.4230999999995</v>
      </c>
      <c r="I21" s="22">
        <f t="shared" si="4"/>
        <v>2816.5590000000002</v>
      </c>
      <c r="J21" s="22">
        <f t="shared" si="4"/>
        <v>2860.9721999999997</v>
      </c>
      <c r="K21" s="22">
        <f t="shared" si="4"/>
        <v>2941.1262000000002</v>
      </c>
      <c r="L21" s="22">
        <f>L13*60/1000*365/1000</f>
        <v>2997.9785999999995</v>
      </c>
      <c r="M21" s="22">
        <f>M13*60/1000*365/1000</f>
        <v>3039.1068</v>
      </c>
      <c r="O21" t="s">
        <v>1132</v>
      </c>
      <c r="P21">
        <v>0.6</v>
      </c>
      <c r="Q21" t="s">
        <v>1133</v>
      </c>
    </row>
    <row r="22" spans="2:17" x14ac:dyDescent="0.25">
      <c r="B22" t="s">
        <v>1134</v>
      </c>
      <c r="C22">
        <v>32.9</v>
      </c>
      <c r="D22">
        <v>32.9</v>
      </c>
      <c r="E22">
        <v>32.9</v>
      </c>
      <c r="F22">
        <v>32.9</v>
      </c>
      <c r="G22">
        <v>32.9</v>
      </c>
      <c r="H22">
        <v>32.9</v>
      </c>
      <c r="I22">
        <v>32.9</v>
      </c>
      <c r="J22">
        <v>32.9</v>
      </c>
      <c r="K22">
        <v>32.9</v>
      </c>
      <c r="L22">
        <v>32.9</v>
      </c>
      <c r="M22">
        <v>33.9</v>
      </c>
      <c r="O22" t="s">
        <v>1135</v>
      </c>
      <c r="P22">
        <v>0.1</v>
      </c>
    </row>
    <row r="23" spans="2:17" x14ac:dyDescent="0.25">
      <c r="O23" t="s">
        <v>1136</v>
      </c>
      <c r="P23">
        <f>P22*P21</f>
        <v>0.06</v>
      </c>
    </row>
    <row r="24" spans="2:17" x14ac:dyDescent="0.25">
      <c r="B24" t="s">
        <v>1137</v>
      </c>
      <c r="C24" s="22">
        <f t="shared" ref="C24:L24" si="5">C21*0.01</f>
        <v>26.016762000000003</v>
      </c>
      <c r="D24" s="22">
        <f t="shared" si="5"/>
        <v>26.119254000000002</v>
      </c>
      <c r="E24" s="22">
        <f t="shared" si="5"/>
        <v>26.392346999999997</v>
      </c>
      <c r="F24" s="22">
        <f t="shared" si="5"/>
        <v>26.967879</v>
      </c>
      <c r="G24" s="22">
        <f t="shared" si="5"/>
        <v>27.45384</v>
      </c>
      <c r="H24" s="22">
        <f t="shared" si="5"/>
        <v>27.714230999999995</v>
      </c>
      <c r="I24" s="22">
        <f t="shared" si="5"/>
        <v>28.165590000000002</v>
      </c>
      <c r="J24" s="22">
        <f t="shared" si="5"/>
        <v>28.609721999999998</v>
      </c>
      <c r="K24" s="22">
        <f t="shared" si="5"/>
        <v>29.411262000000001</v>
      </c>
      <c r="L24" s="22">
        <f t="shared" si="5"/>
        <v>29.979785999999994</v>
      </c>
      <c r="M24" s="22">
        <f t="shared" ref="M24" si="6">M21*0.01</f>
        <v>30.391068000000001</v>
      </c>
    </row>
    <row r="25" spans="2:17" x14ac:dyDescent="0.25">
      <c r="B25" t="s">
        <v>696</v>
      </c>
      <c r="C25" s="22">
        <f t="shared" ref="C25:J25" si="7">(C21-C24)*$P$23</f>
        <v>154.53956628</v>
      </c>
      <c r="D25" s="22">
        <f t="shared" si="7"/>
        <v>155.14836875999998</v>
      </c>
      <c r="E25" s="22">
        <f t="shared" si="7"/>
        <v>156.77054117999998</v>
      </c>
      <c r="F25" s="22">
        <f t="shared" si="7"/>
        <v>160.18920126</v>
      </c>
      <c r="G25" s="22">
        <f>(G21-G24)*$P$23</f>
        <v>163.07580959999999</v>
      </c>
      <c r="H25" s="83">
        <f t="shared" si="7"/>
        <v>164.62253213999998</v>
      </c>
      <c r="I25" s="83">
        <f t="shared" si="7"/>
        <v>167.3036046</v>
      </c>
      <c r="J25" s="83">
        <f t="shared" si="7"/>
        <v>169.94174867999996</v>
      </c>
      <c r="K25" s="83">
        <f>(K21-K24)*$P$23</f>
        <v>174.70289628</v>
      </c>
      <c r="L25" s="83">
        <f>(L21-L24)*$P$23</f>
        <v>178.07992883999998</v>
      </c>
      <c r="M25" s="83">
        <f>(M21-M24)*$P$23</f>
        <v>180.52294391999999</v>
      </c>
    </row>
    <row r="26" spans="2:17" x14ac:dyDescent="0.25">
      <c r="B26" t="s">
        <v>1138</v>
      </c>
      <c r="C26" s="22">
        <f>C25*28</f>
        <v>4327.1078558400004</v>
      </c>
      <c r="D26" s="22">
        <f>D25*28</f>
        <v>4344.1543252799993</v>
      </c>
      <c r="E26" s="22">
        <f>E25*28</f>
        <v>4389.5751530399993</v>
      </c>
      <c r="F26" s="22">
        <f>F25*28</f>
        <v>4485.2976352799997</v>
      </c>
      <c r="G26" s="22">
        <f>G25*28*0</f>
        <v>0</v>
      </c>
      <c r="H26" s="22">
        <f t="shared" ref="H26:M26" si="8">H25*28</f>
        <v>4609.4308999199993</v>
      </c>
      <c r="I26" s="22">
        <f t="shared" si="8"/>
        <v>4684.5009288000001</v>
      </c>
      <c r="J26" s="662">
        <f t="shared" si="8"/>
        <v>4758.3689630399986</v>
      </c>
      <c r="K26" s="22">
        <f t="shared" si="8"/>
        <v>4891.6810958400001</v>
      </c>
      <c r="L26" s="22">
        <f t="shared" si="8"/>
        <v>4986.2380075199999</v>
      </c>
      <c r="M26" s="22">
        <f t="shared" si="8"/>
        <v>5054.6424297599997</v>
      </c>
    </row>
    <row r="32" spans="2:17" x14ac:dyDescent="0.25">
      <c r="B32" t="s">
        <v>697</v>
      </c>
      <c r="P32">
        <v>29.8</v>
      </c>
    </row>
    <row r="33" spans="2:17" x14ac:dyDescent="0.25">
      <c r="B33" t="s">
        <v>1139</v>
      </c>
      <c r="C33" s="85">
        <f t="shared" ref="C33:L33" si="9">C20/C34</f>
        <v>17.911079044479592</v>
      </c>
      <c r="D33" s="85">
        <f t="shared" si="9"/>
        <v>18.078088833479708</v>
      </c>
      <c r="E33" s="85">
        <f t="shared" si="9"/>
        <v>18.436893728771782</v>
      </c>
      <c r="F33" s="85">
        <f t="shared" si="9"/>
        <v>18.973409903527791</v>
      </c>
      <c r="G33" s="85">
        <f t="shared" si="9"/>
        <v>19.377349582434107</v>
      </c>
      <c r="H33" s="85">
        <f t="shared" si="9"/>
        <v>19.630969361612898</v>
      </c>
      <c r="I33" s="85">
        <f t="shared" si="9"/>
        <v>19.866956633188089</v>
      </c>
      <c r="J33" s="85">
        <f t="shared" si="9"/>
        <v>20.233967852773663</v>
      </c>
      <c r="K33" s="85">
        <f t="shared" si="9"/>
        <v>20.805139113228567</v>
      </c>
      <c r="L33" s="85">
        <f t="shared" si="9"/>
        <v>21.223157409851339</v>
      </c>
      <c r="M33" s="85">
        <f t="shared" ref="M33" si="10">M20/M34</f>
        <v>21.485148743513083</v>
      </c>
      <c r="P33">
        <v>273</v>
      </c>
    </row>
    <row r="34" spans="2:17" x14ac:dyDescent="0.25">
      <c r="C34" s="41">
        <v>394.96367485354602</v>
      </c>
      <c r="D34" s="41">
        <v>394.96367485354602</v>
      </c>
      <c r="E34" s="41">
        <v>394.96367485354602</v>
      </c>
      <c r="F34" s="41">
        <v>394.96367485354602</v>
      </c>
      <c r="G34" s="41">
        <v>394.96367485354602</v>
      </c>
      <c r="H34" s="41">
        <v>394.96367485354602</v>
      </c>
      <c r="I34" s="41">
        <v>394.96367485354602</v>
      </c>
      <c r="J34" s="41">
        <v>394.96367485354602</v>
      </c>
      <c r="K34" s="41">
        <v>394.96367485354602</v>
      </c>
      <c r="L34" s="41">
        <v>395.96367485354602</v>
      </c>
      <c r="M34" s="41">
        <v>396.96367485354602</v>
      </c>
    </row>
    <row r="35" spans="2:17" x14ac:dyDescent="0.25">
      <c r="C35" s="83">
        <f t="shared" ref="C35:K35" si="11">C33/C15*C13</f>
        <v>6.5871277933716579</v>
      </c>
      <c r="D35" s="83">
        <f t="shared" si="11"/>
        <v>6.6130775215429916</v>
      </c>
      <c r="E35" s="83">
        <f t="shared" si="11"/>
        <v>6.682221348529426</v>
      </c>
      <c r="F35" s="83">
        <f t="shared" si="11"/>
        <v>6.8279390528761388</v>
      </c>
      <c r="G35" s="83">
        <f t="shared" si="11"/>
        <v>6.9509784691414938</v>
      </c>
      <c r="H35" s="489">
        <f t="shared" si="11"/>
        <v>7.0169063041750714</v>
      </c>
      <c r="I35" s="83">
        <f t="shared" si="11"/>
        <v>7.131184914775746</v>
      </c>
      <c r="J35" s="83">
        <f t="shared" si="11"/>
        <v>7.2436337368515193</v>
      </c>
      <c r="K35" s="83">
        <f t="shared" si="11"/>
        <v>7.4465739187042468</v>
      </c>
      <c r="L35" s="83">
        <f>L33/L15*L13</f>
        <v>7.5713475512844823</v>
      </c>
      <c r="M35" s="83">
        <f>M33/M15*M13</f>
        <v>7.655881362749966</v>
      </c>
    </row>
    <row r="36" spans="2:17" x14ac:dyDescent="0.25">
      <c r="B36" t="s">
        <v>1138</v>
      </c>
      <c r="C36" s="22">
        <f>C35*$P$33</f>
        <v>1798.2858875904626</v>
      </c>
      <c r="D36" s="22">
        <f t="shared" ref="D36:K36" si="12">D35*$P$33</f>
        <v>1805.3701633812368</v>
      </c>
      <c r="E36" s="22">
        <f t="shared" si="12"/>
        <v>1824.2464281485334</v>
      </c>
      <c r="F36" s="22">
        <f t="shared" si="12"/>
        <v>1864.0273614351859</v>
      </c>
      <c r="G36" s="22">
        <f t="shared" si="12"/>
        <v>1897.6171220756278</v>
      </c>
      <c r="H36" s="22">
        <f t="shared" si="12"/>
        <v>1915.6154210397945</v>
      </c>
      <c r="I36" s="22">
        <f t="shared" si="12"/>
        <v>1946.8134817337786</v>
      </c>
      <c r="J36" s="662">
        <f t="shared" si="12"/>
        <v>1977.5120101604648</v>
      </c>
      <c r="K36" s="22">
        <f t="shared" si="12"/>
        <v>2032.9146798062593</v>
      </c>
      <c r="L36" s="22">
        <f>L35*$P$33</f>
        <v>2066.9778815006639</v>
      </c>
      <c r="M36" s="22">
        <f>M35*$P$33</f>
        <v>2090.0556120307406</v>
      </c>
    </row>
    <row r="39" spans="2:17" x14ac:dyDescent="0.25">
      <c r="B39" t="s">
        <v>1140</v>
      </c>
      <c r="C39">
        <v>1104930</v>
      </c>
      <c r="D39">
        <v>836860</v>
      </c>
      <c r="E39">
        <v>994150</v>
      </c>
      <c r="F39">
        <v>1077880</v>
      </c>
      <c r="G39">
        <v>877570</v>
      </c>
      <c r="H39">
        <v>978300</v>
      </c>
      <c r="I39">
        <f>AVERAGE(E39:H39)</f>
        <v>981975</v>
      </c>
      <c r="J39">
        <f>AVERAGE(F39:I39)</f>
        <v>978931.25</v>
      </c>
      <c r="K39">
        <f>AVERAGE(G39:J39)</f>
        <v>954194.0625</v>
      </c>
      <c r="L39">
        <f>AVERAGE(H39:K39)</f>
        <v>973350.078125</v>
      </c>
      <c r="M39">
        <f>AVERAGE(I39:L39)</f>
        <v>972112.59765625</v>
      </c>
      <c r="P39">
        <v>13</v>
      </c>
      <c r="Q39" t="s">
        <v>1141</v>
      </c>
    </row>
    <row r="40" spans="2:17" x14ac:dyDescent="0.25">
      <c r="B40" t="s">
        <v>1142</v>
      </c>
      <c r="C40">
        <v>101757</v>
      </c>
      <c r="D40">
        <v>94470</v>
      </c>
      <c r="E40">
        <v>84854</v>
      </c>
      <c r="F40">
        <v>93006</v>
      </c>
      <c r="G40">
        <v>73380</v>
      </c>
      <c r="H40" s="22">
        <f t="shared" ref="H40:M40" si="13">H39*H41</f>
        <v>90049.874234420335</v>
      </c>
      <c r="I40" s="22">
        <f t="shared" si="13"/>
        <v>90379.051807697251</v>
      </c>
      <c r="J40" s="22">
        <f t="shared" si="13"/>
        <v>86017.114672999829</v>
      </c>
      <c r="K40" s="22">
        <f t="shared" si="13"/>
        <v>84323.471705190444</v>
      </c>
      <c r="L40" s="22">
        <f t="shared" si="13"/>
        <v>86422.273572772989</v>
      </c>
      <c r="M40" s="22">
        <f t="shared" si="13"/>
        <v>87317.800857613518</v>
      </c>
      <c r="P40">
        <v>2.5</v>
      </c>
      <c r="Q40" t="s">
        <v>1143</v>
      </c>
    </row>
    <row r="41" spans="2:17" x14ac:dyDescent="0.25">
      <c r="B41" t="s">
        <v>310</v>
      </c>
      <c r="C41" s="95">
        <f>C40/C39</f>
        <v>9.2093616790203905E-2</v>
      </c>
      <c r="D41" s="95">
        <f>D40/D39</f>
        <v>0.11288626532514399</v>
      </c>
      <c r="E41" s="95">
        <f>E40/E39</f>
        <v>8.5353316903887741E-2</v>
      </c>
      <c r="F41" s="95">
        <f>F40/F39</f>
        <v>8.6286042973243771E-2</v>
      </c>
      <c r="G41" s="95">
        <f>G40/G39</f>
        <v>8.3617261301092788E-2</v>
      </c>
      <c r="H41" s="95">
        <f t="shared" ref="H41:M41" si="14">AVERAGE(C41:G41)</f>
        <v>9.2047300658714443E-2</v>
      </c>
      <c r="I41" s="95">
        <f t="shared" si="14"/>
        <v>9.2038037432416564E-2</v>
      </c>
      <c r="J41" s="95">
        <f t="shared" si="14"/>
        <v>8.7868391853871075E-2</v>
      </c>
      <c r="K41" s="95">
        <f t="shared" si="14"/>
        <v>8.8371406843867725E-2</v>
      </c>
      <c r="L41" s="95">
        <f t="shared" si="14"/>
        <v>8.8788479617992522E-2</v>
      </c>
      <c r="M41" s="95">
        <f t="shared" si="14"/>
        <v>8.9822723281372474E-2</v>
      </c>
    </row>
    <row r="42" spans="2:17" x14ac:dyDescent="0.25">
      <c r="B42" t="s">
        <v>1144</v>
      </c>
      <c r="C42" s="22">
        <f t="shared" ref="C42:J42" si="15">C40*$P$39*$P$40/1000</f>
        <v>3307.1025</v>
      </c>
      <c r="D42" s="22">
        <f t="shared" si="15"/>
        <v>3070.2750000000001</v>
      </c>
      <c r="E42" s="22">
        <f t="shared" si="15"/>
        <v>2757.7550000000001</v>
      </c>
      <c r="F42" s="22">
        <f t="shared" si="15"/>
        <v>3022.6950000000002</v>
      </c>
      <c r="G42" s="22">
        <f t="shared" si="15"/>
        <v>2384.85</v>
      </c>
      <c r="H42" s="22">
        <f t="shared" si="15"/>
        <v>2926.6209126186609</v>
      </c>
      <c r="I42" s="22">
        <f t="shared" si="15"/>
        <v>2937.3191837501608</v>
      </c>
      <c r="J42" s="22">
        <f t="shared" si="15"/>
        <v>2795.5562268724943</v>
      </c>
      <c r="K42" s="22">
        <f>K40*$P$39*$P$40/1000</f>
        <v>2740.5128304186892</v>
      </c>
      <c r="L42" s="22">
        <f>L40*$P$39*$P$40/1000</f>
        <v>2808.7238911151226</v>
      </c>
      <c r="M42" s="22">
        <f>M40*$P$39*$P$40/1000</f>
        <v>2837.8285278724393</v>
      </c>
    </row>
    <row r="43" spans="2:17" x14ac:dyDescent="0.25">
      <c r="B43" t="s">
        <v>1145</v>
      </c>
      <c r="C43" s="22">
        <f t="shared" ref="C43:L43" si="16">C42*0.02*28</f>
        <v>1851.9774</v>
      </c>
      <c r="D43" s="22">
        <f t="shared" si="16"/>
        <v>1719.354</v>
      </c>
      <c r="E43" s="22">
        <f t="shared" si="16"/>
        <v>1544.3428000000001</v>
      </c>
      <c r="F43" s="22">
        <f t="shared" si="16"/>
        <v>1692.7092000000002</v>
      </c>
      <c r="G43" s="22">
        <f t="shared" si="16"/>
        <v>1335.5159999999998</v>
      </c>
      <c r="H43" s="22">
        <f t="shared" si="16"/>
        <v>1638.9077110664502</v>
      </c>
      <c r="I43" s="22">
        <f t="shared" si="16"/>
        <v>1644.8987429000899</v>
      </c>
      <c r="J43" s="662">
        <f t="shared" si="16"/>
        <v>1565.5114870485968</v>
      </c>
      <c r="K43" s="22">
        <f t="shared" si="16"/>
        <v>1534.687185034466</v>
      </c>
      <c r="L43" s="22">
        <f t="shared" si="16"/>
        <v>1572.8853790244686</v>
      </c>
      <c r="M43" s="22">
        <f t="shared" ref="M43" si="17">M42*0.02*28</f>
        <v>1589.183975608566</v>
      </c>
      <c r="N43" s="489">
        <f>J43/28</f>
        <v>55.911124537449886</v>
      </c>
    </row>
    <row r="46" spans="2:17" x14ac:dyDescent="0.25">
      <c r="I46" s="22">
        <f>SUM(I26+I36+I43)</f>
        <v>8276.2131534338696</v>
      </c>
      <c r="J46" s="22">
        <f>SUM(J26+J36+J43)</f>
        <v>8301.3924602490588</v>
      </c>
      <c r="K46" s="22">
        <f>SUM(K26+K36+K43)</f>
        <v>8459.2829606807245</v>
      </c>
      <c r="L46" s="22">
        <f>SUM(L26+L36+L43)</f>
        <v>8626.1012680451331</v>
      </c>
      <c r="M46" s="22">
        <f>SUM(M26+M36+M43)</f>
        <v>8733.8820173993063</v>
      </c>
    </row>
    <row r="50" spans="1:15" ht="14.4" x14ac:dyDescent="0.3">
      <c r="O50" s="634"/>
    </row>
    <row r="51" spans="1:15" ht="14.4" x14ac:dyDescent="0.3">
      <c r="A51" t="s">
        <v>1146</v>
      </c>
      <c r="B51" t="s">
        <v>1147</v>
      </c>
      <c r="D51">
        <v>404</v>
      </c>
      <c r="E51">
        <v>310</v>
      </c>
      <c r="F51">
        <v>408</v>
      </c>
      <c r="G51">
        <v>306</v>
      </c>
      <c r="H51">
        <v>566</v>
      </c>
      <c r="I51">
        <v>389</v>
      </c>
      <c r="J51">
        <v>322</v>
      </c>
      <c r="K51">
        <v>386</v>
      </c>
      <c r="L51">
        <v>337</v>
      </c>
      <c r="M51">
        <v>338</v>
      </c>
      <c r="O51" s="634"/>
    </row>
    <row r="52" spans="1:15" ht="14.4" x14ac:dyDescent="0.3">
      <c r="O52" s="634"/>
    </row>
    <row r="53" spans="1:15" ht="14.4" x14ac:dyDescent="0.3">
      <c r="O53" s="634"/>
    </row>
    <row r="54" spans="1:15" ht="14.4" x14ac:dyDescent="0.3">
      <c r="O54" s="634"/>
    </row>
    <row r="55" spans="1:15" ht="14.4" x14ac:dyDescent="0.3">
      <c r="O55" s="634"/>
    </row>
    <row r="56" spans="1:15" ht="14.4" x14ac:dyDescent="0.3">
      <c r="O56" s="634"/>
    </row>
    <row r="57" spans="1:15" x14ac:dyDescent="0.25">
      <c r="O57" s="22"/>
    </row>
  </sheetData>
  <hyperlinks>
    <hyperlink ref="H6" r:id="rId1" xr:uid="{9AA93857-D2AD-4E64-8C8F-442FC56AE328}"/>
  </hyperlinks>
  <pageMargins left="0.7" right="0.7" top="0.75" bottom="0.75" header="0.3" footer="0.3"/>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1F1D8-DE4C-4404-974B-DB5A096E327B}">
  <sheetPr>
    <tabColor theme="7" tint="-9.9978637043366805E-2"/>
  </sheetPr>
  <dimension ref="A1:BN183"/>
  <sheetViews>
    <sheetView showGridLines="0" workbookViewId="0"/>
  </sheetViews>
  <sheetFormatPr defaultColWidth="9.109375" defaultRowHeight="13.2" x14ac:dyDescent="0.25"/>
  <cols>
    <col min="1" max="1" width="18.109375" bestFit="1" customWidth="1"/>
    <col min="2" max="2" width="18.88671875" customWidth="1"/>
    <col min="3" max="3" width="12.44140625" customWidth="1"/>
    <col min="4" max="4" width="10.44140625" customWidth="1"/>
    <col min="5" max="5" width="10.109375" bestFit="1" customWidth="1"/>
    <col min="6" max="6" width="9.6640625" customWidth="1"/>
    <col min="7" max="7" width="11.44140625" bestFit="1" customWidth="1"/>
    <col min="8" max="9" width="13.44140625" customWidth="1"/>
    <col min="11" max="11" width="12.88671875" customWidth="1"/>
    <col min="12" max="12" width="13.33203125" customWidth="1"/>
    <col min="14" max="14" width="9.109375" bestFit="1" customWidth="1"/>
    <col min="15" max="15" width="11.5546875" bestFit="1" customWidth="1"/>
    <col min="19" max="19" width="9.5546875" bestFit="1" customWidth="1"/>
    <col min="20" max="20" width="10.5546875" bestFit="1" customWidth="1"/>
    <col min="26" max="26" width="18.88671875" bestFit="1" customWidth="1"/>
    <col min="27" max="27" width="12.88671875" bestFit="1" customWidth="1"/>
    <col min="44" max="44" width="10" bestFit="1" customWidth="1"/>
    <col min="46" max="46" width="11" bestFit="1" customWidth="1"/>
    <col min="48" max="48" width="12.5546875" bestFit="1" customWidth="1"/>
    <col min="49" max="49" width="12.44140625" bestFit="1" customWidth="1"/>
    <col min="50" max="50" width="16.88671875" bestFit="1" customWidth="1"/>
    <col min="51" max="54" width="12" bestFit="1" customWidth="1"/>
  </cols>
  <sheetData>
    <row r="1" spans="1:27" ht="13.8" x14ac:dyDescent="0.25">
      <c r="A1" s="193"/>
      <c r="B1" s="193"/>
      <c r="C1" s="193"/>
      <c r="D1" s="193"/>
      <c r="E1" s="193"/>
      <c r="F1" s="193"/>
      <c r="G1" s="193"/>
      <c r="H1" s="193"/>
      <c r="I1" s="193"/>
      <c r="J1" s="193"/>
      <c r="K1" s="193"/>
      <c r="L1" s="193"/>
    </row>
    <row r="2" spans="1:27" ht="21.6" thickBot="1" x14ac:dyDescent="0.45">
      <c r="A2" s="1009" t="s">
        <v>836</v>
      </c>
      <c r="B2" s="1009"/>
      <c r="C2" s="1009"/>
      <c r="D2" s="1009"/>
      <c r="E2" s="1009"/>
      <c r="F2" s="1009"/>
      <c r="G2" s="1009"/>
      <c r="H2" s="1009"/>
      <c r="I2" s="1009"/>
      <c r="J2" s="1009"/>
      <c r="K2" s="1009"/>
      <c r="L2" s="1009"/>
      <c r="N2" s="33" t="s">
        <v>976</v>
      </c>
      <c r="O2" s="33"/>
    </row>
    <row r="3" spans="1:27" ht="24.6" x14ac:dyDescent="0.4">
      <c r="A3" s="1010"/>
      <c r="B3" s="1011"/>
      <c r="C3" s="1016" t="s">
        <v>266</v>
      </c>
      <c r="D3" s="1017"/>
      <c r="E3" s="1017"/>
      <c r="F3" s="1017"/>
      <c r="G3" s="1017"/>
      <c r="H3" s="1017"/>
      <c r="I3" s="1017"/>
      <c r="J3" s="1017"/>
      <c r="K3" s="1017"/>
      <c r="L3" s="1017"/>
    </row>
    <row r="4" spans="1:27" ht="24.6" x14ac:dyDescent="0.25">
      <c r="A4" s="1012"/>
      <c r="B4" s="1013"/>
      <c r="C4" s="925"/>
      <c r="D4" s="956"/>
      <c r="E4" s="956"/>
      <c r="F4" s="926"/>
      <c r="G4" s="128"/>
      <c r="H4" s="1087"/>
      <c r="I4" s="929"/>
      <c r="J4" s="1088" t="s">
        <v>880</v>
      </c>
      <c r="K4" s="1089"/>
      <c r="L4" s="1089"/>
      <c r="N4" s="34"/>
      <c r="O4" t="s">
        <v>978</v>
      </c>
    </row>
    <row r="5" spans="1:27" ht="24.6" x14ac:dyDescent="0.4">
      <c r="A5" s="1014"/>
      <c r="B5" s="1015"/>
      <c r="C5" s="129"/>
      <c r="D5" s="236"/>
      <c r="E5" s="236"/>
      <c r="F5" s="957"/>
      <c r="G5" s="133"/>
      <c r="H5" s="1020"/>
      <c r="I5" s="134"/>
      <c r="J5" s="135"/>
      <c r="K5" s="136"/>
      <c r="L5" s="136"/>
    </row>
    <row r="6" spans="1:27" ht="21" x14ac:dyDescent="0.4">
      <c r="A6" s="949"/>
      <c r="B6" s="950"/>
      <c r="C6" s="138"/>
      <c r="D6" s="139"/>
      <c r="E6" s="139">
        <v>28</v>
      </c>
      <c r="F6" s="140">
        <v>265</v>
      </c>
      <c r="G6" s="141"/>
      <c r="H6" s="1021"/>
      <c r="I6" s="134"/>
      <c r="J6" s="142"/>
      <c r="K6" s="951"/>
      <c r="L6" s="931"/>
      <c r="N6" s="33" t="s">
        <v>8</v>
      </c>
    </row>
    <row r="7" spans="1:27" ht="14.4" thickBot="1" x14ac:dyDescent="0.3">
      <c r="A7" s="1082" t="s">
        <v>840</v>
      </c>
      <c r="B7" s="1083"/>
      <c r="C7" s="935" t="s">
        <v>1148</v>
      </c>
      <c r="D7" s="936" t="s">
        <v>1149</v>
      </c>
      <c r="E7" s="1094" t="s">
        <v>1150</v>
      </c>
      <c r="F7" s="1095"/>
      <c r="G7" s="197"/>
      <c r="H7" s="144" t="s">
        <v>685</v>
      </c>
      <c r="I7" s="198" t="s">
        <v>1151</v>
      </c>
      <c r="J7" s="145"/>
      <c r="K7" s="211" t="s">
        <v>1151</v>
      </c>
      <c r="L7" s="212" t="s">
        <v>847</v>
      </c>
      <c r="R7">
        <v>28</v>
      </c>
      <c r="T7">
        <v>265</v>
      </c>
    </row>
    <row r="8" spans="1:27" ht="14.4" thickBot="1" x14ac:dyDescent="0.3">
      <c r="A8" s="146"/>
      <c r="B8" s="147"/>
      <c r="C8" s="234"/>
      <c r="D8" s="235"/>
      <c r="E8" s="235" t="s">
        <v>1152</v>
      </c>
      <c r="F8" s="235" t="s">
        <v>29</v>
      </c>
      <c r="G8" s="958" t="s">
        <v>847</v>
      </c>
      <c r="H8" s="148" t="s">
        <v>851</v>
      </c>
      <c r="I8" s="149"/>
      <c r="J8" s="150"/>
      <c r="K8" s="207"/>
      <c r="L8" s="213"/>
      <c r="N8" t="s">
        <v>423</v>
      </c>
      <c r="R8" s="16" t="s">
        <v>696</v>
      </c>
      <c r="T8" t="s">
        <v>697</v>
      </c>
      <c r="V8" t="s">
        <v>1153</v>
      </c>
    </row>
    <row r="9" spans="1:27" ht="13.8" x14ac:dyDescent="0.25">
      <c r="A9" s="986">
        <v>2016</v>
      </c>
      <c r="B9" t="s">
        <v>1154</v>
      </c>
      <c r="C9" s="152">
        <v>378477</v>
      </c>
      <c r="D9" s="153">
        <v>247</v>
      </c>
      <c r="E9" s="153">
        <f>D9*$R$10*$E$6/1000</f>
        <v>77.09692712481332</v>
      </c>
      <c r="F9" s="153">
        <f>D9*(($S$10*$E$6+($T$10+$Y$10)*$F$6))/1000</f>
        <v>14.766627441289181</v>
      </c>
      <c r="G9" s="155">
        <f t="shared" ref="G9:G18" si="0">E9+F9</f>
        <v>91.863554566102493</v>
      </c>
      <c r="H9" s="199">
        <f>G9</f>
        <v>91.863554566102493</v>
      </c>
      <c r="I9" s="199"/>
      <c r="J9" s="156"/>
      <c r="K9" s="157"/>
      <c r="L9" s="158"/>
      <c r="N9" t="s">
        <v>1152</v>
      </c>
      <c r="O9" t="s">
        <v>1155</v>
      </c>
      <c r="Q9" s="237" t="s">
        <v>1156</v>
      </c>
      <c r="R9" t="s">
        <v>1152</v>
      </c>
      <c r="S9" t="s">
        <v>29</v>
      </c>
      <c r="T9" t="s">
        <v>29</v>
      </c>
      <c r="U9" t="s">
        <v>1157</v>
      </c>
      <c r="V9" t="s">
        <v>1158</v>
      </c>
      <c r="W9" t="s">
        <v>1159</v>
      </c>
      <c r="X9" t="s">
        <v>1160</v>
      </c>
      <c r="Y9" t="s">
        <v>1161</v>
      </c>
    </row>
    <row r="10" spans="1:27" ht="13.8" x14ac:dyDescent="0.25">
      <c r="A10" s="981"/>
      <c r="B10" t="s">
        <v>1162</v>
      </c>
      <c r="C10" s="160">
        <v>11949</v>
      </c>
      <c r="D10" s="161">
        <v>13</v>
      </c>
      <c r="E10" s="161">
        <f>D10*$R$11*$E$6/1000</f>
        <v>4.3479836101767999</v>
      </c>
      <c r="F10" s="161">
        <f>D10*(($S$11*$E$6+($T$11+$Y$11)*$F$6))/1000</f>
        <v>1.0120039672145935</v>
      </c>
      <c r="G10" s="163">
        <f t="shared" si="0"/>
        <v>5.3599875773913936</v>
      </c>
      <c r="H10" s="200">
        <f>G10+G9</f>
        <v>97.223542143493887</v>
      </c>
      <c r="I10" s="200"/>
      <c r="J10" s="156"/>
      <c r="K10" s="157"/>
      <c r="L10" s="164"/>
      <c r="N10" t="s">
        <v>29</v>
      </c>
      <c r="O10" t="s">
        <v>1163</v>
      </c>
      <c r="Q10" t="s">
        <v>1154</v>
      </c>
      <c r="R10" s="83">
        <v>11.14761814991517</v>
      </c>
      <c r="S10" s="83">
        <v>1.0784697573920701</v>
      </c>
      <c r="T10" s="83">
        <v>7.2979379999999996E-2</v>
      </c>
      <c r="U10" s="83">
        <v>20.166250000000002</v>
      </c>
      <c r="V10" s="116">
        <v>0.1925</v>
      </c>
      <c r="W10" s="116">
        <v>0.35749999999999998</v>
      </c>
      <c r="X10" s="116">
        <v>0.45</v>
      </c>
      <c r="Y10">
        <f t="shared" ref="Y10:Y17" si="1">U10*(0.001*44/28*V10+0.002*(W10+X10))</f>
        <v>3.8668784375000008E-2</v>
      </c>
      <c r="AA10" s="22"/>
    </row>
    <row r="11" spans="1:27" ht="13.8" x14ac:dyDescent="0.25">
      <c r="A11" s="981"/>
      <c r="B11" t="s">
        <v>1164</v>
      </c>
      <c r="C11" s="160">
        <f>86248</f>
        <v>86248</v>
      </c>
      <c r="D11" s="161">
        <f>51</f>
        <v>51</v>
      </c>
      <c r="E11" s="161">
        <f>D11*$R$12*$E$6/1000</f>
        <v>13.493470132854195</v>
      </c>
      <c r="F11" s="161">
        <f>D11*(($S$12*$E$6+($T$12+$Y$12)*$F$6))/1000</f>
        <v>2.0269685140733391</v>
      </c>
      <c r="G11" s="163">
        <f t="shared" si="0"/>
        <v>15.520438646927534</v>
      </c>
      <c r="H11" s="200">
        <f>G11+G10+G9</f>
        <v>112.74398079042142</v>
      </c>
      <c r="I11" s="200"/>
      <c r="J11" s="165"/>
      <c r="K11" s="157"/>
      <c r="L11" s="157"/>
      <c r="N11" t="s">
        <v>697</v>
      </c>
      <c r="O11" t="s">
        <v>1165</v>
      </c>
      <c r="Q11" t="s">
        <v>1162</v>
      </c>
      <c r="R11" s="83">
        <v>11.945009918068131</v>
      </c>
      <c r="S11" s="83">
        <v>1.1556129322983999</v>
      </c>
      <c r="T11" s="83">
        <v>0.11514180857179999</v>
      </c>
      <c r="U11" s="83">
        <v>29.473749999999999</v>
      </c>
      <c r="V11" s="116">
        <v>0.1925</v>
      </c>
      <c r="W11" s="116">
        <v>0.35749999999999998</v>
      </c>
      <c r="X11" s="116">
        <v>0.45</v>
      </c>
      <c r="Y11">
        <f t="shared" si="1"/>
        <v>5.6515915625000003E-2</v>
      </c>
      <c r="AA11" s="22"/>
    </row>
    <row r="12" spans="1:27" ht="13.8" x14ac:dyDescent="0.25">
      <c r="A12" s="981"/>
      <c r="B12" t="s">
        <v>1166</v>
      </c>
      <c r="C12" s="160">
        <f>86248*3</f>
        <v>258744</v>
      </c>
      <c r="D12" s="161">
        <f>51*3</f>
        <v>153</v>
      </c>
      <c r="E12" s="161">
        <f>D12*$R$13*$E$6/1000</f>
        <v>20.022430131134477</v>
      </c>
      <c r="F12" s="161">
        <f>D12*(($S$13*$E$6+($T$13+$Y$13)*$F$6))/1000</f>
        <v>0.99577373885213039</v>
      </c>
      <c r="G12" s="163">
        <f t="shared" si="0"/>
        <v>21.018203869986607</v>
      </c>
      <c r="H12" s="200">
        <f>SUM(G9:G12)</f>
        <v>133.76218466040802</v>
      </c>
      <c r="I12" s="200"/>
      <c r="J12" s="165"/>
      <c r="K12" s="157"/>
      <c r="L12" s="157"/>
      <c r="N12" t="s">
        <v>1157</v>
      </c>
      <c r="O12" t="s">
        <v>1165</v>
      </c>
      <c r="Q12" t="s">
        <v>1164</v>
      </c>
      <c r="R12" s="83">
        <v>9.4492087765085397</v>
      </c>
      <c r="S12" s="83">
        <v>0.91415808731918002</v>
      </c>
      <c r="T12" s="83">
        <v>3.2046688928510002E-2</v>
      </c>
      <c r="U12" s="83">
        <v>11.130219</v>
      </c>
      <c r="V12" s="116">
        <v>0.1925</v>
      </c>
      <c r="W12" s="116">
        <v>0.35749999999999998</v>
      </c>
      <c r="X12" s="116">
        <v>0.45</v>
      </c>
      <c r="Y12">
        <f t="shared" si="1"/>
        <v>2.1342194932500003E-2</v>
      </c>
      <c r="AA12" s="22"/>
    </row>
    <row r="13" spans="1:27" ht="13.8" x14ac:dyDescent="0.25">
      <c r="A13" s="981"/>
      <c r="B13" t="s">
        <v>1167</v>
      </c>
      <c r="C13" s="160">
        <f>SUM(C9:C12)</f>
        <v>735418</v>
      </c>
      <c r="D13" s="161">
        <f>SUM(D9:D12)</f>
        <v>464</v>
      </c>
      <c r="E13" s="161">
        <f>SUM(E9:E12)</f>
        <v>114.96081099897879</v>
      </c>
      <c r="F13" s="161">
        <f>SUM(F9:F12)</f>
        <v>18.801373661429242</v>
      </c>
      <c r="G13" s="163">
        <f t="shared" si="0"/>
        <v>133.76218466040802</v>
      </c>
      <c r="H13" s="200">
        <f>G13</f>
        <v>133.76218466040802</v>
      </c>
      <c r="I13" s="200">
        <f>D13</f>
        <v>464</v>
      </c>
      <c r="J13" s="165"/>
      <c r="K13" s="157"/>
      <c r="L13" s="157"/>
      <c r="Q13" t="s">
        <v>1166</v>
      </c>
      <c r="R13" s="83">
        <v>4.6737698718801299</v>
      </c>
      <c r="S13" s="83">
        <v>9.9161767965600001E-2</v>
      </c>
      <c r="T13" s="83"/>
      <c r="U13" s="83">
        <v>7.0411237499999997</v>
      </c>
      <c r="X13" s="116">
        <v>1</v>
      </c>
      <c r="Y13">
        <f t="shared" si="1"/>
        <v>1.4082247499999999E-2</v>
      </c>
      <c r="AA13" s="22"/>
    </row>
    <row r="14" spans="1:27" ht="13.8" x14ac:dyDescent="0.25">
      <c r="A14" s="981"/>
      <c r="B14" t="s">
        <v>1168</v>
      </c>
      <c r="C14" s="160">
        <v>26354</v>
      </c>
      <c r="D14" s="161">
        <v>49</v>
      </c>
      <c r="E14" s="161">
        <f>D14*$R$15*$E$6/1000</f>
        <v>149.77505914</v>
      </c>
      <c r="F14" s="161">
        <f>D14*(($S$15*$E$6+($T$15+$Y$15)*$F$6))/1000</f>
        <v>45.002651510642387</v>
      </c>
      <c r="G14" s="163">
        <f t="shared" si="0"/>
        <v>194.77771065064238</v>
      </c>
      <c r="H14" s="200">
        <f>G14+G13</f>
        <v>328.53989531105037</v>
      </c>
      <c r="I14" s="200"/>
      <c r="J14" s="165"/>
      <c r="K14" s="157"/>
      <c r="L14" s="157"/>
      <c r="Q14" t="s">
        <v>1167</v>
      </c>
      <c r="R14" s="83"/>
      <c r="T14" s="83"/>
      <c r="U14" s="83"/>
      <c r="Y14">
        <f t="shared" si="1"/>
        <v>0</v>
      </c>
      <c r="AA14" s="22"/>
    </row>
    <row r="15" spans="1:27" ht="13.8" x14ac:dyDescent="0.25">
      <c r="A15" s="981"/>
      <c r="B15" t="s">
        <v>1169</v>
      </c>
      <c r="C15" s="160">
        <v>17907</v>
      </c>
      <c r="D15" s="161">
        <v>16</v>
      </c>
      <c r="E15" s="161">
        <f>D15*$R$16*$E$6/1000</f>
        <v>33.042307878720003</v>
      </c>
      <c r="F15" s="161">
        <f>D15*(($S$16*$E$6+($T$16+$Y$16)*$F$6))/1000</f>
        <v>1.7767382506519038</v>
      </c>
      <c r="G15" s="163">
        <f t="shared" si="0"/>
        <v>34.819046129371905</v>
      </c>
      <c r="H15" s="200">
        <f>G15+G14+G13</f>
        <v>363.35894144042231</v>
      </c>
      <c r="I15" s="200"/>
      <c r="J15" s="165"/>
      <c r="K15" s="157"/>
      <c r="L15" s="157"/>
      <c r="Q15" t="s">
        <v>1170</v>
      </c>
      <c r="R15" s="83">
        <v>109.16549500000001</v>
      </c>
      <c r="S15" s="83">
        <v>30.69296748</v>
      </c>
      <c r="T15" s="83">
        <v>5.7939999999999998E-2</v>
      </c>
      <c r="U15" s="83">
        <v>97.662642700000006</v>
      </c>
      <c r="V15" s="116">
        <v>0.73</v>
      </c>
      <c r="X15" s="116">
        <v>0.27</v>
      </c>
      <c r="Y15">
        <f t="shared" si="1"/>
        <v>0.16477083004100002</v>
      </c>
      <c r="AA15" s="22"/>
    </row>
    <row r="16" spans="1:27" ht="13.8" x14ac:dyDescent="0.25">
      <c r="A16" s="981"/>
      <c r="B16" t="s">
        <v>1171</v>
      </c>
      <c r="C16" s="160">
        <v>30783</v>
      </c>
      <c r="D16" s="161">
        <v>34</v>
      </c>
      <c r="E16" s="161">
        <f>D16*$R$17*$E$6/1000</f>
        <v>33.723869149599999</v>
      </c>
      <c r="F16" s="161">
        <f>D16*(($S$17*$E$6+($T$17+$Y$17)*$F$6))/1000</f>
        <v>9.5015769415239273</v>
      </c>
      <c r="G16" s="201">
        <f t="shared" si="0"/>
        <v>43.225446091123928</v>
      </c>
      <c r="H16" s="200">
        <f>G16+G15+G14+G13</f>
        <v>406.58438753154621</v>
      </c>
      <c r="I16" s="200"/>
      <c r="J16" s="165"/>
      <c r="K16" s="157"/>
      <c r="L16" s="157"/>
      <c r="Q16" t="s">
        <v>1172</v>
      </c>
      <c r="R16" s="83">
        <v>73.755151514999994</v>
      </c>
      <c r="S16" s="83">
        <v>3.009973484848</v>
      </c>
      <c r="T16" s="83">
        <v>4.0448560000000003E-3</v>
      </c>
      <c r="U16" s="83">
        <v>60.225000000000001</v>
      </c>
      <c r="V16" s="116">
        <v>0.91</v>
      </c>
      <c r="X16" s="116">
        <v>0.09</v>
      </c>
      <c r="Y16">
        <f t="shared" si="1"/>
        <v>9.696225E-2</v>
      </c>
      <c r="AA16" s="22"/>
    </row>
    <row r="17" spans="1:29" ht="13.8" x14ac:dyDescent="0.25">
      <c r="A17" s="981"/>
      <c r="B17" t="s">
        <v>1173</v>
      </c>
      <c r="C17" s="160">
        <f>SUM(C14:C16)</f>
        <v>75044</v>
      </c>
      <c r="D17" s="161">
        <f>SUM(D14:D16)</f>
        <v>99</v>
      </c>
      <c r="E17" s="161">
        <f>SUM(E14:E16)</f>
        <v>216.54123616832001</v>
      </c>
      <c r="F17" s="161">
        <f>SUM(F14:F16)</f>
        <v>56.280966702818219</v>
      </c>
      <c r="G17" s="201">
        <f t="shared" si="0"/>
        <v>272.82220287113824</v>
      </c>
      <c r="H17" s="200">
        <f>G17+G13</f>
        <v>406.58438753154627</v>
      </c>
      <c r="I17" s="200">
        <f>D17+I13</f>
        <v>563</v>
      </c>
      <c r="J17" s="165"/>
      <c r="K17" s="157"/>
      <c r="L17" s="157"/>
      <c r="Q17" t="s">
        <v>1171</v>
      </c>
      <c r="R17" s="83">
        <v>35.4242323</v>
      </c>
      <c r="S17" s="83">
        <v>9.3408676986426702</v>
      </c>
      <c r="T17" s="83">
        <v>2.1332018834830001E-2</v>
      </c>
      <c r="U17" s="83">
        <v>29.442900000000002</v>
      </c>
      <c r="V17" s="116">
        <v>1</v>
      </c>
      <c r="Y17">
        <f t="shared" si="1"/>
        <v>4.6267414285714285E-2</v>
      </c>
      <c r="AA17" s="22"/>
    </row>
    <row r="18" spans="1:29" ht="13.8" x14ac:dyDescent="0.25">
      <c r="A18" s="981"/>
      <c r="B18" t="s">
        <v>1174</v>
      </c>
      <c r="C18" s="160">
        <v>59</v>
      </c>
      <c r="D18" s="161">
        <v>12</v>
      </c>
      <c r="E18" s="161">
        <f>D18*$R$20*$E$6/1000</f>
        <v>0.504</v>
      </c>
      <c r="F18" s="161">
        <f>D18*(($S$20*$E$6+($T$20+$Y$19)*$F$6))/1000</f>
        <v>2.1309092999999999</v>
      </c>
      <c r="G18" s="201">
        <f t="shared" si="0"/>
        <v>2.6349092999999999</v>
      </c>
      <c r="H18" s="200">
        <f>H17+G18</f>
        <v>409.21929683154627</v>
      </c>
      <c r="I18" s="200"/>
      <c r="J18" s="165"/>
      <c r="K18" s="157"/>
      <c r="L18" s="157"/>
      <c r="R18" s="83"/>
      <c r="S18" s="83"/>
      <c r="T18" s="83"/>
      <c r="U18" s="83"/>
      <c r="V18" s="116"/>
      <c r="AA18" s="22"/>
    </row>
    <row r="19" spans="1:29" ht="13.8" x14ac:dyDescent="0.25">
      <c r="A19" s="981"/>
      <c r="B19" t="s">
        <v>1175</v>
      </c>
      <c r="C19" s="160">
        <v>3451</v>
      </c>
      <c r="D19" s="161">
        <v>841</v>
      </c>
      <c r="E19" s="161">
        <f>D19*$R$20*$E$6/1000</f>
        <v>35.322000000000003</v>
      </c>
      <c r="F19" s="161">
        <f>D19*(($S$20*$E$6+($T$20+$Y$20)*$F$6))/1000</f>
        <v>149.341226775</v>
      </c>
      <c r="G19" s="163">
        <f t="shared" ref="G19:G24" si="2">E19+F19</f>
        <v>184.663226775</v>
      </c>
      <c r="H19" s="200">
        <f>G19+G17+G16+G18</f>
        <v>503.3457850372622</v>
      </c>
      <c r="I19" s="200"/>
      <c r="J19" s="165"/>
      <c r="K19" s="157"/>
      <c r="L19" s="157"/>
      <c r="Q19" s="16" t="s">
        <v>1174</v>
      </c>
      <c r="R19" s="83">
        <v>1.5</v>
      </c>
      <c r="S19">
        <v>6</v>
      </c>
      <c r="T19" s="83">
        <v>0</v>
      </c>
      <c r="U19" s="83">
        <v>22.995000000000001</v>
      </c>
      <c r="V19" s="116">
        <v>1</v>
      </c>
      <c r="Y19">
        <f>U19*(0.001*44/28*V19+0.002*(W19+X19))</f>
        <v>3.6135E-2</v>
      </c>
      <c r="AA19" s="22"/>
    </row>
    <row r="20" spans="1:29" ht="13.8" x14ac:dyDescent="0.25">
      <c r="A20" s="981"/>
      <c r="B20" t="s">
        <v>1176</v>
      </c>
      <c r="C20" s="160">
        <v>34506</v>
      </c>
      <c r="D20" s="161">
        <v>2130</v>
      </c>
      <c r="E20" s="161">
        <f>D20*$R$21*$E$6/1000</f>
        <v>89.46</v>
      </c>
      <c r="F20" s="161">
        <f>D20*(($S$21*$E$6+($T$21+$Y$21)*$F$6))/1000</f>
        <v>364.55959616505862</v>
      </c>
      <c r="G20" s="163">
        <f t="shared" si="2"/>
        <v>454.0195961650586</v>
      </c>
      <c r="H20" s="200">
        <f>G20+G16+G18</f>
        <v>499.8799515561825</v>
      </c>
      <c r="I20" s="200"/>
      <c r="J20" s="165"/>
      <c r="K20" s="157"/>
      <c r="L20" s="157"/>
      <c r="Q20" t="s">
        <v>1175</v>
      </c>
      <c r="R20" s="83">
        <v>1.5</v>
      </c>
      <c r="S20">
        <v>6</v>
      </c>
      <c r="T20" s="83">
        <v>0</v>
      </c>
      <c r="U20" s="83">
        <v>22.995000000000001</v>
      </c>
      <c r="V20" s="116">
        <v>1</v>
      </c>
      <c r="Y20">
        <f>U20*(0.001*44/28*V20+0.002*(W20+X20))</f>
        <v>3.6135E-2</v>
      </c>
      <c r="AA20" s="22"/>
    </row>
    <row r="21" spans="1:29" ht="13.8" x14ac:dyDescent="0.25">
      <c r="A21" s="981"/>
      <c r="B21" t="s">
        <v>1177</v>
      </c>
      <c r="C21" s="160">
        <f>SUM(C18:C20)</f>
        <v>38016</v>
      </c>
      <c r="D21" s="161">
        <f>SUM(D18:D20)</f>
        <v>2983</v>
      </c>
      <c r="E21" s="161">
        <f>SUM(E18:E20)</f>
        <v>125.286</v>
      </c>
      <c r="F21" s="161">
        <f>SUM(F18:F20)</f>
        <v>516.03173224005866</v>
      </c>
      <c r="G21" s="163">
        <f t="shared" si="2"/>
        <v>641.3177322400586</v>
      </c>
      <c r="H21" s="200">
        <f>G21</f>
        <v>641.3177322400586</v>
      </c>
      <c r="I21" s="200">
        <f>D21+I17</f>
        <v>3546</v>
      </c>
      <c r="J21" s="142"/>
      <c r="K21" s="166"/>
      <c r="L21" s="166"/>
      <c r="Q21" t="s">
        <v>1176</v>
      </c>
      <c r="R21" s="83">
        <v>1.5</v>
      </c>
      <c r="S21">
        <v>6.0000000733937204</v>
      </c>
      <c r="T21" s="83">
        <v>0</v>
      </c>
      <c r="U21" s="83">
        <v>7.5757000000000003</v>
      </c>
      <c r="V21" s="116">
        <v>1</v>
      </c>
      <c r="Y21">
        <f>U21*(0.001*44/28*V21+0.002*(W21+X21))</f>
        <v>1.1904671428571429E-2</v>
      </c>
      <c r="AA21" s="22"/>
    </row>
    <row r="22" spans="1:29" ht="13.8" x14ac:dyDescent="0.25">
      <c r="A22" s="981"/>
      <c r="B22" t="s">
        <v>1178</v>
      </c>
      <c r="C22" s="160">
        <v>67239</v>
      </c>
      <c r="D22" s="161">
        <v>700</v>
      </c>
      <c r="E22" s="161">
        <f>D22*$R$23*$E$6/1000</f>
        <v>352.80002811970957</v>
      </c>
      <c r="F22" s="161">
        <f>D22*(($S$23*$E$6+($T$23+$Y$23)*$F$6))/1000</f>
        <v>37.553459174503004</v>
      </c>
      <c r="G22" s="163">
        <f t="shared" si="2"/>
        <v>390.35348729421258</v>
      </c>
      <c r="H22" s="200">
        <f>G21+G22</f>
        <v>1031.6712195342711</v>
      </c>
      <c r="I22" s="200">
        <f>I21+D22</f>
        <v>4246</v>
      </c>
      <c r="J22" s="142"/>
      <c r="K22" s="166"/>
      <c r="L22" s="166"/>
      <c r="Q22" t="s">
        <v>1177</v>
      </c>
      <c r="R22" s="83"/>
      <c r="T22" s="83"/>
      <c r="U22" s="83"/>
      <c r="V22" s="116"/>
      <c r="AA22" s="22"/>
    </row>
    <row r="23" spans="1:29" ht="13.8" x14ac:dyDescent="0.25">
      <c r="A23" s="981"/>
      <c r="B23" t="s">
        <v>1179</v>
      </c>
      <c r="C23" s="160">
        <v>1188</v>
      </c>
      <c r="D23" s="161">
        <v>30</v>
      </c>
      <c r="E23" s="161">
        <f>D23*$R$24*$E$6/1000</f>
        <v>4.2</v>
      </c>
      <c r="F23" s="161">
        <f>D23*(($S$24*$E$6+($T$24+$Y$24)*$F$6))/1000</f>
        <v>1.285928625882</v>
      </c>
      <c r="G23" s="163">
        <f t="shared" si="2"/>
        <v>5.4859286258819999</v>
      </c>
      <c r="H23" s="200">
        <f>SUM(G21:G23)</f>
        <v>1037.1571481601532</v>
      </c>
      <c r="I23" s="200">
        <f>D23+I22</f>
        <v>4276</v>
      </c>
      <c r="J23" s="142"/>
      <c r="K23" s="166"/>
      <c r="L23" s="166"/>
      <c r="Q23" t="s">
        <v>1178</v>
      </c>
      <c r="R23" s="83">
        <v>18.00000143467906</v>
      </c>
      <c r="S23">
        <v>1.0900001434679101</v>
      </c>
      <c r="T23" s="83">
        <v>3.0389120972139999E-2</v>
      </c>
      <c r="U23" s="83">
        <v>28.442788199999999</v>
      </c>
      <c r="W23" s="116">
        <v>0.14000000000000001</v>
      </c>
      <c r="X23" s="116">
        <v>0.86</v>
      </c>
      <c r="Y23">
        <f>U23*(0.001*44/28*V23+0.002*(W23+X23))</f>
        <v>5.6885576399999999E-2</v>
      </c>
      <c r="AA23" s="22"/>
    </row>
    <row r="24" spans="1:29" ht="14.4" thickBot="1" x14ac:dyDescent="0.3">
      <c r="A24" s="982"/>
      <c r="B24" t="s">
        <v>1180</v>
      </c>
      <c r="C24" s="168">
        <v>1042468</v>
      </c>
      <c r="D24" s="169">
        <v>63042</v>
      </c>
      <c r="E24" s="161">
        <f>D24*$R$25*$E$6/1000</f>
        <v>35.303498817887991</v>
      </c>
      <c r="F24" s="161">
        <f>D24*(($S$25*$E$6+($T$25+$Y$25)*$F$6))/1000</f>
        <v>350.60690523249224</v>
      </c>
      <c r="G24" s="204">
        <f t="shared" si="2"/>
        <v>385.91040405038024</v>
      </c>
      <c r="H24" s="200">
        <f>SUM(G21:G24)+G17+G13</f>
        <v>1829.6519397420798</v>
      </c>
      <c r="I24" s="200">
        <f>I23+D24</f>
        <v>67318</v>
      </c>
      <c r="J24" s="142"/>
      <c r="K24" s="166"/>
      <c r="L24" s="166"/>
      <c r="Q24" t="s">
        <v>1179</v>
      </c>
      <c r="R24" s="83">
        <v>5</v>
      </c>
      <c r="S24" s="83">
        <v>0.1200001148</v>
      </c>
      <c r="T24" s="83">
        <v>0.10842637099999999</v>
      </c>
      <c r="U24" s="83">
        <v>20.3232</v>
      </c>
      <c r="V24" s="116"/>
      <c r="W24" s="116">
        <v>0.55000000000000004</v>
      </c>
      <c r="X24" s="116">
        <v>0.45</v>
      </c>
      <c r="Y24">
        <f>U24*(0.001*44/28*V24+0.002*(W24+X24))</f>
        <v>4.0646399999999999E-2</v>
      </c>
      <c r="AA24" s="22"/>
    </row>
    <row r="25" spans="1:29" ht="14.4" thickBot="1" x14ac:dyDescent="0.3">
      <c r="A25" s="172" t="s">
        <v>3</v>
      </c>
      <c r="B25" s="173">
        <f>A9</f>
        <v>2016</v>
      </c>
      <c r="C25" s="174">
        <f>SUM(C21:C24)</f>
        <v>1148911</v>
      </c>
      <c r="D25" s="174"/>
      <c r="E25" s="205">
        <f>SUM(E21:E24)+E17+E13</f>
        <v>849.09157410489627</v>
      </c>
      <c r="F25" s="205">
        <f>SUM(F21:F24)+F17+F13</f>
        <v>980.56036563718328</v>
      </c>
      <c r="G25" s="175">
        <f>E25+F25</f>
        <v>1829.6519397420795</v>
      </c>
      <c r="H25" s="175">
        <f>H24</f>
        <v>1829.6519397420798</v>
      </c>
      <c r="I25" s="175">
        <f>SUM(I21:I24)</f>
        <v>79386</v>
      </c>
      <c r="J25" s="176"/>
      <c r="K25" s="177"/>
      <c r="L25" s="177"/>
      <c r="Q25" t="s">
        <v>1181</v>
      </c>
      <c r="R25" s="83">
        <v>1.9999988E-2</v>
      </c>
      <c r="S25" s="83">
        <v>0.17817542</v>
      </c>
      <c r="T25" s="83">
        <v>8.9452384050000004E-4</v>
      </c>
      <c r="U25" s="83">
        <v>0.63305800000000001</v>
      </c>
      <c r="W25" s="116">
        <v>1</v>
      </c>
      <c r="Y25">
        <f>U25*(0.001*44/28*V25+0.002*(W25+X25))</f>
        <v>1.2661160000000001E-3</v>
      </c>
      <c r="AA25" s="22"/>
    </row>
    <row r="26" spans="1:29" ht="14.25" customHeight="1" x14ac:dyDescent="0.25">
      <c r="A26" s="981">
        <v>2017</v>
      </c>
      <c r="B26" t="s">
        <v>1154</v>
      </c>
      <c r="C26" s="152">
        <v>365765</v>
      </c>
      <c r="D26" s="153">
        <v>222</v>
      </c>
      <c r="E26" s="153">
        <f>D26*$R$10*$E$6/1000</f>
        <v>69.29359441987269</v>
      </c>
      <c r="F26" s="153">
        <f>D26*(($S$10*$E$6+($T$10+$Y$10)*$F$6))/1000</f>
        <v>13.272029522130357</v>
      </c>
      <c r="G26" s="155">
        <f>E26+F26</f>
        <v>82.565623942003043</v>
      </c>
      <c r="H26" s="199">
        <f>G26</f>
        <v>82.565623942003043</v>
      </c>
      <c r="I26" s="199"/>
      <c r="J26" s="1037" t="str">
        <f>"Milli áranna "&amp; $A9 &amp;" og "&amp; $A26</f>
        <v>Milli áranna 2016 og 2017</v>
      </c>
      <c r="K26" s="208"/>
      <c r="L26" s="179">
        <f>(G26-G9)/G9</f>
        <v>-0.10121457489878551</v>
      </c>
      <c r="Y26" s="83"/>
      <c r="Z26" s="83"/>
      <c r="AA26" s="22"/>
    </row>
    <row r="27" spans="1:29" ht="13.8" x14ac:dyDescent="0.25">
      <c r="A27" s="981"/>
      <c r="B27" t="s">
        <v>1162</v>
      </c>
      <c r="C27" s="160">
        <v>11832</v>
      </c>
      <c r="D27" s="161">
        <v>19</v>
      </c>
      <c r="E27" s="161">
        <f>D27*$R$11*$E$6/1000</f>
        <v>6.3547452764122454</v>
      </c>
      <c r="F27" s="161">
        <f>D27*(($S$11*$E$6+($T$11+$Y$11)*$F$6))/1000</f>
        <v>1.4790827213136368</v>
      </c>
      <c r="G27" s="163">
        <f>E27+F27</f>
        <v>7.8338279977258818</v>
      </c>
      <c r="H27" s="200">
        <f>G27+G26</f>
        <v>90.39945193972892</v>
      </c>
      <c r="I27" s="200"/>
      <c r="J27" s="1037"/>
      <c r="K27" s="209"/>
      <c r="L27" s="179">
        <f t="shared" ref="L27:L41" si="3">(G27-G10)/G10</f>
        <v>0.46153846153846129</v>
      </c>
    </row>
    <row r="28" spans="1:29" ht="13.8" x14ac:dyDescent="0.25">
      <c r="A28" s="981"/>
      <c r="B28" t="s">
        <v>1164</v>
      </c>
      <c r="C28" s="160">
        <f>82187</f>
        <v>82187</v>
      </c>
      <c r="D28" s="161">
        <f>67</f>
        <v>67</v>
      </c>
      <c r="E28" s="161">
        <f>D28*$R$12*$E$6/1000</f>
        <v>17.726715664730023</v>
      </c>
      <c r="F28" s="161">
        <f>D28*(($S$12*$E$6+($T$12+$Y$12)*$F$6))/1000</f>
        <v>2.6628802047630145</v>
      </c>
      <c r="G28" s="163">
        <f>E28+F28</f>
        <v>20.389595869493036</v>
      </c>
      <c r="H28" s="200">
        <f>G28+G27+G26</f>
        <v>110.78904780922196</v>
      </c>
      <c r="I28" s="200"/>
      <c r="J28" s="1037"/>
      <c r="K28" s="209"/>
      <c r="L28" s="179">
        <f t="shared" si="3"/>
        <v>0.31372549019607848</v>
      </c>
    </row>
    <row r="29" spans="1:29" ht="13.8" x14ac:dyDescent="0.25">
      <c r="A29" s="981"/>
      <c r="B29" t="s">
        <v>1166</v>
      </c>
      <c r="C29" s="160">
        <f>82187*3</f>
        <v>246561</v>
      </c>
      <c r="D29" s="161">
        <f>67*3</f>
        <v>201</v>
      </c>
      <c r="E29" s="161">
        <f>D29*$R$13*$E$6/1000</f>
        <v>26.303976838941374</v>
      </c>
      <c r="F29" s="161">
        <f>D29*(($S$13*$E$6+($T$13+$Y$13)*$F$6))/1000</f>
        <v>1.3081733431978966</v>
      </c>
      <c r="G29" s="163">
        <f t="shared" ref="G29:G41" si="4">E29+F29</f>
        <v>27.612150182139271</v>
      </c>
      <c r="H29" s="200">
        <f>SUM(G26:G29)</f>
        <v>138.40119799136122</v>
      </c>
      <c r="I29" s="200"/>
      <c r="J29" s="1037"/>
      <c r="K29" s="209"/>
      <c r="L29" s="179">
        <f t="shared" si="3"/>
        <v>0.31372549019607854</v>
      </c>
      <c r="N29" t="s">
        <v>1182</v>
      </c>
      <c r="Z29" s="22"/>
    </row>
    <row r="30" spans="1:29" ht="13.8" x14ac:dyDescent="0.25">
      <c r="A30" s="981"/>
      <c r="B30" t="s">
        <v>1167</v>
      </c>
      <c r="C30" s="160">
        <f>SUM(C26:C29)</f>
        <v>706345</v>
      </c>
      <c r="D30" s="161">
        <f>SUM(D26:D29)</f>
        <v>509</v>
      </c>
      <c r="E30" s="161">
        <f>SUM(E26:E29)</f>
        <v>119.67903219995634</v>
      </c>
      <c r="F30" s="161">
        <f>SUM(F26:F29)</f>
        <v>18.722165791404905</v>
      </c>
      <c r="G30" s="163">
        <f>E30+F30</f>
        <v>138.40119799136124</v>
      </c>
      <c r="H30" s="200">
        <f>G30</f>
        <v>138.40119799136124</v>
      </c>
      <c r="I30" s="200">
        <f>D30</f>
        <v>509</v>
      </c>
      <c r="J30" s="1037"/>
      <c r="K30" s="209">
        <f>(D30-D13)/D13</f>
        <v>9.6982758620689655E-2</v>
      </c>
      <c r="L30" s="179">
        <f t="shared" si="3"/>
        <v>3.4681052367159119E-2</v>
      </c>
      <c r="P30" t="s">
        <v>727</v>
      </c>
      <c r="R30" t="s">
        <v>697</v>
      </c>
      <c r="S30" t="s">
        <v>1157</v>
      </c>
      <c r="Z30" s="116">
        <v>0.1</v>
      </c>
    </row>
    <row r="31" spans="1:29" ht="13.8" x14ac:dyDescent="0.25">
      <c r="A31" s="981"/>
      <c r="B31" t="s">
        <v>1168</v>
      </c>
      <c r="C31" s="160">
        <v>26742</v>
      </c>
      <c r="D31" s="161">
        <v>47</v>
      </c>
      <c r="E31" s="161">
        <f>D31*$R$15*$E$6/1000</f>
        <v>143.66179141999999</v>
      </c>
      <c r="F31" s="161">
        <f>D31*(($S$15*$E$6+($T$15+$Y$15)*$F$6))/1000</f>
        <v>43.165808591840658</v>
      </c>
      <c r="G31" s="163">
        <f>E31+F31</f>
        <v>186.82760001184064</v>
      </c>
      <c r="H31" s="200">
        <f>G31+G30</f>
        <v>325.22879800320186</v>
      </c>
      <c r="I31" s="200"/>
      <c r="J31" s="1037"/>
      <c r="K31" s="209"/>
      <c r="L31" s="179">
        <f t="shared" si="3"/>
        <v>-4.0816326530612256E-2</v>
      </c>
      <c r="N31" t="s">
        <v>1156</v>
      </c>
      <c r="O31" t="s">
        <v>674</v>
      </c>
      <c r="P31" t="s">
        <v>1152</v>
      </c>
      <c r="Q31" t="s">
        <v>29</v>
      </c>
      <c r="R31" t="s">
        <v>29</v>
      </c>
      <c r="T31" t="s">
        <v>1158</v>
      </c>
      <c r="U31" t="s">
        <v>1159</v>
      </c>
      <c r="V31" t="s">
        <v>1160</v>
      </c>
      <c r="AC31" t="s">
        <v>1161</v>
      </c>
    </row>
    <row r="32" spans="1:29" ht="13.8" x14ac:dyDescent="0.25">
      <c r="A32" s="981"/>
      <c r="B32" t="s">
        <v>1169</v>
      </c>
      <c r="C32" s="160">
        <v>19757</v>
      </c>
      <c r="D32" s="161">
        <v>10</v>
      </c>
      <c r="E32" s="161">
        <f>D32*$R$16*$E$6/1000</f>
        <v>20.651442424199995</v>
      </c>
      <c r="F32" s="161">
        <f>D32*(($S$16*$E$6+($T$16+$Y$16)*$F$6))/1000</f>
        <v>1.1104614066574399</v>
      </c>
      <c r="G32" s="163">
        <f t="shared" si="4"/>
        <v>21.761903830857435</v>
      </c>
      <c r="H32" s="200">
        <f>G32+G31+G30</f>
        <v>346.99070183405934</v>
      </c>
      <c r="I32" s="200"/>
      <c r="J32" s="1037"/>
      <c r="K32" s="209"/>
      <c r="L32" s="179">
        <f t="shared" si="3"/>
        <v>-0.37500000000000017</v>
      </c>
      <c r="N32" t="s">
        <v>1154</v>
      </c>
      <c r="O32">
        <v>91</v>
      </c>
      <c r="P32" s="41">
        <v>11.3285397553413</v>
      </c>
      <c r="Q32" s="83">
        <v>0.98551229379973004</v>
      </c>
      <c r="R32">
        <v>7.2979379999999996E-2</v>
      </c>
      <c r="S32">
        <v>20.170000000000002</v>
      </c>
      <c r="T32" s="116">
        <v>0.1925</v>
      </c>
      <c r="U32" s="116">
        <v>0.35749999999999998</v>
      </c>
      <c r="V32" s="116">
        <v>0.45</v>
      </c>
      <c r="W32" s="22">
        <f>(O32*((P32+Q32)*$Z$2+(R32)*$AB$2))/1000</f>
        <v>0</v>
      </c>
      <c r="Y32" s="83">
        <f>O32*P32*$Z$2/1000</f>
        <v>0</v>
      </c>
      <c r="Z32">
        <f>O32*((Q32*$Z$2+(R32+AC32)*$AB$2)*(U32+T32))/1000</f>
        <v>0</v>
      </c>
      <c r="AC32">
        <f t="shared" ref="AC32:AC38" si="5">S32*(0.001*44/28*T32+0.002*(U32+V32))</f>
        <v>3.8675975000000008E-2</v>
      </c>
    </row>
    <row r="33" spans="1:29" ht="13.8" x14ac:dyDescent="0.25">
      <c r="A33" s="981"/>
      <c r="B33" t="s">
        <v>1171</v>
      </c>
      <c r="C33" s="160">
        <v>31765</v>
      </c>
      <c r="D33" s="161">
        <v>42</v>
      </c>
      <c r="E33" s="161">
        <f>D33*$R$17*$E$6/1000</f>
        <v>41.658897184799997</v>
      </c>
      <c r="F33" s="161">
        <f>D33*(($S$17*$E$6+($T$17+$Y$17)*$F$6))/1000</f>
        <v>11.737242104235438</v>
      </c>
      <c r="G33" s="201">
        <f t="shared" si="4"/>
        <v>53.396139289035432</v>
      </c>
      <c r="H33" s="200">
        <f>G33+G32+G31+G30</f>
        <v>400.38684112309477</v>
      </c>
      <c r="I33" s="200"/>
      <c r="J33" s="1037"/>
      <c r="K33" s="209"/>
      <c r="L33" s="179">
        <f t="shared" si="3"/>
        <v>0.23529411764705863</v>
      </c>
      <c r="N33" t="s">
        <v>1162</v>
      </c>
      <c r="O33">
        <v>5</v>
      </c>
      <c r="P33" s="41">
        <v>11.945009618499</v>
      </c>
      <c r="Q33" s="83">
        <v>1.09314132649256</v>
      </c>
      <c r="R33">
        <v>0.11514180857167</v>
      </c>
      <c r="S33">
        <v>29.47</v>
      </c>
      <c r="T33" s="116">
        <v>0.1925</v>
      </c>
      <c r="U33" s="116">
        <v>0.35749999999999998</v>
      </c>
      <c r="V33" s="116">
        <v>0.45</v>
      </c>
      <c r="W33" s="22">
        <f>(O33*((P33+Q33)*$Z$2+(R33)*$AB$2))/1000</f>
        <v>0</v>
      </c>
      <c r="Y33" s="83">
        <f>O33*P33*$Z$2/1000</f>
        <v>0</v>
      </c>
      <c r="Z33">
        <f>O33*((Q33*$Z$2+(R33+AC33)*$AB$2)*(U33+T33))/1000</f>
        <v>0</v>
      </c>
      <c r="AC33">
        <f t="shared" si="5"/>
        <v>5.6508725000000003E-2</v>
      </c>
    </row>
    <row r="34" spans="1:29" ht="13.8" x14ac:dyDescent="0.25">
      <c r="A34" s="981"/>
      <c r="B34" t="s">
        <v>1173</v>
      </c>
      <c r="C34" s="160">
        <f>SUM(C31:C33)</f>
        <v>78264</v>
      </c>
      <c r="D34" s="161">
        <f>SUM(D31:D33)</f>
        <v>99</v>
      </c>
      <c r="E34" s="161">
        <f>SUM(E31:E33)</f>
        <v>205.97213102899997</v>
      </c>
      <c r="F34" s="161">
        <f>SUM(F31:F33)</f>
        <v>56.013512102733543</v>
      </c>
      <c r="G34" s="201">
        <f>E34+F34</f>
        <v>261.98564313173353</v>
      </c>
      <c r="H34" s="200">
        <f>G34+G30</f>
        <v>400.38684112309477</v>
      </c>
      <c r="I34" s="200">
        <f>D34+I30</f>
        <v>608</v>
      </c>
      <c r="J34" s="1037"/>
      <c r="K34" s="209">
        <f>(D34-D17)/D17</f>
        <v>0</v>
      </c>
      <c r="L34" s="179">
        <f t="shared" si="3"/>
        <v>-3.9720226672765112E-2</v>
      </c>
      <c r="N34" t="s">
        <v>1164</v>
      </c>
      <c r="O34">
        <v>20</v>
      </c>
      <c r="P34" s="41">
        <v>9.4000196709058201</v>
      </c>
      <c r="Q34" s="83">
        <v>0.81948295137819005</v>
      </c>
      <c r="R34">
        <v>3.2046688928570002E-2</v>
      </c>
      <c r="S34">
        <v>11.13</v>
      </c>
      <c r="T34" s="116">
        <v>0.1925</v>
      </c>
      <c r="U34" s="116">
        <v>0.35749999999999998</v>
      </c>
      <c r="V34" s="116">
        <v>0.45</v>
      </c>
      <c r="W34" s="22">
        <f>(O34*((P34+Q34)*$Z$2+(R34)*$AB$2))/1000</f>
        <v>0</v>
      </c>
      <c r="Y34" s="83">
        <f>O34*P34*$Z$2/1000</f>
        <v>0</v>
      </c>
      <c r="Z34">
        <f>O34*((Q34*$Z$2+(R34+AC34)*$AB$2)*(U34+T34))/1000</f>
        <v>0</v>
      </c>
      <c r="AC34">
        <f t="shared" si="5"/>
        <v>2.1341775000000004E-2</v>
      </c>
    </row>
    <row r="35" spans="1:29" ht="13.8" x14ac:dyDescent="0.25">
      <c r="A35" s="981"/>
      <c r="B35" t="s">
        <v>1174</v>
      </c>
      <c r="C35" s="160">
        <v>68</v>
      </c>
      <c r="D35" s="161">
        <v>13</v>
      </c>
      <c r="E35" s="161">
        <f>D35*$R$20*$E$6/1000</f>
        <v>0.54600000000000004</v>
      </c>
      <c r="F35" s="161">
        <f>D35*(($S$20*$E$6+($T$20+$Y$19)*$F$6))/1000</f>
        <v>2.3084850750000001</v>
      </c>
      <c r="G35" s="201">
        <f>E35+F35</f>
        <v>2.8544850750000004</v>
      </c>
      <c r="H35" s="200">
        <f>H34+G35</f>
        <v>403.24132619809478</v>
      </c>
      <c r="I35" s="200"/>
      <c r="J35" s="1037"/>
      <c r="K35" s="209"/>
      <c r="L35" s="179">
        <f t="shared" si="3"/>
        <v>8.3333333333333509E-2</v>
      </c>
      <c r="N35" t="s">
        <v>1166</v>
      </c>
      <c r="O35">
        <v>173</v>
      </c>
      <c r="P35" s="41">
        <v>2.8365940572513599</v>
      </c>
      <c r="Q35" s="83">
        <v>5.121712047094E-2</v>
      </c>
      <c r="R35">
        <v>0</v>
      </c>
      <c r="S35">
        <v>6.52</v>
      </c>
      <c r="V35" s="116">
        <v>1</v>
      </c>
      <c r="W35" s="22">
        <f>(O35*((P35+Q35)*$Z$2+(R35)*$AB$2))/1000</f>
        <v>0</v>
      </c>
      <c r="Y35" s="83">
        <f>O35*P35*$Z$2/1000</f>
        <v>0</v>
      </c>
      <c r="Z35">
        <f>O35*((Q35*$Z$2+(R35+AC35)*$AB$2)*(U35+T35))/1000</f>
        <v>0</v>
      </c>
      <c r="AC35">
        <f t="shared" si="5"/>
        <v>1.304E-2</v>
      </c>
    </row>
    <row r="36" spans="1:29" ht="13.8" x14ac:dyDescent="0.25">
      <c r="A36" s="981"/>
      <c r="B36" t="s">
        <v>1175</v>
      </c>
      <c r="C36" s="160">
        <v>3508</v>
      </c>
      <c r="D36" s="161">
        <v>815</v>
      </c>
      <c r="E36" s="161">
        <f>D36*$R$20*$E$6/1000</f>
        <v>34.229999999999997</v>
      </c>
      <c r="F36" s="161">
        <f>D36*(($S$20*$E$6+($T$20+$Y$20)*$F$6))/1000</f>
        <v>144.72425662499998</v>
      </c>
      <c r="G36" s="163">
        <f t="shared" si="4"/>
        <v>178.95425662499997</v>
      </c>
      <c r="H36" s="200">
        <f>G36+G34+G33+G35</f>
        <v>497.19052412076894</v>
      </c>
      <c r="I36" s="200"/>
      <c r="J36" s="1037"/>
      <c r="K36" s="209"/>
      <c r="L36" s="179">
        <f t="shared" si="3"/>
        <v>-3.0915576694411563E-2</v>
      </c>
      <c r="N36" t="s">
        <v>1167</v>
      </c>
      <c r="O36">
        <v>289</v>
      </c>
      <c r="P36" s="41"/>
      <c r="W36" s="22">
        <f>SUM(W32:W35)</f>
        <v>0</v>
      </c>
      <c r="Y36" s="83">
        <f>SUM(Y32:Y35)</f>
        <v>0</v>
      </c>
      <c r="Z36" s="83">
        <f>SUM(Z32:Z35)</f>
        <v>0</v>
      </c>
      <c r="AA36" s="83">
        <f>SUM(Y36:Z36)</f>
        <v>0</v>
      </c>
      <c r="AC36">
        <f t="shared" si="5"/>
        <v>0</v>
      </c>
    </row>
    <row r="37" spans="1:29" ht="13.8" x14ac:dyDescent="0.25">
      <c r="A37" s="981"/>
      <c r="B37" t="s">
        <v>1176</v>
      </c>
      <c r="C37" s="160">
        <v>36949</v>
      </c>
      <c r="D37" s="161">
        <v>4026</v>
      </c>
      <c r="E37" s="161">
        <f>D37*$R$21*$E$6/1000</f>
        <v>169.09200000000001</v>
      </c>
      <c r="F37" s="161">
        <f>D37*(($S$21*$E$6+($T$21+$Y$21)*$F$6))/1000</f>
        <v>689.06898317395576</v>
      </c>
      <c r="G37" s="163">
        <f t="shared" si="4"/>
        <v>858.16098317395574</v>
      </c>
      <c r="H37" s="200">
        <f>G37+G33+G35</f>
        <v>914.41160753799113</v>
      </c>
      <c r="I37" s="200"/>
      <c r="J37" s="1037"/>
      <c r="K37" s="209"/>
      <c r="L37" s="179">
        <f t="shared" si="3"/>
        <v>0.89014084507042235</v>
      </c>
      <c r="P37" s="41"/>
      <c r="W37" s="22"/>
      <c r="Y37" s="83"/>
      <c r="Z37" s="83"/>
      <c r="AA37" s="83"/>
    </row>
    <row r="38" spans="1:29" ht="13.8" x14ac:dyDescent="0.25">
      <c r="A38" s="981"/>
      <c r="B38" t="s">
        <v>1177</v>
      </c>
      <c r="C38" s="160">
        <f>SUM(C35:C37)</f>
        <v>40525</v>
      </c>
      <c r="D38" s="161">
        <f>SUM(D35:D37)</f>
        <v>4854</v>
      </c>
      <c r="E38" s="161">
        <f>SUM(E35:E37)</f>
        <v>203.86799999999999</v>
      </c>
      <c r="F38" s="161">
        <f>SUM(F35:F37)</f>
        <v>836.10172487395573</v>
      </c>
      <c r="G38" s="163">
        <f t="shared" si="4"/>
        <v>1039.9697248739558</v>
      </c>
      <c r="H38" s="200">
        <f>G38</f>
        <v>1039.9697248739558</v>
      </c>
      <c r="I38" s="200">
        <f>D38+I34</f>
        <v>5462</v>
      </c>
      <c r="J38" s="1037"/>
      <c r="K38" s="209">
        <f>(D38-D21)/D21</f>
        <v>0.62722091853838413</v>
      </c>
      <c r="L38" s="179">
        <f t="shared" si="3"/>
        <v>0.62161386251000061</v>
      </c>
      <c r="N38" t="s">
        <v>1178</v>
      </c>
      <c r="O38">
        <v>861</v>
      </c>
      <c r="P38" s="41">
        <v>17.999998250185701</v>
      </c>
      <c r="Q38">
        <v>1.08999983348348</v>
      </c>
      <c r="R38">
        <v>3.0435187224019999E-2</v>
      </c>
      <c r="S38">
        <v>28.48</v>
      </c>
      <c r="U38" s="116">
        <v>0.14000000000000001</v>
      </c>
      <c r="V38" s="116">
        <v>0.86</v>
      </c>
      <c r="W38" s="22">
        <f>(O38*((P38+Q38)*28+(R38)*265))/1000</f>
        <v>467.16591829406514</v>
      </c>
      <c r="Y38" s="83">
        <f>O38*P38*$Z$2/1000</f>
        <v>0</v>
      </c>
      <c r="Z38">
        <f>O38*((Q38*$Z$2+(R38+AC38)*$AB$2)*(U38+T38))/1000</f>
        <v>0</v>
      </c>
      <c r="AA38" s="83">
        <f>SUM(Y38:Z38)</f>
        <v>0</v>
      </c>
      <c r="AC38">
        <f t="shared" si="5"/>
        <v>5.6960000000000004E-2</v>
      </c>
    </row>
    <row r="39" spans="1:29" ht="13.8" x14ac:dyDescent="0.25">
      <c r="A39" s="981"/>
      <c r="B39" t="s">
        <v>1178</v>
      </c>
      <c r="C39" s="160">
        <v>64816</v>
      </c>
      <c r="D39" s="161">
        <v>687</v>
      </c>
      <c r="E39" s="161">
        <f>D39*$R$23*$E$6/1000</f>
        <v>346.24802759748638</v>
      </c>
      <c r="F39" s="161">
        <f>D39*(($S$23*$E$6+($T$23+$Y$23)*$F$6))/1000</f>
        <v>36.856037789833657</v>
      </c>
      <c r="G39" s="163">
        <f t="shared" si="4"/>
        <v>383.10406538732002</v>
      </c>
      <c r="H39" s="200">
        <f>G38+G39</f>
        <v>1423.0737902612759</v>
      </c>
      <c r="I39" s="200">
        <f>I38+D39</f>
        <v>6149</v>
      </c>
      <c r="J39" s="1037"/>
      <c r="K39" s="209">
        <f>(D39-D22)/D22</f>
        <v>-1.8571428571428572E-2</v>
      </c>
      <c r="L39" s="179">
        <f t="shared" si="3"/>
        <v>-1.8571428571428687E-2</v>
      </c>
      <c r="P39" s="41"/>
      <c r="U39" s="116"/>
      <c r="V39" s="116"/>
      <c r="W39" s="22"/>
      <c r="Y39" s="83"/>
      <c r="AA39" s="83"/>
    </row>
    <row r="40" spans="1:29" ht="13.8" x14ac:dyDescent="0.25">
      <c r="A40" s="981"/>
      <c r="B40" t="s">
        <v>1179</v>
      </c>
      <c r="C40" s="160">
        <v>1300</v>
      </c>
      <c r="D40" s="161">
        <v>30</v>
      </c>
      <c r="E40" s="161">
        <f>D40*$R$24*$E$6/1000</f>
        <v>4.2</v>
      </c>
      <c r="F40" s="161">
        <f>D40*(($S$24*$E$6+($T$24+$Y$24)*$F$6))/1000</f>
        <v>1.285928625882</v>
      </c>
      <c r="G40" s="163">
        <f t="shared" si="4"/>
        <v>5.4859286258819999</v>
      </c>
      <c r="H40" s="200">
        <f>SUM(G38:G40)</f>
        <v>1428.5597188871579</v>
      </c>
      <c r="I40" s="200">
        <f>D40+I39</f>
        <v>6179</v>
      </c>
      <c r="J40" s="1037"/>
      <c r="K40" s="209">
        <f>(D40-D23)/D23</f>
        <v>0</v>
      </c>
      <c r="L40" s="179">
        <f t="shared" si="3"/>
        <v>0</v>
      </c>
      <c r="Y40">
        <f>O32*((31.37+6.92)*28+241.39*265)/1000</f>
        <v>5918.6827700000003</v>
      </c>
    </row>
    <row r="41" spans="1:29" ht="14.4" thickBot="1" x14ac:dyDescent="0.3">
      <c r="A41" s="1036"/>
      <c r="B41" t="s">
        <v>1181</v>
      </c>
      <c r="C41" s="168">
        <v>910282</v>
      </c>
      <c r="D41" s="169">
        <v>68038</v>
      </c>
      <c r="E41" s="161">
        <f>D41*$R$25*$E$6/1000</f>
        <v>38.101257139232004</v>
      </c>
      <c r="F41" s="161">
        <f>D41*(($S$25*$E$6+($T$25+$Y$25)*$F$6))/1000</f>
        <v>378.39206589588383</v>
      </c>
      <c r="G41" s="204">
        <f t="shared" si="4"/>
        <v>416.49332303511585</v>
      </c>
      <c r="H41" s="200">
        <f>SUM(G38:G41)+G34+G30</f>
        <v>2245.4398830453683</v>
      </c>
      <c r="I41" s="200">
        <f>I40+D41</f>
        <v>74217</v>
      </c>
      <c r="J41" s="1037"/>
      <c r="K41" s="209">
        <f>(D41-D24)/D24</f>
        <v>7.9248754798388374E-2</v>
      </c>
      <c r="L41" s="179">
        <f t="shared" si="3"/>
        <v>7.9248754798388499E-2</v>
      </c>
    </row>
    <row r="42" spans="1:29" ht="14.4" thickBot="1" x14ac:dyDescent="0.3">
      <c r="A42" s="172" t="s">
        <v>3</v>
      </c>
      <c r="B42" s="173">
        <f>A26</f>
        <v>2017</v>
      </c>
      <c r="C42" s="174">
        <f>SUM(C38:C41)</f>
        <v>1016923</v>
      </c>
      <c r="D42" s="174"/>
      <c r="E42" s="205">
        <f>SUM(E38:E41)+E34+E30</f>
        <v>918.06844796567475</v>
      </c>
      <c r="F42" s="205">
        <f>SUM(F38:F41)+F34+F30</f>
        <v>1327.3714350796936</v>
      </c>
      <c r="G42" s="175">
        <f t="shared" ref="G42:G52" si="6">E42+F42</f>
        <v>2245.4398830453683</v>
      </c>
      <c r="H42" s="175">
        <f>H41</f>
        <v>2245.4398830453683</v>
      </c>
      <c r="I42" s="175">
        <f>SUM(I38:I41)</f>
        <v>92007</v>
      </c>
      <c r="J42" s="1038"/>
      <c r="K42" s="190">
        <f>(I42-I25)/I25</f>
        <v>0.15898269216234601</v>
      </c>
      <c r="L42" s="191">
        <f>(G42-G25)/G25</f>
        <v>0.227249748584368</v>
      </c>
      <c r="N42" t="s">
        <v>1183</v>
      </c>
      <c r="R42" t="s">
        <v>1184</v>
      </c>
      <c r="U42" t="s">
        <v>1185</v>
      </c>
      <c r="W42" t="s">
        <v>1186</v>
      </c>
    </row>
    <row r="43" spans="1:29" ht="14.25" customHeight="1" x14ac:dyDescent="0.25">
      <c r="A43" s="981">
        <v>2018</v>
      </c>
      <c r="B43" t="s">
        <v>1154</v>
      </c>
      <c r="C43" s="152">
        <v>345103</v>
      </c>
      <c r="D43" s="153">
        <v>158</v>
      </c>
      <c r="E43" s="153">
        <f>D43*$R$10*$E$6/1000</f>
        <v>49.317062695224713</v>
      </c>
      <c r="F43" s="153">
        <f>D43*(($S$10*$E$6+($T$10+$Y$10)*$F$6))/1000</f>
        <v>9.445858849083768</v>
      </c>
      <c r="G43" s="155">
        <f t="shared" si="6"/>
        <v>58.762921544308483</v>
      </c>
      <c r="H43" s="199">
        <f>G43</f>
        <v>58.762921544308483</v>
      </c>
      <c r="I43" s="199"/>
      <c r="J43" s="1037" t="str">
        <f>"Milli áranna "&amp; $A26 &amp;" og "&amp; $A43</f>
        <v>Milli áranna 2017 og 2018</v>
      </c>
      <c r="K43" s="208"/>
      <c r="L43" s="179">
        <f>(G43-G26)/G26</f>
        <v>-0.28828828828828817</v>
      </c>
      <c r="N43" t="s">
        <v>1154</v>
      </c>
      <c r="O43">
        <v>344795</v>
      </c>
      <c r="P43" s="96">
        <f>O43/$O$47</f>
        <v>0.52383817298153024</v>
      </c>
      <c r="R43" t="s">
        <v>1170</v>
      </c>
      <c r="S43">
        <v>26477</v>
      </c>
      <c r="T43" s="96">
        <f>S43/$S$46</f>
        <v>0.32458043715445062</v>
      </c>
      <c r="W43" t="s">
        <v>1175</v>
      </c>
      <c r="X43">
        <v>3323</v>
      </c>
      <c r="Y43" s="96">
        <f>X43/X45</f>
        <v>8.2501613784199818E-2</v>
      </c>
    </row>
    <row r="44" spans="1:29" ht="13.8" x14ac:dyDescent="0.25">
      <c r="A44" s="981"/>
      <c r="B44" t="s">
        <v>1162</v>
      </c>
      <c r="C44" s="160">
        <v>11617</v>
      </c>
      <c r="D44" s="161">
        <v>16</v>
      </c>
      <c r="E44" s="161">
        <f>D44*$R$11*$E$6/1000</f>
        <v>5.3513644432945222</v>
      </c>
      <c r="F44" s="161">
        <f>D44*(($S$11*$E$6+($T$11+$Y$11)*$F$6))/1000</f>
        <v>1.2455433442641151</v>
      </c>
      <c r="G44" s="163">
        <f t="shared" si="6"/>
        <v>6.5969077875586368</v>
      </c>
      <c r="H44" s="200">
        <f>G44+G43</f>
        <v>65.359829331867118</v>
      </c>
      <c r="I44" s="200"/>
      <c r="J44" s="1037"/>
      <c r="K44" s="209"/>
      <c r="L44" s="179">
        <f t="shared" ref="L44:L58" si="7">(G44-G27)/G27</f>
        <v>-0.15789473684210531</v>
      </c>
      <c r="N44" t="s">
        <v>1162</v>
      </c>
      <c r="O44">
        <v>11595</v>
      </c>
      <c r="P44" s="96">
        <f>O44/$O$47</f>
        <v>1.7615985196191484E-2</v>
      </c>
      <c r="R44" t="s">
        <v>1172</v>
      </c>
      <c r="S44">
        <v>2640</v>
      </c>
      <c r="T44" s="96">
        <f>S44/$S$46</f>
        <v>3.2363649737045343E-2</v>
      </c>
      <c r="U44" s="96">
        <f>S44/U46</f>
        <v>4.7916364164367647E-2</v>
      </c>
      <c r="W44" t="s">
        <v>1176</v>
      </c>
      <c r="X44">
        <v>36955</v>
      </c>
      <c r="Y44" s="96">
        <f>X44/X45</f>
        <v>0.91749838621580015</v>
      </c>
    </row>
    <row r="45" spans="1:29" ht="13.8" x14ac:dyDescent="0.25">
      <c r="A45" s="981"/>
      <c r="B45" t="s">
        <v>1164</v>
      </c>
      <c r="C45" s="160">
        <f>76272</f>
        <v>76272</v>
      </c>
      <c r="D45" s="161">
        <f>57</f>
        <v>57</v>
      </c>
      <c r="E45" s="161">
        <f>D45*$R$12*$E$6/1000</f>
        <v>15.080937207307628</v>
      </c>
      <c r="F45" s="161">
        <f>D45*(($S$12*$E$6+($T$12+$Y$12)*$F$6))/1000</f>
        <v>2.2654353980819675</v>
      </c>
      <c r="G45" s="163">
        <f t="shared" si="6"/>
        <v>17.346372605389597</v>
      </c>
      <c r="H45" s="200">
        <f>G45+G44+G43</f>
        <v>82.706201937256708</v>
      </c>
      <c r="I45" s="200"/>
      <c r="J45" s="1037"/>
      <c r="K45" s="209"/>
      <c r="L45" s="179">
        <f t="shared" si="7"/>
        <v>-0.14925373134328362</v>
      </c>
      <c r="N45" t="s">
        <v>1164</v>
      </c>
      <c r="O45">
        <v>76249</v>
      </c>
      <c r="P45" s="96">
        <f>O45/$O$47</f>
        <v>0.11584314404695165</v>
      </c>
      <c r="R45" t="s">
        <v>1171</v>
      </c>
      <c r="S45">
        <v>52456</v>
      </c>
      <c r="T45" s="96">
        <f>S45/$S$46</f>
        <v>0.64305591310850407</v>
      </c>
      <c r="U45" s="96">
        <f>S45/U46</f>
        <v>0.95208363583563238</v>
      </c>
      <c r="X45">
        <f>X43+X44</f>
        <v>40278</v>
      </c>
    </row>
    <row r="46" spans="1:29" ht="13.8" x14ac:dyDescent="0.25">
      <c r="A46" s="981"/>
      <c r="B46" t="s">
        <v>1166</v>
      </c>
      <c r="C46" s="160">
        <f>76272*3</f>
        <v>228816</v>
      </c>
      <c r="D46" s="161">
        <f>57*3</f>
        <v>171</v>
      </c>
      <c r="E46" s="161">
        <f>D46*$R$13*$E$6/1000</f>
        <v>22.378010146562062</v>
      </c>
      <c r="F46" s="161">
        <f>D46*(($S$13*$E$6+($T$13+$Y$13)*$F$6))/1000</f>
        <v>1.1129235904817927</v>
      </c>
      <c r="G46" s="163">
        <f t="shared" si="6"/>
        <v>23.490933737043854</v>
      </c>
      <c r="H46" s="200">
        <f>SUM(G43:G46)</f>
        <v>106.19713567430057</v>
      </c>
      <c r="I46" s="200"/>
      <c r="J46" s="1037"/>
      <c r="K46" s="209"/>
      <c r="L46" s="179">
        <f t="shared" si="7"/>
        <v>-0.14925373134328371</v>
      </c>
      <c r="N46" t="s">
        <v>1166</v>
      </c>
      <c r="O46">
        <v>225570</v>
      </c>
      <c r="P46" s="96">
        <f>O46/$O$47</f>
        <v>0.34270269777532669</v>
      </c>
      <c r="S46">
        <f>SUM(S43:S45)</f>
        <v>81573</v>
      </c>
      <c r="U46">
        <f>S44+S45</f>
        <v>55096</v>
      </c>
    </row>
    <row r="47" spans="1:29" ht="13.8" x14ac:dyDescent="0.25">
      <c r="A47" s="981"/>
      <c r="B47" t="s">
        <v>1167</v>
      </c>
      <c r="C47" s="160">
        <f>SUM(C43:C46)</f>
        <v>661808</v>
      </c>
      <c r="D47" s="161">
        <f>SUM(D43:D46)</f>
        <v>402</v>
      </c>
      <c r="E47" s="161">
        <f>SUM(E43:E46)</f>
        <v>92.127374492388924</v>
      </c>
      <c r="F47" s="161">
        <f>SUM(F43:F46)</f>
        <v>14.069761181911645</v>
      </c>
      <c r="G47" s="163">
        <f t="shared" si="6"/>
        <v>106.19713567430057</v>
      </c>
      <c r="H47" s="200">
        <f>G47</f>
        <v>106.19713567430057</v>
      </c>
      <c r="I47" s="200">
        <f>D47</f>
        <v>402</v>
      </c>
      <c r="J47" s="1037"/>
      <c r="K47" s="209">
        <f>(D47-D30)/D30</f>
        <v>-0.21021611001964635</v>
      </c>
      <c r="L47" s="179">
        <f t="shared" si="7"/>
        <v>-0.23268629740524929</v>
      </c>
      <c r="N47" t="s">
        <v>1167</v>
      </c>
      <c r="O47">
        <f>SUM(O43:O46)</f>
        <v>658209</v>
      </c>
    </row>
    <row r="48" spans="1:29" ht="13.8" x14ac:dyDescent="0.25">
      <c r="A48" s="981"/>
      <c r="B48" t="s">
        <v>1168</v>
      </c>
      <c r="C48" s="160">
        <v>26477</v>
      </c>
      <c r="D48" s="161">
        <v>50</v>
      </c>
      <c r="E48" s="161">
        <f>D48*$R$15*$E$6/1000</f>
        <v>152.83169300000003</v>
      </c>
      <c r="F48" s="161">
        <f>D48*(($S$15*$E$6+($T$15+$Y$15)*$F$6))/1000</f>
        <v>45.921072970043248</v>
      </c>
      <c r="G48" s="163">
        <f t="shared" si="6"/>
        <v>198.75276597004327</v>
      </c>
      <c r="H48" s="200">
        <f>G48+G47</f>
        <v>304.94990164434387</v>
      </c>
      <c r="I48" s="200"/>
      <c r="J48" s="1037"/>
      <c r="K48" s="209"/>
      <c r="L48" s="179">
        <f t="shared" si="7"/>
        <v>6.3829787234042729E-2</v>
      </c>
    </row>
    <row r="49" spans="1:37" ht="13.8" x14ac:dyDescent="0.25">
      <c r="A49" s="981"/>
      <c r="B49" t="s">
        <v>1169</v>
      </c>
      <c r="C49" s="160">
        <v>22908</v>
      </c>
      <c r="D49" s="161">
        <v>21</v>
      </c>
      <c r="E49" s="161">
        <f>D49*$R$16*$E$6/1000</f>
        <v>43.368029090819995</v>
      </c>
      <c r="F49" s="161">
        <f>D49*(($S$16*$E$6+($T$16+$Y$16)*$F$6))/1000</f>
        <v>2.3319689539806236</v>
      </c>
      <c r="G49" s="163">
        <f t="shared" si="6"/>
        <v>45.699998044800616</v>
      </c>
      <c r="H49" s="200">
        <f>G49+G48+G47</f>
        <v>350.64989968914449</v>
      </c>
      <c r="I49" s="200"/>
      <c r="J49" s="1037"/>
      <c r="K49" s="209"/>
      <c r="L49" s="179">
        <f t="shared" si="7"/>
        <v>1.1000000000000001</v>
      </c>
      <c r="P49">
        <f>O46/(O45+O46)</f>
        <v>0.74736845592888457</v>
      </c>
    </row>
    <row r="50" spans="1:37" ht="13.8" x14ac:dyDescent="0.25">
      <c r="A50" s="981"/>
      <c r="B50" t="s">
        <v>1171</v>
      </c>
      <c r="C50" s="160">
        <v>31691</v>
      </c>
      <c r="D50" s="161">
        <v>32</v>
      </c>
      <c r="E50" s="161">
        <f>D50*$R$17*$E$6/1000</f>
        <v>31.740112140800001</v>
      </c>
      <c r="F50" s="161">
        <f>D50*(($S$17*$E$6+($T$17+$Y$17)*$F$6))/1000</f>
        <v>8.9426606508460473</v>
      </c>
      <c r="G50" s="201">
        <f t="shared" si="6"/>
        <v>40.682772791646045</v>
      </c>
      <c r="H50" s="200">
        <f>G50+G49+G48+G47</f>
        <v>391.33267248079051</v>
      </c>
      <c r="I50" s="200"/>
      <c r="J50" s="1037"/>
      <c r="K50" s="209"/>
      <c r="L50" s="179">
        <f t="shared" si="7"/>
        <v>-0.23809523809523808</v>
      </c>
      <c r="P50">
        <f>O45/(O45+O46)</f>
        <v>0.25263154407111549</v>
      </c>
    </row>
    <row r="51" spans="1:37" ht="13.8" x14ac:dyDescent="0.25">
      <c r="A51" s="981"/>
      <c r="B51" t="s">
        <v>1173</v>
      </c>
      <c r="C51" s="160">
        <f>SUM(C48:C50)</f>
        <v>81076</v>
      </c>
      <c r="D51" s="161">
        <f>SUM(D48:D50)</f>
        <v>103</v>
      </c>
      <c r="E51" s="161">
        <f>SUM(E48:E50)</f>
        <v>227.93983423162001</v>
      </c>
      <c r="F51" s="161">
        <f>SUM(F48:F50)</f>
        <v>57.195702574869912</v>
      </c>
      <c r="G51" s="201">
        <f t="shared" si="6"/>
        <v>285.13553680648994</v>
      </c>
      <c r="H51" s="200">
        <f>G51+G47</f>
        <v>391.33267248079051</v>
      </c>
      <c r="I51" s="200">
        <f>D51+I47</f>
        <v>505</v>
      </c>
      <c r="J51" s="1037"/>
      <c r="K51" s="209">
        <f>(D51-D34)/D34</f>
        <v>4.0404040404040407E-2</v>
      </c>
      <c r="L51" s="179">
        <f t="shared" si="7"/>
        <v>8.836321486180071E-2</v>
      </c>
      <c r="N51" t="s">
        <v>1187</v>
      </c>
      <c r="W51" t="s">
        <v>1188</v>
      </c>
      <c r="X51" t="s">
        <v>1189</v>
      </c>
      <c r="Y51" t="s">
        <v>1190</v>
      </c>
      <c r="Z51" t="s">
        <v>1191</v>
      </c>
    </row>
    <row r="52" spans="1:37" ht="13.8" x14ac:dyDescent="0.25">
      <c r="A52" s="981"/>
      <c r="B52" t="s">
        <v>1174</v>
      </c>
      <c r="C52" s="160">
        <v>53</v>
      </c>
      <c r="D52" s="161">
        <v>13</v>
      </c>
      <c r="E52" s="161">
        <f>D52*$R$20*$E$6/1000</f>
        <v>0.54600000000000004</v>
      </c>
      <c r="F52" s="161">
        <f>D52*(($S$20*$E$6+($T$20+$Y$19)*$F$6))/1000</f>
        <v>2.3084850750000001</v>
      </c>
      <c r="G52" s="201">
        <f t="shared" si="6"/>
        <v>2.8544850750000004</v>
      </c>
      <c r="H52" s="200">
        <f>H51+G52</f>
        <v>394.18715755579052</v>
      </c>
      <c r="I52" s="200"/>
      <c r="J52" s="1037"/>
      <c r="K52" s="209"/>
      <c r="L52" s="179">
        <f t="shared" si="7"/>
        <v>0</v>
      </c>
      <c r="Q52" t="s">
        <v>727</v>
      </c>
      <c r="S52" t="s">
        <v>697</v>
      </c>
      <c r="V52" t="s">
        <v>1170</v>
      </c>
      <c r="W52">
        <v>27380</v>
      </c>
      <c r="X52">
        <v>46</v>
      </c>
      <c r="Y52" s="95">
        <f t="shared" ref="Y52:Y60" si="8">X52/W52</f>
        <v>1.6800584368151935E-3</v>
      </c>
      <c r="AE52" t="s">
        <v>1192</v>
      </c>
    </row>
    <row r="53" spans="1:37" ht="13.8" x14ac:dyDescent="0.25">
      <c r="A53" s="981"/>
      <c r="B53" t="s">
        <v>1175</v>
      </c>
      <c r="C53" s="160">
        <v>3270</v>
      </c>
      <c r="D53" s="161">
        <v>801</v>
      </c>
      <c r="E53" s="161">
        <f>D53*$R$20*$E$6/1000</f>
        <v>33.642000000000003</v>
      </c>
      <c r="F53" s="161">
        <f>D53*(($S$20*$E$6+($T$20+$Y$20)*$F$6))/1000</f>
        <v>142.23819577500001</v>
      </c>
      <c r="G53" s="163">
        <f t="shared" ref="G53:G58" si="9">E53+F53</f>
        <v>175.880195775</v>
      </c>
      <c r="H53" s="200">
        <f>G53+G51+G50+G52</f>
        <v>504.55299044813597</v>
      </c>
      <c r="I53" s="200"/>
      <c r="J53" s="1037"/>
      <c r="K53" s="209"/>
      <c r="L53" s="179">
        <f t="shared" si="7"/>
        <v>-1.7177914110429265E-2</v>
      </c>
      <c r="O53" t="s">
        <v>1156</v>
      </c>
      <c r="P53" t="s">
        <v>674</v>
      </c>
      <c r="Q53" t="s">
        <v>1152</v>
      </c>
      <c r="R53" t="s">
        <v>29</v>
      </c>
      <c r="S53" t="s">
        <v>29</v>
      </c>
      <c r="T53" s="22"/>
      <c r="V53" t="s">
        <v>1193</v>
      </c>
      <c r="W53">
        <v>51248</v>
      </c>
      <c r="X53">
        <v>57</v>
      </c>
      <c r="Y53" s="95">
        <f t="shared" si="8"/>
        <v>1.1122385263815174E-3</v>
      </c>
    </row>
    <row r="54" spans="1:37" ht="13.8" x14ac:dyDescent="0.25">
      <c r="A54" s="981"/>
      <c r="B54" t="s">
        <v>1176</v>
      </c>
      <c r="C54" s="160">
        <v>37169</v>
      </c>
      <c r="D54" s="161">
        <v>1867</v>
      </c>
      <c r="E54" s="161">
        <f>D54*$R$21*$E$6/1000</f>
        <v>78.414000000000001</v>
      </c>
      <c r="F54" s="161">
        <f>D54*(($S$21*$E$6+($T$21+$Y$21)*$F$6))/1000</f>
        <v>319.54589954937296</v>
      </c>
      <c r="G54" s="163">
        <f t="shared" si="9"/>
        <v>397.95989954937295</v>
      </c>
      <c r="H54" s="200">
        <f>G54+G50+G52</f>
        <v>441.49715741601898</v>
      </c>
      <c r="I54" s="200"/>
      <c r="J54" s="1037"/>
      <c r="K54" s="209"/>
      <c r="L54" s="179">
        <f t="shared" si="7"/>
        <v>-0.53626428216592148</v>
      </c>
      <c r="O54" t="s">
        <v>1154</v>
      </c>
      <c r="P54">
        <v>91</v>
      </c>
      <c r="Q54" s="83">
        <v>11.14761814991517</v>
      </c>
      <c r="R54" s="83">
        <v>1.0784697573920701</v>
      </c>
      <c r="S54">
        <v>7.2979379999999996E-2</v>
      </c>
      <c r="T54" s="22">
        <f>(P54*((Q54+R54)*$Z$2+(S54)*$AB$2))/1000</f>
        <v>0</v>
      </c>
      <c r="V54" t="s">
        <v>1173</v>
      </c>
      <c r="W54">
        <f>W53+W52</f>
        <v>78628</v>
      </c>
      <c r="X54">
        <f>X53+X52</f>
        <v>103</v>
      </c>
      <c r="Y54" s="95">
        <f t="shared" si="8"/>
        <v>1.3099659154499669E-3</v>
      </c>
      <c r="Z54">
        <v>80895</v>
      </c>
      <c r="AA54">
        <f>$Y54*Z54</f>
        <v>105.96969273032506</v>
      </c>
      <c r="AB54" t="e">
        <f>#REF!</f>
        <v>#REF!</v>
      </c>
      <c r="AC54" t="e">
        <f>$Y54*AB54</f>
        <v>#REF!</v>
      </c>
      <c r="AG54" t="s">
        <v>696</v>
      </c>
      <c r="AH54" t="s">
        <v>697</v>
      </c>
      <c r="AI54" t="s">
        <v>1138</v>
      </c>
    </row>
    <row r="55" spans="1:37" ht="13.8" x14ac:dyDescent="0.25">
      <c r="A55" s="981"/>
      <c r="B55" t="s">
        <v>1177</v>
      </c>
      <c r="C55" s="160">
        <f>SUM(C52:C54)</f>
        <v>40492</v>
      </c>
      <c r="D55" s="161">
        <f>SUM(D52:D54)</f>
        <v>2681</v>
      </c>
      <c r="E55" s="161">
        <f>SUM(E52:E54)</f>
        <v>112.602</v>
      </c>
      <c r="F55" s="161">
        <f>SUM(F52:F54)</f>
        <v>464.09258039937299</v>
      </c>
      <c r="G55" s="163">
        <f t="shared" si="9"/>
        <v>576.69458039937297</v>
      </c>
      <c r="H55" s="200">
        <f>G55</f>
        <v>576.69458039937297</v>
      </c>
      <c r="I55" s="200">
        <f>D55+I51</f>
        <v>3186</v>
      </c>
      <c r="J55" s="1037"/>
      <c r="K55" s="209">
        <f>(D55-D38)/D38</f>
        <v>-0.44767202307375359</v>
      </c>
      <c r="L55" s="179">
        <f t="shared" si="7"/>
        <v>-0.44546983762506326</v>
      </c>
      <c r="O55" t="s">
        <v>1162</v>
      </c>
      <c r="P55">
        <v>5</v>
      </c>
      <c r="Q55" s="83">
        <v>11.945009918068131</v>
      </c>
      <c r="R55" s="83">
        <v>1.1556129322983999</v>
      </c>
      <c r="S55">
        <v>0.11514180857179999</v>
      </c>
      <c r="T55" s="22">
        <f>(P55*((Q55+R55)*$Z$2+(S55)*$AB$2))/1000</f>
        <v>0</v>
      </c>
      <c r="V55" t="s">
        <v>1194</v>
      </c>
      <c r="W55">
        <v>480656</v>
      </c>
      <c r="X55">
        <v>328</v>
      </c>
      <c r="Y55" s="95">
        <f t="shared" si="8"/>
        <v>6.8240071901734295E-4</v>
      </c>
      <c r="Z55">
        <v>415619</v>
      </c>
      <c r="AA55">
        <f>$Y55*Z55</f>
        <v>283.61870443726906</v>
      </c>
      <c r="AB55" t="e">
        <f>#REF!</f>
        <v>#REF!</v>
      </c>
      <c r="AC55" t="e">
        <f>$Y55*AB55</f>
        <v>#REF!</v>
      </c>
      <c r="AE55" t="s">
        <v>1195</v>
      </c>
      <c r="AG55">
        <v>1.1299999999999999</v>
      </c>
      <c r="AH55">
        <v>4.7000000000000002E-3</v>
      </c>
      <c r="AI55">
        <f>AG55*Z2+AH55*AB2</f>
        <v>0</v>
      </c>
    </row>
    <row r="56" spans="1:37" ht="13.8" x14ac:dyDescent="0.25">
      <c r="A56" s="981"/>
      <c r="B56" t="s">
        <v>1178</v>
      </c>
      <c r="C56" s="160">
        <v>53453</v>
      </c>
      <c r="D56" s="161">
        <v>473</v>
      </c>
      <c r="E56" s="161">
        <f>D56*$R$23*$E$6/1000</f>
        <v>238.39201900088946</v>
      </c>
      <c r="F56" s="161">
        <f>D56*(($S$23*$E$6+($T$23+$Y$23)*$F$6))/1000</f>
        <v>25.375408842199885</v>
      </c>
      <c r="G56" s="163">
        <f t="shared" si="9"/>
        <v>263.76742784308937</v>
      </c>
      <c r="H56" s="200">
        <f>G55+G56</f>
        <v>840.46200824246239</v>
      </c>
      <c r="I56" s="200">
        <f>I55+D56</f>
        <v>3659</v>
      </c>
      <c r="J56" s="1037"/>
      <c r="K56" s="209">
        <f>(D56-D39)/D39</f>
        <v>-0.31149927219796214</v>
      </c>
      <c r="L56" s="179">
        <f t="shared" si="7"/>
        <v>-0.31149927219796208</v>
      </c>
      <c r="O56" t="s">
        <v>1164</v>
      </c>
      <c r="P56">
        <v>20</v>
      </c>
      <c r="Q56" s="83">
        <v>9.4492087765085397</v>
      </c>
      <c r="R56" s="83">
        <v>0.91415808731918002</v>
      </c>
      <c r="S56">
        <v>3.2046688928510002E-2</v>
      </c>
      <c r="T56" s="22">
        <f>(P56*((Q56+R56)*$Z$2+(S56)*$AB$2))/1000</f>
        <v>0</v>
      </c>
      <c r="Y56" s="95"/>
      <c r="AE56" t="s">
        <v>1196</v>
      </c>
      <c r="AG56">
        <v>0.74</v>
      </c>
      <c r="AH56">
        <v>2.8E-3</v>
      </c>
    </row>
    <row r="57" spans="1:37" ht="13.8" x14ac:dyDescent="0.25">
      <c r="A57" s="981"/>
      <c r="B57" t="s">
        <v>1179</v>
      </c>
      <c r="C57" s="160">
        <v>1493</v>
      </c>
      <c r="D57" s="161">
        <v>36</v>
      </c>
      <c r="E57" s="161">
        <f>D57*$R$24*$E$6/1000</f>
        <v>5.04</v>
      </c>
      <c r="F57" s="161">
        <f>D57*(($S$24*$E$6+($T$24+$Y$24)*$F$6))/1000</f>
        <v>1.5431143510584002</v>
      </c>
      <c r="G57" s="163">
        <f t="shared" si="9"/>
        <v>6.5831143510584003</v>
      </c>
      <c r="H57" s="200">
        <f>SUM(G55:G57)</f>
        <v>847.04512259352077</v>
      </c>
      <c r="I57" s="200">
        <f>D57+I56</f>
        <v>3695</v>
      </c>
      <c r="J57" s="1037"/>
      <c r="K57" s="209">
        <f>(D57-D40)/D40</f>
        <v>0.2</v>
      </c>
      <c r="L57" s="179">
        <f t="shared" si="7"/>
        <v>0.20000000000000007</v>
      </c>
      <c r="O57" t="s">
        <v>1166</v>
      </c>
      <c r="P57">
        <v>173</v>
      </c>
      <c r="Q57" s="83">
        <v>4.6737698718801299</v>
      </c>
      <c r="R57" s="83">
        <v>9.9161767965600001E-2</v>
      </c>
      <c r="T57" s="22">
        <f>(P57*((Q57+R57)*$Z$2+(S57)*$AB$2))/1000</f>
        <v>0</v>
      </c>
      <c r="V57" t="s">
        <v>1197</v>
      </c>
      <c r="W57">
        <v>72626</v>
      </c>
      <c r="X57">
        <v>2879</v>
      </c>
      <c r="Y57" s="95">
        <f t="shared" si="8"/>
        <v>3.9641450720127779E-2</v>
      </c>
      <c r="Z57">
        <v>71500</v>
      </c>
      <c r="AA57">
        <f>$Y57*Z57</f>
        <v>2834.3637264891363</v>
      </c>
      <c r="AB57" t="e">
        <f>#REF!</f>
        <v>#REF!</v>
      </c>
      <c r="AC57" t="e">
        <f>$Y57*AB57</f>
        <v>#REF!</v>
      </c>
      <c r="AE57" t="s">
        <v>1198</v>
      </c>
      <c r="AG57">
        <v>0.28999999999999998</v>
      </c>
      <c r="AH57">
        <v>1.4E-3</v>
      </c>
      <c r="AK57" t="s">
        <v>859</v>
      </c>
    </row>
    <row r="58" spans="1:37" ht="14.4" thickBot="1" x14ac:dyDescent="0.3">
      <c r="A58" s="1036"/>
      <c r="B58" t="s">
        <v>1181</v>
      </c>
      <c r="C58" s="168">
        <v>942993</v>
      </c>
      <c r="D58" s="169">
        <v>74042</v>
      </c>
      <c r="E58" s="161">
        <f>D58*$R$25*$E$6/1000</f>
        <v>41.463495121888002</v>
      </c>
      <c r="F58" s="161">
        <f>D58*(($S$25*$E$6+($T$25+$Y$25)*$F$6))/1000</f>
        <v>411.78319972754974</v>
      </c>
      <c r="G58" s="204">
        <f t="shared" si="9"/>
        <v>453.24669484943774</v>
      </c>
      <c r="H58" s="200">
        <f>SUM(G55:G58)+G51+G47</f>
        <v>1691.624489923749</v>
      </c>
      <c r="I58" s="200">
        <f>I57+D58</f>
        <v>77737</v>
      </c>
      <c r="J58" s="1037"/>
      <c r="K58" s="209">
        <f>(D58-D41)/D41</f>
        <v>8.8244804374026278E-2</v>
      </c>
      <c r="L58" s="179">
        <f t="shared" si="7"/>
        <v>8.8244804374026195E-2</v>
      </c>
      <c r="O58" t="s">
        <v>1167</v>
      </c>
      <c r="P58">
        <v>289</v>
      </c>
      <c r="Q58" s="83"/>
      <c r="T58" s="22">
        <f>SUM(T54:T57)</f>
        <v>0</v>
      </c>
      <c r="V58" t="s">
        <v>1179</v>
      </c>
      <c r="W58">
        <v>990</v>
      </c>
      <c r="X58">
        <v>31</v>
      </c>
      <c r="Y58" s="95">
        <f t="shared" si="8"/>
        <v>3.1313131313131314E-2</v>
      </c>
      <c r="Z58">
        <v>1471</v>
      </c>
      <c r="AA58">
        <f>$Y58*Z58</f>
        <v>46.061616161616165</v>
      </c>
      <c r="AB58">
        <v>2177</v>
      </c>
      <c r="AC58">
        <f>$Y58*AB58</f>
        <v>68.168686868686876</v>
      </c>
      <c r="AE58" t="s">
        <v>1199</v>
      </c>
      <c r="AG58">
        <v>0.09</v>
      </c>
      <c r="AH58">
        <v>5.0000000000000001E-4</v>
      </c>
    </row>
    <row r="59" spans="1:37" ht="14.4" thickBot="1" x14ac:dyDescent="0.3">
      <c r="A59" s="172" t="s">
        <v>3</v>
      </c>
      <c r="B59" s="173">
        <f>A43</f>
        <v>2018</v>
      </c>
      <c r="C59" s="174">
        <f>SUM(C55:C58)</f>
        <v>1038431</v>
      </c>
      <c r="D59" s="174"/>
      <c r="E59" s="205">
        <f>SUM(E55:E58)+E51+E47</f>
        <v>717.56472284678648</v>
      </c>
      <c r="F59" s="205">
        <f>SUM(F55:F58)+F51+F47</f>
        <v>974.05976707696254</v>
      </c>
      <c r="G59" s="175">
        <f t="shared" ref="G59:G69" si="10">E59+F59</f>
        <v>1691.624489923749</v>
      </c>
      <c r="H59" s="175">
        <f>H58</f>
        <v>1691.624489923749</v>
      </c>
      <c r="I59" s="175">
        <f>SUM(I55:I58)</f>
        <v>88277</v>
      </c>
      <c r="J59" s="1038"/>
      <c r="K59" s="190">
        <f>(I59-I42)/I42</f>
        <v>-4.0540393665699351E-2</v>
      </c>
      <c r="L59" s="191">
        <f>(G59-G42)/G42</f>
        <v>-0.24664004469828402</v>
      </c>
      <c r="O59" t="s">
        <v>1178</v>
      </c>
      <c r="P59">
        <v>861</v>
      </c>
      <c r="Q59" s="83">
        <v>18.00000143467906</v>
      </c>
      <c r="R59">
        <v>1.0900001434679101</v>
      </c>
      <c r="S59">
        <v>3.0389120972139999E-2</v>
      </c>
      <c r="T59" s="22">
        <f>(P59*((Q59+R59)*$Z$2+(S59)*$AB$2))/1000</f>
        <v>0</v>
      </c>
      <c r="V59" t="s">
        <v>1200</v>
      </c>
      <c r="W59">
        <v>3550</v>
      </c>
      <c r="X59">
        <v>793</v>
      </c>
      <c r="Y59" s="95">
        <f t="shared" si="8"/>
        <v>0.22338028169014085</v>
      </c>
      <c r="Z59">
        <v>10929</v>
      </c>
      <c r="AA59">
        <f>$Y59*Z59</f>
        <v>2441.3230985915493</v>
      </c>
      <c r="AB59">
        <v>40278</v>
      </c>
      <c r="AC59">
        <f>$Y59*AB59</f>
        <v>8997.3109859154938</v>
      </c>
    </row>
    <row r="60" spans="1:37" ht="14.25" customHeight="1" x14ac:dyDescent="0.25">
      <c r="A60" s="981">
        <v>2019</v>
      </c>
      <c r="B60" t="s">
        <v>1154</v>
      </c>
      <c r="C60" s="152">
        <v>327993</v>
      </c>
      <c r="D60" s="153">
        <v>93</v>
      </c>
      <c r="E60" s="153">
        <f>D60*$R$10*$E$6/1000</f>
        <v>29.028397662379103</v>
      </c>
      <c r="F60" s="153">
        <f>D60*(($S$10*$E$6+($T$10+$Y$10)*$F$6))/1000</f>
        <v>5.5599042592708257</v>
      </c>
      <c r="G60" s="155">
        <f t="shared" si="10"/>
        <v>34.588301921649929</v>
      </c>
      <c r="H60" s="199">
        <f>G60</f>
        <v>34.588301921649929</v>
      </c>
      <c r="I60" s="199"/>
      <c r="J60" s="1037" t="str">
        <f>"Milli áranna "&amp; $A43 &amp;" og "&amp; $A60</f>
        <v>Milli áranna 2018 og 2019</v>
      </c>
      <c r="K60" s="208"/>
      <c r="L60" s="179">
        <f>(G60-G43)/G43</f>
        <v>-0.41139240506329117</v>
      </c>
      <c r="Q60" s="22"/>
      <c r="V60" t="s">
        <v>1201</v>
      </c>
      <c r="W60">
        <v>238000</v>
      </c>
      <c r="X60">
        <v>53038</v>
      </c>
      <c r="Y60" s="95">
        <f t="shared" si="8"/>
        <v>0.22284873949579831</v>
      </c>
      <c r="Z60">
        <f>205121+61974</f>
        <v>267095</v>
      </c>
      <c r="AA60">
        <f>$Y60*Z60</f>
        <v>59521.784075630247</v>
      </c>
      <c r="AB60">
        <f>P60</f>
        <v>0</v>
      </c>
      <c r="AC60">
        <f>$Y60*AB60</f>
        <v>0</v>
      </c>
    </row>
    <row r="61" spans="1:37" ht="13.8" x14ac:dyDescent="0.25">
      <c r="A61" s="981"/>
      <c r="B61" t="s">
        <v>1162</v>
      </c>
      <c r="C61" s="160">
        <v>10944</v>
      </c>
      <c r="D61" s="161">
        <v>11</v>
      </c>
      <c r="E61" s="161">
        <f>D61*$R$11*$E$6/1000</f>
        <v>3.6790630547649839</v>
      </c>
      <c r="F61" s="161">
        <f>D61*(($S$11*$E$6+($T$11+$Y$11)*$F$6))/1000</f>
        <v>0.85631104918157919</v>
      </c>
      <c r="G61" s="163">
        <f t="shared" si="10"/>
        <v>4.5353741039465634</v>
      </c>
      <c r="H61" s="200">
        <f>G61+G60</f>
        <v>39.123676025596495</v>
      </c>
      <c r="I61" s="200"/>
      <c r="J61" s="1037"/>
      <c r="K61" s="209"/>
      <c r="L61" s="179">
        <f t="shared" ref="L61:L75" si="11">(G61-G44)/G44</f>
        <v>-0.31249999999999989</v>
      </c>
    </row>
    <row r="62" spans="1:37" ht="13.8" x14ac:dyDescent="0.25">
      <c r="A62" s="981"/>
      <c r="B62" t="s">
        <v>1164</v>
      </c>
      <c r="C62" s="160">
        <f>76610</f>
        <v>76610</v>
      </c>
      <c r="D62" s="161">
        <f>34</f>
        <v>34</v>
      </c>
      <c r="E62" s="161">
        <f>D62*$R$12*$E$6/1000</f>
        <v>8.9956467552361286</v>
      </c>
      <c r="F62" s="161">
        <f>D62*(($S$12*$E$6+($T$12+$Y$12)*$F$6))/1000</f>
        <v>1.3513123427155596</v>
      </c>
      <c r="G62" s="163">
        <f t="shared" si="10"/>
        <v>10.346959097951688</v>
      </c>
      <c r="H62" s="200">
        <f>G62+G61+G60</f>
        <v>49.470635123548178</v>
      </c>
      <c r="I62" s="200"/>
      <c r="J62" s="1037"/>
      <c r="K62" s="209"/>
      <c r="L62" s="179">
        <f t="shared" si="11"/>
        <v>-0.40350877192982465</v>
      </c>
    </row>
    <row r="63" spans="1:37" ht="13.8" x14ac:dyDescent="0.25">
      <c r="A63" s="981"/>
      <c r="B63" t="s">
        <v>1166</v>
      </c>
      <c r="C63" s="160">
        <f>76610*3</f>
        <v>229830</v>
      </c>
      <c r="D63" s="161">
        <f>34*3</f>
        <v>102</v>
      </c>
      <c r="E63" s="161">
        <f>D63*$R$13*$E$6/1000</f>
        <v>13.348286754089651</v>
      </c>
      <c r="F63" s="161">
        <f>D63*(($S$13*$E$6+($T$13+$Y$13)*$F$6))/1000</f>
        <v>0.66384915923475352</v>
      </c>
      <c r="G63" s="163">
        <f t="shared" si="10"/>
        <v>14.012135913324405</v>
      </c>
      <c r="H63" s="200">
        <f>SUM(G60:G63)</f>
        <v>63.482771036872592</v>
      </c>
      <c r="I63" s="200"/>
      <c r="J63" s="1037"/>
      <c r="K63" s="209"/>
      <c r="L63" s="179">
        <f t="shared" si="11"/>
        <v>-0.40350877192982448</v>
      </c>
    </row>
    <row r="64" spans="1:37" ht="13.8" x14ac:dyDescent="0.25">
      <c r="A64" s="981"/>
      <c r="B64" t="s">
        <v>1167</v>
      </c>
      <c r="C64" s="160">
        <f>SUM(C60:C63)</f>
        <v>645377</v>
      </c>
      <c r="D64" s="161">
        <f>SUM(D60:D63)</f>
        <v>240</v>
      </c>
      <c r="E64" s="161">
        <f>SUM(E60:E63)</f>
        <v>55.051394226469867</v>
      </c>
      <c r="F64" s="161">
        <f>SUM(F60:F63)</f>
        <v>8.4313768104027194</v>
      </c>
      <c r="G64" s="163">
        <f t="shared" si="10"/>
        <v>63.482771036872585</v>
      </c>
      <c r="H64" s="200">
        <f>G64</f>
        <v>63.482771036872585</v>
      </c>
      <c r="I64" s="200">
        <f>D64</f>
        <v>240</v>
      </c>
      <c r="J64" s="1037"/>
      <c r="K64" s="209">
        <f>(D64-D47)/D47</f>
        <v>-0.40298507462686567</v>
      </c>
      <c r="L64" s="179">
        <f t="shared" si="11"/>
        <v>-0.40221767156159516</v>
      </c>
    </row>
    <row r="65" spans="1:60" ht="13.8" x14ac:dyDescent="0.25">
      <c r="A65" s="981"/>
      <c r="B65" t="s">
        <v>1168</v>
      </c>
      <c r="C65" s="160">
        <v>26214</v>
      </c>
      <c r="D65" s="161">
        <v>53</v>
      </c>
      <c r="E65" s="161">
        <f>D65*$R$15*$E$6/1000</f>
        <v>162.00159458000002</v>
      </c>
      <c r="F65" s="161">
        <f>D65*(($S$15*$E$6+($T$15+$Y$15)*$F$6))/1000</f>
        <v>48.676337348245845</v>
      </c>
      <c r="G65" s="163">
        <f t="shared" si="10"/>
        <v>210.67793192824587</v>
      </c>
      <c r="H65" s="200">
        <f>G65+G64</f>
        <v>274.16070296511845</v>
      </c>
      <c r="I65" s="200"/>
      <c r="J65" s="1037"/>
      <c r="K65" s="209"/>
      <c r="L65" s="179">
        <f t="shared" si="11"/>
        <v>6.0000000000000012E-2</v>
      </c>
    </row>
    <row r="66" spans="1:60" ht="13.8" x14ac:dyDescent="0.25">
      <c r="A66" s="981"/>
      <c r="B66" t="s">
        <v>1169</v>
      </c>
      <c r="C66" s="160">
        <v>23468</v>
      </c>
      <c r="D66" s="161">
        <v>11</v>
      </c>
      <c r="E66" s="161">
        <f>D66*$R$16*$E$6/1000</f>
        <v>22.71658666662</v>
      </c>
      <c r="F66" s="161">
        <f>D66*(($S$16*$E$6+($T$16+$Y$16)*$F$6))/1000</f>
        <v>1.2215075473231838</v>
      </c>
      <c r="G66" s="163">
        <f t="shared" si="10"/>
        <v>23.938094213943184</v>
      </c>
      <c r="H66" s="200">
        <f>G66+G65+G64</f>
        <v>298.09879717906165</v>
      </c>
      <c r="I66" s="200"/>
      <c r="J66" s="1037"/>
      <c r="K66" s="209"/>
      <c r="L66" s="179">
        <f t="shared" si="11"/>
        <v>-0.47619047619047611</v>
      </c>
    </row>
    <row r="67" spans="1:60" ht="13.8" x14ac:dyDescent="0.25">
      <c r="A67" s="981"/>
      <c r="B67" t="s">
        <v>1171</v>
      </c>
      <c r="C67" s="160">
        <v>31616</v>
      </c>
      <c r="D67" s="161">
        <v>42</v>
      </c>
      <c r="E67" s="161">
        <f>D67*$R$17*$E$6/1000</f>
        <v>41.658897184799997</v>
      </c>
      <c r="F67" s="161">
        <f>D67*(($S$17*$E$6+($T$17+$Y$17)*$F$6))/1000</f>
        <v>11.737242104235438</v>
      </c>
      <c r="G67" s="201">
        <f t="shared" si="10"/>
        <v>53.396139289035432</v>
      </c>
      <c r="H67" s="200">
        <f>G67+G66+G65+G64</f>
        <v>351.49493646809708</v>
      </c>
      <c r="I67" s="200"/>
      <c r="J67" s="1037"/>
      <c r="K67" s="209"/>
      <c r="L67" s="179">
        <f t="shared" si="11"/>
        <v>0.31249999999999994</v>
      </c>
    </row>
    <row r="68" spans="1:60" ht="13.8" x14ac:dyDescent="0.25">
      <c r="A68" s="981"/>
      <c r="B68" t="s">
        <v>1173</v>
      </c>
      <c r="C68" s="160">
        <f>SUM(C65:C67)</f>
        <v>81298</v>
      </c>
      <c r="D68" s="161">
        <f>SUM(D65:D67)</f>
        <v>106</v>
      </c>
      <c r="E68" s="161">
        <f>SUM(E65:E67)</f>
        <v>226.37707843142002</v>
      </c>
      <c r="F68" s="161">
        <f>SUM(F65:F67)</f>
        <v>61.635086999804471</v>
      </c>
      <c r="G68" s="201">
        <f t="shared" si="10"/>
        <v>288.0121654312245</v>
      </c>
      <c r="H68" s="200">
        <f>G68+G64</f>
        <v>351.49493646809708</v>
      </c>
      <c r="I68" s="200">
        <f>D68+I64</f>
        <v>346</v>
      </c>
      <c r="J68" s="1037"/>
      <c r="K68" s="209">
        <f>(D68-D51)/D51</f>
        <v>2.9126213592233011E-2</v>
      </c>
      <c r="L68" s="179">
        <f t="shared" si="11"/>
        <v>1.0088635941183359E-2</v>
      </c>
    </row>
    <row r="69" spans="1:60" ht="13.8" x14ac:dyDescent="0.25">
      <c r="A69" s="981"/>
      <c r="B69" t="s">
        <v>1174</v>
      </c>
      <c r="C69" s="160">
        <v>44</v>
      </c>
      <c r="D69" s="161">
        <v>10</v>
      </c>
      <c r="E69" s="161">
        <f>D69*$R$20*$E$6/1000</f>
        <v>0.42</v>
      </c>
      <c r="F69" s="161">
        <f>D69*(($S$20*$E$6+($T$20+$Y$19)*$F$6))/1000</f>
        <v>1.7757577499999999</v>
      </c>
      <c r="G69" s="201">
        <f t="shared" si="10"/>
        <v>2.1957577499999998</v>
      </c>
      <c r="H69" s="200">
        <f>H68+G69</f>
        <v>353.69069421809706</v>
      </c>
      <c r="I69" s="200"/>
      <c r="J69" s="1037"/>
      <c r="K69" s="209"/>
      <c r="L69" s="179">
        <f t="shared" si="11"/>
        <v>-0.23076923076923092</v>
      </c>
    </row>
    <row r="70" spans="1:60" ht="13.8" x14ac:dyDescent="0.25">
      <c r="A70" s="981"/>
      <c r="B70" t="s">
        <v>1175</v>
      </c>
      <c r="C70" s="160">
        <v>3111</v>
      </c>
      <c r="D70" s="161">
        <v>801</v>
      </c>
      <c r="E70" s="161">
        <f>D70*$R$20*$E$6/1000</f>
        <v>33.642000000000003</v>
      </c>
      <c r="F70" s="161">
        <f>D70*(($S$20*$E$6+($T$20+$Y$20)*$F$6))/1000</f>
        <v>142.23819577500001</v>
      </c>
      <c r="G70" s="163">
        <f t="shared" ref="G70:G75" si="12">E70+F70</f>
        <v>175.880195775</v>
      </c>
      <c r="H70" s="200">
        <f>G70+G68+G67+G69</f>
        <v>519.48425824525998</v>
      </c>
      <c r="I70" s="200"/>
      <c r="J70" s="1037"/>
      <c r="K70" s="209"/>
      <c r="L70" s="179">
        <f t="shared" si="11"/>
        <v>0</v>
      </c>
    </row>
    <row r="71" spans="1:60" ht="13.8" x14ac:dyDescent="0.25">
      <c r="A71" s="981"/>
      <c r="B71" t="s">
        <v>1176</v>
      </c>
      <c r="C71" s="160">
        <v>31791</v>
      </c>
      <c r="D71" s="161">
        <v>2350</v>
      </c>
      <c r="E71" s="161">
        <f>D71*$R$21*$E$6/1000</f>
        <v>98.7</v>
      </c>
      <c r="F71" s="161">
        <f>D71*(($S$21*$E$6+($T$21+$Y$21)*$F$6))/1000</f>
        <v>402.21363896144959</v>
      </c>
      <c r="G71" s="163">
        <f t="shared" si="12"/>
        <v>500.91363896144958</v>
      </c>
      <c r="H71" s="200">
        <f>G71+G67+G69</f>
        <v>556.50553600048499</v>
      </c>
      <c r="I71" s="200"/>
      <c r="J71" s="1037"/>
      <c r="K71" s="209"/>
      <c r="L71" s="179">
        <f t="shared" si="11"/>
        <v>0.25870380289234057</v>
      </c>
    </row>
    <row r="72" spans="1:60" ht="13.8" x14ac:dyDescent="0.25">
      <c r="A72" s="981"/>
      <c r="B72" t="s">
        <v>1177</v>
      </c>
      <c r="C72" s="160">
        <f>SUM(C69:C71)</f>
        <v>34946</v>
      </c>
      <c r="D72" s="161">
        <f>SUM(D69:D71)</f>
        <v>3161</v>
      </c>
      <c r="E72" s="161">
        <f>SUM(E69:E71)</f>
        <v>132.762</v>
      </c>
      <c r="F72" s="161">
        <f>SUM(F69:F71)</f>
        <v>546.22759248644957</v>
      </c>
      <c r="G72" s="163">
        <f t="shared" si="12"/>
        <v>678.98959248644951</v>
      </c>
      <c r="H72" s="200">
        <f>G72</f>
        <v>678.98959248644951</v>
      </c>
      <c r="I72" s="200">
        <f>D72+I68</f>
        <v>3507</v>
      </c>
      <c r="J72" s="1037"/>
      <c r="K72" s="209">
        <f>(D72-D55)/D55</f>
        <v>0.17903767251025737</v>
      </c>
      <c r="L72" s="179">
        <f t="shared" si="11"/>
        <v>0.17738160815770998</v>
      </c>
    </row>
    <row r="73" spans="1:60" ht="13.8" x14ac:dyDescent="0.25">
      <c r="A73" s="981"/>
      <c r="B73" t="s">
        <v>1178</v>
      </c>
      <c r="C73" s="160">
        <v>55230</v>
      </c>
      <c r="D73" s="161">
        <v>414</v>
      </c>
      <c r="E73" s="161">
        <f>D73*$R$23*$E$6/1000</f>
        <v>208.65601663079968</v>
      </c>
      <c r="F73" s="161">
        <f>D73*(($S$23*$E$6+($T$23+$Y$23)*$F$6))/1000</f>
        <v>22.210188711777491</v>
      </c>
      <c r="G73" s="163">
        <f t="shared" si="12"/>
        <v>230.86620534257719</v>
      </c>
      <c r="H73" s="200">
        <f>G72+G73</f>
        <v>909.85579782902664</v>
      </c>
      <c r="I73" s="200">
        <f>I72+D73</f>
        <v>3921</v>
      </c>
      <c r="J73" s="1037"/>
      <c r="K73" s="209">
        <f>(D73-D56)/D56</f>
        <v>-0.12473572938689217</v>
      </c>
      <c r="L73" s="179">
        <f t="shared" si="11"/>
        <v>-0.12473572938689208</v>
      </c>
    </row>
    <row r="74" spans="1:60" ht="22.8" x14ac:dyDescent="0.4">
      <c r="A74" s="981"/>
      <c r="B74" t="s">
        <v>1179</v>
      </c>
      <c r="C74" s="160">
        <v>1471</v>
      </c>
      <c r="D74" s="161">
        <v>8</v>
      </c>
      <c r="E74" s="161">
        <f>D74*$R$24*$E$6/1000</f>
        <v>1.1200000000000001</v>
      </c>
      <c r="F74" s="161">
        <f>D74*(($S$24*$E$6+($T$24+$Y$24)*$F$6))/1000</f>
        <v>0.34291430023520003</v>
      </c>
      <c r="G74" s="163">
        <f t="shared" si="12"/>
        <v>1.4629143002352001</v>
      </c>
      <c r="H74" s="200">
        <f>SUM(G72:G74)</f>
        <v>911.31871212926183</v>
      </c>
      <c r="I74" s="200">
        <f>D74+I73</f>
        <v>3929</v>
      </c>
      <c r="J74" s="1037"/>
      <c r="K74" s="209">
        <f>(D74-D57)/D57</f>
        <v>-0.77777777777777779</v>
      </c>
      <c r="L74" s="179">
        <f t="shared" si="11"/>
        <v>-0.77777777777777779</v>
      </c>
      <c r="O74" s="444" t="s">
        <v>44</v>
      </c>
    </row>
    <row r="75" spans="1:60" ht="14.4" thickBot="1" x14ac:dyDescent="0.3">
      <c r="A75" s="1036"/>
      <c r="B75" t="s">
        <v>1181</v>
      </c>
      <c r="C75" s="168">
        <v>970847</v>
      </c>
      <c r="D75" s="169">
        <v>73053</v>
      </c>
      <c r="E75" s="161">
        <f>D75*$R$25*$E$6/1000</f>
        <v>40.909655454191999</v>
      </c>
      <c r="F75" s="161">
        <f>D75*(($S$25*$E$6+($T$25+$Y$25)*$F$6))/1000</f>
        <v>406.28289470431224</v>
      </c>
      <c r="G75" s="204">
        <f t="shared" si="12"/>
        <v>447.19255015850422</v>
      </c>
      <c r="H75" s="200">
        <f>SUM(G72:G75)+G68+G64</f>
        <v>1710.0061987558631</v>
      </c>
      <c r="I75" s="200">
        <f>I74+D75</f>
        <v>76982</v>
      </c>
      <c r="J75" s="1037"/>
      <c r="K75" s="209">
        <f>(D75-D58)/D58</f>
        <v>-1.3357283703843764E-2</v>
      </c>
      <c r="L75" s="179">
        <f t="shared" si="11"/>
        <v>-1.3357283703843949E-2</v>
      </c>
      <c r="T75" s="16" t="s">
        <v>1202</v>
      </c>
      <c r="U75" s="821">
        <v>2023</v>
      </c>
      <c r="V75" s="821"/>
      <c r="W75" s="821"/>
      <c r="X75" s="633" t="s">
        <v>1203</v>
      </c>
      <c r="Y75" s="633" t="s">
        <v>1204</v>
      </c>
      <c r="Z75" s="633" t="s">
        <v>1205</v>
      </c>
    </row>
    <row r="76" spans="1:60" ht="14.4" thickBot="1" x14ac:dyDescent="0.3">
      <c r="A76" s="172" t="s">
        <v>3</v>
      </c>
      <c r="B76" s="173">
        <f>A60</f>
        <v>2019</v>
      </c>
      <c r="C76" s="174">
        <f>SUM(C72:C75)</f>
        <v>1062494</v>
      </c>
      <c r="D76" s="174"/>
      <c r="E76" s="205">
        <f>SUM(E72:E75)+E68+E64</f>
        <v>664.87614474288148</v>
      </c>
      <c r="F76" s="205">
        <f>SUM(F72:F75)+F68+F64</f>
        <v>1045.1300540129819</v>
      </c>
      <c r="G76" s="175">
        <f t="shared" ref="G76:G86" si="13">E76+F76</f>
        <v>1710.0061987558634</v>
      </c>
      <c r="H76" s="175">
        <f>H75</f>
        <v>1710.0061987558631</v>
      </c>
      <c r="I76" s="175">
        <f>SUM(I72:I75)</f>
        <v>88339</v>
      </c>
      <c r="J76" s="1038"/>
      <c r="K76" s="190">
        <f>(I76-I59)/I59</f>
        <v>7.0233469646680338E-4</v>
      </c>
      <c r="L76" s="191">
        <f>(G76-G59)/G59</f>
        <v>1.0866305697042075E-2</v>
      </c>
      <c r="P76" s="38" t="s">
        <v>1206</v>
      </c>
      <c r="T76" s="813" t="s">
        <v>1207</v>
      </c>
      <c r="U76" s="1099" t="s">
        <v>1208</v>
      </c>
      <c r="V76" s="1100"/>
      <c r="W76" s="1101"/>
      <c r="X76" s="822">
        <v>0</v>
      </c>
      <c r="Y76" s="823">
        <v>1594.5</v>
      </c>
      <c r="Z76" s="822">
        <f>Y76*X76</f>
        <v>0</v>
      </c>
      <c r="AB76" s="16" t="s">
        <v>1209</v>
      </c>
    </row>
    <row r="77" spans="1:60" ht="13.8" x14ac:dyDescent="0.25">
      <c r="A77" s="981">
        <v>2020</v>
      </c>
      <c r="B77" t="s">
        <v>1154</v>
      </c>
      <c r="C77" s="152">
        <v>315791</v>
      </c>
      <c r="D77" s="153">
        <v>139</v>
      </c>
      <c r="E77" s="153">
        <f>D77*$R$10*$E$6/1000</f>
        <v>43.386529839469837</v>
      </c>
      <c r="F77" s="153">
        <f>D77*(($S$10*$E$6+($T$10+$Y$10)*$F$6))/1000</f>
        <v>8.3099644305230616</v>
      </c>
      <c r="G77" s="491">
        <f t="shared" si="13"/>
        <v>51.696494269992897</v>
      </c>
      <c r="H77" s="199">
        <f>G77</f>
        <v>51.696494269992897</v>
      </c>
      <c r="I77" s="199"/>
      <c r="J77" s="1037" t="str">
        <f>"Milli áranna "&amp; $A60 &amp;" og "&amp; $A77</f>
        <v>Milli áranna 2019 og 2020</v>
      </c>
      <c r="K77" s="208"/>
      <c r="L77" s="179">
        <f>(G77-G60)/G60</f>
        <v>0.49462365591397828</v>
      </c>
      <c r="O77" t="s">
        <v>1210</v>
      </c>
      <c r="P77">
        <v>56009</v>
      </c>
      <c r="T77" s="814">
        <v>8</v>
      </c>
      <c r="U77" s="1096" t="s">
        <v>1211</v>
      </c>
      <c r="V77" s="1097"/>
      <c r="W77" s="1098"/>
      <c r="X77" s="821">
        <v>5.7</v>
      </c>
      <c r="Y77" s="824">
        <v>15600.7</v>
      </c>
      <c r="Z77" s="824">
        <f t="shared" ref="Z77:Z88" si="14">Y77*X77</f>
        <v>88923.99</v>
      </c>
    </row>
    <row r="78" spans="1:60" ht="13.8" x14ac:dyDescent="0.25">
      <c r="A78" s="981"/>
      <c r="B78" t="s">
        <v>1162</v>
      </c>
      <c r="C78" s="160">
        <v>11002</v>
      </c>
      <c r="D78" s="161">
        <v>16</v>
      </c>
      <c r="E78" s="161">
        <f>D78*$R$11*$E$6/1000</f>
        <v>5.3513644432945222</v>
      </c>
      <c r="F78" s="161">
        <f>D78*(($S$11*$E$6+($T$11+$Y$11)*$F$6))/1000</f>
        <v>1.2455433442641151</v>
      </c>
      <c r="G78" s="492">
        <f t="shared" si="13"/>
        <v>6.5969077875586368</v>
      </c>
      <c r="H78" s="200">
        <f>G78+G77</f>
        <v>58.293402057551532</v>
      </c>
      <c r="I78" s="200"/>
      <c r="J78" s="1037"/>
      <c r="K78" s="209"/>
      <c r="L78" s="179">
        <f t="shared" ref="L78:L92" si="15">(G78-G61)/G61</f>
        <v>0.45454545454545436</v>
      </c>
      <c r="O78" t="s">
        <v>1212</v>
      </c>
      <c r="P78">
        <v>10587</v>
      </c>
      <c r="T78" s="813">
        <v>10</v>
      </c>
      <c r="U78" s="1096" t="s">
        <v>1213</v>
      </c>
      <c r="V78" s="1097"/>
      <c r="W78" s="1098"/>
      <c r="X78" s="821">
        <v>3.4</v>
      </c>
      <c r="Y78" s="824">
        <v>130.19999999999999</v>
      </c>
      <c r="Z78" s="824">
        <f t="shared" si="14"/>
        <v>442.67999999999995</v>
      </c>
      <c r="AA78" s="16"/>
      <c r="BG78">
        <f>-0.34+0.37</f>
        <v>2.9999999999999971E-2</v>
      </c>
      <c r="BH78">
        <f>BG78*3.664</f>
        <v>0.10991999999999989</v>
      </c>
    </row>
    <row r="79" spans="1:60" ht="13.8" x14ac:dyDescent="0.25">
      <c r="A79" s="981"/>
      <c r="B79" t="s">
        <v>1164</v>
      </c>
      <c r="C79" s="160">
        <f>75108</f>
        <v>75108</v>
      </c>
      <c r="D79" s="161">
        <f>65</f>
        <v>65</v>
      </c>
      <c r="E79" s="161">
        <f>D79*$R$12*$E$6/1000</f>
        <v>17.197559973245543</v>
      </c>
      <c r="F79" s="161">
        <f>D79*(($S$12*$E$6+($T$12+$Y$12)*$F$6))/1000</f>
        <v>2.5833912434268052</v>
      </c>
      <c r="G79" s="492">
        <f t="shared" si="13"/>
        <v>19.780951216672349</v>
      </c>
      <c r="H79" s="200">
        <f>G79+G78+G77</f>
        <v>78.074353274223881</v>
      </c>
      <c r="I79" s="200"/>
      <c r="J79" s="1037"/>
      <c r="K79" s="209"/>
      <c r="L79" s="179">
        <f t="shared" si="15"/>
        <v>0.91176470588235348</v>
      </c>
      <c r="O79" s="39" t="s">
        <v>3</v>
      </c>
      <c r="P79" s="39">
        <f>P77-P78</f>
        <v>45422</v>
      </c>
      <c r="T79" s="814">
        <v>12</v>
      </c>
      <c r="U79" s="1099" t="s">
        <v>1214</v>
      </c>
      <c r="V79" s="1100"/>
      <c r="W79" s="1101"/>
      <c r="X79" s="822">
        <v>0</v>
      </c>
      <c r="Y79" s="823">
        <v>132.1</v>
      </c>
      <c r="Z79" s="823">
        <f t="shared" si="14"/>
        <v>0</v>
      </c>
    </row>
    <row r="80" spans="1:60" ht="13.8" x14ac:dyDescent="0.25">
      <c r="A80" s="981"/>
      <c r="B80" t="s">
        <v>1166</v>
      </c>
      <c r="C80" s="160">
        <f>75108*3</f>
        <v>225324</v>
      </c>
      <c r="D80" s="161">
        <f>65*3</f>
        <v>195</v>
      </c>
      <c r="E80" s="161">
        <f>D80*$R$13*$E$6/1000</f>
        <v>25.51878350046551</v>
      </c>
      <c r="F80" s="161">
        <f>D80*(($S$13*$E$6+($T$13+$Y$13)*$F$6))/1000</f>
        <v>1.2691233926546759</v>
      </c>
      <c r="G80" s="492">
        <f t="shared" si="13"/>
        <v>26.787906893120187</v>
      </c>
      <c r="H80" s="200">
        <f>SUM(G77:G80)</f>
        <v>104.86226016734406</v>
      </c>
      <c r="I80" s="200"/>
      <c r="J80" s="1037"/>
      <c r="K80" s="209"/>
      <c r="L80" s="179">
        <f t="shared" si="15"/>
        <v>0.91176470588235303</v>
      </c>
      <c r="T80" s="814"/>
      <c r="U80" s="1099" t="s">
        <v>1215</v>
      </c>
      <c r="V80" s="1100"/>
      <c r="W80" s="1101"/>
      <c r="X80" s="822">
        <v>0</v>
      </c>
      <c r="Y80" s="823"/>
      <c r="Z80" s="823">
        <f t="shared" si="14"/>
        <v>0</v>
      </c>
      <c r="BG80">
        <f>-(3.3-1.25+0.33-0.37)</f>
        <v>-2.0099999999999998</v>
      </c>
      <c r="BH80">
        <f>BG80*3.664</f>
        <v>-7.3646399999999996</v>
      </c>
    </row>
    <row r="81" spans="1:27" ht="13.8" x14ac:dyDescent="0.25">
      <c r="A81" s="981"/>
      <c r="B81" t="s">
        <v>1167</v>
      </c>
      <c r="C81" s="160">
        <f>SUM(C77:C80)</f>
        <v>627225</v>
      </c>
      <c r="D81" s="161">
        <f>SUM(D77:D80)</f>
        <v>415</v>
      </c>
      <c r="E81" s="161">
        <f>SUM(E77:E80)</f>
        <v>91.454237756475408</v>
      </c>
      <c r="F81" s="161">
        <f>SUM(F77:F80)</f>
        <v>13.408022410868657</v>
      </c>
      <c r="G81" s="492">
        <f t="shared" si="13"/>
        <v>104.86226016734406</v>
      </c>
      <c r="H81" s="200">
        <f>G81</f>
        <v>104.86226016734406</v>
      </c>
      <c r="I81" s="200">
        <f>D81</f>
        <v>415</v>
      </c>
      <c r="J81" s="1037"/>
      <c r="K81" s="209">
        <f>(D81-D64)/D64</f>
        <v>0.72916666666666663</v>
      </c>
      <c r="L81" s="179">
        <f t="shared" si="15"/>
        <v>0.65182235202740446</v>
      </c>
      <c r="T81" s="814">
        <v>14</v>
      </c>
      <c r="U81" s="1099" t="s">
        <v>1216</v>
      </c>
      <c r="V81" s="1100"/>
      <c r="W81" s="1101"/>
      <c r="X81" s="825">
        <v>0</v>
      </c>
      <c r="Y81" s="823">
        <v>4039.1</v>
      </c>
      <c r="Z81" s="823">
        <f t="shared" si="14"/>
        <v>0</v>
      </c>
    </row>
    <row r="82" spans="1:27" ht="13.8" x14ac:dyDescent="0.25">
      <c r="A82" s="981"/>
      <c r="B82" t="s">
        <v>1168</v>
      </c>
      <c r="C82" s="160">
        <v>25785</v>
      </c>
      <c r="D82" s="161">
        <v>49</v>
      </c>
      <c r="E82" s="161">
        <f>D82*$R$15*$E$6/1000</f>
        <v>149.77505914</v>
      </c>
      <c r="F82" s="161">
        <f>D82*(($S$15*$E$6+($T$15+$Y$15)*$F$6))/1000</f>
        <v>45.002651510642387</v>
      </c>
      <c r="G82" s="492">
        <f t="shared" si="13"/>
        <v>194.77771065064238</v>
      </c>
      <c r="H82" s="200">
        <f>G82+G81</f>
        <v>299.63997081798641</v>
      </c>
      <c r="I82" s="200"/>
      <c r="J82" s="1037"/>
      <c r="K82" s="209"/>
      <c r="L82" s="179">
        <f t="shared" si="15"/>
        <v>-7.5471698113207697E-2</v>
      </c>
      <c r="T82" s="814">
        <v>2</v>
      </c>
      <c r="U82" s="1096" t="s">
        <v>1217</v>
      </c>
      <c r="V82" s="1097"/>
      <c r="W82" s="1098"/>
      <c r="X82" s="821">
        <v>-2.2999999999999998</v>
      </c>
      <c r="Y82" s="824">
        <v>1708</v>
      </c>
      <c r="Z82" s="824">
        <f t="shared" si="14"/>
        <v>-3928.3999999999996</v>
      </c>
      <c r="AA82" s="96">
        <f>Y82/Y91</f>
        <v>6.2423478244979257E-2</v>
      </c>
    </row>
    <row r="83" spans="1:27" ht="13.8" x14ac:dyDescent="0.25">
      <c r="A83" s="981"/>
      <c r="B83" t="s">
        <v>1169</v>
      </c>
      <c r="C83" s="160">
        <v>22829</v>
      </c>
      <c r="D83" s="161">
        <v>19</v>
      </c>
      <c r="E83" s="161">
        <f>D83*$R$16*$E$6/1000</f>
        <v>39.237740605980001</v>
      </c>
      <c r="F83" s="161">
        <f>D83*(($S$16*$E$6+($T$16+$Y$16)*$F$6))/1000</f>
        <v>2.1098766726491358</v>
      </c>
      <c r="G83" s="492">
        <f t="shared" si="13"/>
        <v>41.347617278629137</v>
      </c>
      <c r="H83" s="200">
        <f>G83+G82+G81</f>
        <v>340.98758809661558</v>
      </c>
      <c r="I83" s="200"/>
      <c r="J83" s="1037"/>
      <c r="K83" s="209"/>
      <c r="L83" s="179">
        <f t="shared" si="15"/>
        <v>0.72727272727272729</v>
      </c>
      <c r="T83" s="814">
        <v>1</v>
      </c>
      <c r="U83" s="1096" t="s">
        <v>1218</v>
      </c>
      <c r="V83" s="1097"/>
      <c r="W83" s="1098"/>
      <c r="X83" s="821">
        <v>-0.3</v>
      </c>
      <c r="Y83" s="824">
        <v>173.5</v>
      </c>
      <c r="Z83" s="824">
        <f t="shared" si="14"/>
        <v>-52.05</v>
      </c>
      <c r="AA83" s="96">
        <f>Y83/Y91</f>
        <v>6.3410266250022839E-3</v>
      </c>
    </row>
    <row r="84" spans="1:27" ht="13.8" x14ac:dyDescent="0.25">
      <c r="A84" s="981"/>
      <c r="B84" t="s">
        <v>1171</v>
      </c>
      <c r="C84" s="160">
        <v>32122</v>
      </c>
      <c r="D84" s="161">
        <v>36</v>
      </c>
      <c r="E84" s="161">
        <f>D84*$R$17*$E$6/1000</f>
        <v>35.707626158399997</v>
      </c>
      <c r="F84" s="161">
        <f>D84*(($S$17*$E$6+($T$17+$Y$17)*$F$6))/1000</f>
        <v>10.060493232201805</v>
      </c>
      <c r="G84" s="493">
        <f t="shared" si="13"/>
        <v>45.768119390601804</v>
      </c>
      <c r="H84" s="200">
        <f>G84+G83+G82+G81</f>
        <v>386.75570748721736</v>
      </c>
      <c r="I84" s="200"/>
      <c r="J84" s="1037"/>
      <c r="K84" s="209"/>
      <c r="L84" s="179">
        <f t="shared" si="15"/>
        <v>-0.14285714285714277</v>
      </c>
      <c r="T84" s="814">
        <v>4</v>
      </c>
      <c r="U84" s="1096" t="s">
        <v>1219</v>
      </c>
      <c r="V84" s="1097"/>
      <c r="W84" s="1098"/>
      <c r="X84" s="821">
        <v>-0.3</v>
      </c>
      <c r="Y84" s="824">
        <v>660.4</v>
      </c>
      <c r="Z84" s="824">
        <f t="shared" si="14"/>
        <v>-198.11999999999998</v>
      </c>
      <c r="AA84" s="96">
        <f>Y84/Y91</f>
        <v>2.4136103649288233E-2</v>
      </c>
    </row>
    <row r="85" spans="1:27" ht="13.8" x14ac:dyDescent="0.25">
      <c r="A85" s="981"/>
      <c r="B85" t="s">
        <v>1173</v>
      </c>
      <c r="C85" s="160">
        <f>SUM(C82:C84)</f>
        <v>80736</v>
      </c>
      <c r="D85" s="160">
        <f>SUM(D82:D84)</f>
        <v>104</v>
      </c>
      <c r="E85" s="161">
        <f>SUM(E82:E84)</f>
        <v>224.72042590437999</v>
      </c>
      <c r="F85" s="161">
        <f>SUM(F82:F84)</f>
        <v>57.173021415493331</v>
      </c>
      <c r="G85" s="493">
        <f t="shared" si="13"/>
        <v>281.8934473198733</v>
      </c>
      <c r="H85" s="200">
        <f>G85+G81</f>
        <v>386.75570748721736</v>
      </c>
      <c r="I85" s="200">
        <f>D85+I81</f>
        <v>519</v>
      </c>
      <c r="J85" s="1037"/>
      <c r="K85" s="209">
        <f>(D85-D68)/D68</f>
        <v>-1.8867924528301886E-2</v>
      </c>
      <c r="L85" s="179">
        <f t="shared" si="15"/>
        <v>-2.1244651600705773E-2</v>
      </c>
      <c r="T85" s="814">
        <v>3</v>
      </c>
      <c r="U85" s="1096" t="s">
        <v>1220</v>
      </c>
      <c r="V85" s="1097"/>
      <c r="W85" s="1098"/>
      <c r="X85" s="821">
        <v>-0.3</v>
      </c>
      <c r="Y85" s="824">
        <v>8</v>
      </c>
      <c r="Z85" s="824">
        <f t="shared" si="14"/>
        <v>-2.4</v>
      </c>
      <c r="AA85" s="41">
        <f>SUM(Z82:Z85)</f>
        <v>-4180.9699999999993</v>
      </c>
    </row>
    <row r="86" spans="1:27" ht="13.8" x14ac:dyDescent="0.25">
      <c r="A86" s="981"/>
      <c r="B86" t="s">
        <v>1174</v>
      </c>
      <c r="C86" s="160">
        <v>42</v>
      </c>
      <c r="D86" s="161">
        <v>11</v>
      </c>
      <c r="E86" s="161">
        <f>D86*$R$20*$E$6/1000</f>
        <v>0.46200000000000002</v>
      </c>
      <c r="F86" s="161">
        <f>D86*(($S$20*$E$6+($T$20+$Y$19)*$F$6))/1000</f>
        <v>1.9533335249999999</v>
      </c>
      <c r="G86" s="493">
        <f t="shared" si="13"/>
        <v>2.4153335249999999</v>
      </c>
      <c r="H86" s="200">
        <f>H85+G86</f>
        <v>389.17104101221736</v>
      </c>
      <c r="I86" s="200"/>
      <c r="J86" s="1037"/>
      <c r="K86" s="209"/>
      <c r="L86" s="179">
        <f t="shared" si="15"/>
        <v>0.10000000000000002</v>
      </c>
      <c r="T86" s="814">
        <v>13</v>
      </c>
      <c r="U86" s="1099" t="s">
        <v>1221</v>
      </c>
      <c r="V86" s="1100"/>
      <c r="W86" s="1101"/>
      <c r="X86" s="822">
        <v>0</v>
      </c>
      <c r="Y86" s="823">
        <v>132.30000000000001</v>
      </c>
      <c r="Z86" s="823">
        <f t="shared" si="14"/>
        <v>0</v>
      </c>
    </row>
    <row r="87" spans="1:27" ht="13.8" x14ac:dyDescent="0.25">
      <c r="A87" s="981"/>
      <c r="B87" t="s">
        <v>1175</v>
      </c>
      <c r="C87" s="160">
        <v>3021</v>
      </c>
      <c r="D87" s="161">
        <v>801</v>
      </c>
      <c r="E87" s="161">
        <f>D87*$R$20*$E$6/1000</f>
        <v>33.642000000000003</v>
      </c>
      <c r="F87" s="161">
        <f>D87*(($S$20*$E$6+($T$20+$Y$20)*$F$6))/1000</f>
        <v>142.23819577500001</v>
      </c>
      <c r="G87" s="492">
        <f t="shared" ref="G87:G92" si="16">E87+F87</f>
        <v>175.880195775</v>
      </c>
      <c r="H87" s="200">
        <f>G87+G85+G84+G86</f>
        <v>505.95709601047508</v>
      </c>
      <c r="I87" s="200"/>
      <c r="J87" s="1037"/>
      <c r="K87" s="209"/>
      <c r="L87" s="179">
        <f t="shared" si="15"/>
        <v>0</v>
      </c>
      <c r="T87" s="813" t="s">
        <v>1222</v>
      </c>
      <c r="U87" s="1096" t="s">
        <v>1223</v>
      </c>
      <c r="V87" s="1097"/>
      <c r="W87" s="1098"/>
      <c r="X87" s="821">
        <v>-2.1</v>
      </c>
      <c r="Y87" s="824">
        <v>0.2</v>
      </c>
      <c r="Z87" s="824">
        <f t="shared" si="14"/>
        <v>-0.42000000000000004</v>
      </c>
      <c r="AA87" s="41">
        <f>SUM(Z82:Z87)</f>
        <v>-4181.3899999999994</v>
      </c>
    </row>
    <row r="88" spans="1:27" ht="13.8" x14ac:dyDescent="0.25">
      <c r="A88" s="981"/>
      <c r="B88" t="s">
        <v>1176</v>
      </c>
      <c r="C88" s="160">
        <v>39505</v>
      </c>
      <c r="D88" s="161">
        <v>6650</v>
      </c>
      <c r="E88" s="161">
        <f>D88*$R$21*$E$6/1000</f>
        <v>279.3</v>
      </c>
      <c r="F88" s="161">
        <f>D88*(($S$21*$E$6+($T$21+$Y$21)*$F$6))/1000</f>
        <v>1138.1790208909106</v>
      </c>
      <c r="G88" s="492">
        <f t="shared" si="16"/>
        <v>1417.4790208909105</v>
      </c>
      <c r="H88" s="200">
        <f>G88+G84+G86</f>
        <v>1465.6624738065125</v>
      </c>
      <c r="I88" s="200"/>
      <c r="J88" s="1037"/>
      <c r="K88" s="209">
        <f>(D88-D71)/D71</f>
        <v>1.8297872340425532</v>
      </c>
      <c r="L88" s="179">
        <f t="shared" si="15"/>
        <v>1.8297872340425532</v>
      </c>
      <c r="T88" s="813">
        <v>7</v>
      </c>
      <c r="U88" s="1096" t="s">
        <v>1224</v>
      </c>
      <c r="V88" s="1097"/>
      <c r="W88" s="1098"/>
      <c r="X88" s="821">
        <v>5.7</v>
      </c>
      <c r="Y88" s="824">
        <v>2038</v>
      </c>
      <c r="Z88" s="824">
        <f t="shared" si="14"/>
        <v>11616.6</v>
      </c>
    </row>
    <row r="89" spans="1:27" ht="13.8" x14ac:dyDescent="0.25">
      <c r="A89" s="981"/>
      <c r="B89" t="s">
        <v>1177</v>
      </c>
      <c r="C89" s="160">
        <f>SUM(C86:C88)</f>
        <v>42568</v>
      </c>
      <c r="D89" s="161">
        <f>SUM(D86:D88)</f>
        <v>7462</v>
      </c>
      <c r="E89" s="161">
        <f>SUM(E86:E88)</f>
        <v>313.404</v>
      </c>
      <c r="F89" s="161">
        <f>SUM(F86:F88)</f>
        <v>1282.3705501909105</v>
      </c>
      <c r="G89" s="492">
        <f t="shared" si="16"/>
        <v>1595.7745501909105</v>
      </c>
      <c r="H89" s="200">
        <f>G89</f>
        <v>1595.7745501909105</v>
      </c>
      <c r="I89" s="200">
        <f>D89+I85</f>
        <v>7981</v>
      </c>
      <c r="J89" s="1037"/>
      <c r="K89" s="209">
        <f>(D89-D72)/D72</f>
        <v>1.3606453653906991</v>
      </c>
      <c r="L89" s="179">
        <f t="shared" si="15"/>
        <v>1.3502194552750191</v>
      </c>
      <c r="T89" s="813">
        <v>15</v>
      </c>
      <c r="U89" s="1096" t="s">
        <v>1225</v>
      </c>
      <c r="V89" s="1097"/>
      <c r="W89" s="1098"/>
      <c r="X89" s="821">
        <v>13.4</v>
      </c>
      <c r="Y89" s="826">
        <v>310.39999999999998</v>
      </c>
      <c r="Z89" s="824">
        <f>Y89*X89</f>
        <v>4159.3599999999997</v>
      </c>
      <c r="AA89" s="16"/>
    </row>
    <row r="90" spans="1:27" ht="14.4" thickBot="1" x14ac:dyDescent="0.3">
      <c r="A90" s="981"/>
      <c r="B90" t="s">
        <v>1178</v>
      </c>
      <c r="C90" s="160">
        <v>58535</v>
      </c>
      <c r="D90" s="161">
        <v>464</v>
      </c>
      <c r="E90" s="161">
        <f>D90*$R$23*$E$6/1000</f>
        <v>233.85601863935037</v>
      </c>
      <c r="F90" s="161">
        <f>D90*(($S$23*$E$6+($T$23+$Y$23)*$F$6))/1000</f>
        <v>24.89257865281342</v>
      </c>
      <c r="G90" s="492">
        <f t="shared" si="16"/>
        <v>258.74859729216377</v>
      </c>
      <c r="H90" s="200">
        <f>G89+G90</f>
        <v>1854.5231474830744</v>
      </c>
      <c r="I90" s="200">
        <f>I89+D90</f>
        <v>8445</v>
      </c>
      <c r="J90" s="1037"/>
      <c r="K90" s="209">
        <f>(D90-D73)/D73</f>
        <v>0.12077294685990338</v>
      </c>
      <c r="L90" s="179">
        <f t="shared" si="15"/>
        <v>0.12077294685990321</v>
      </c>
      <c r="T90" s="813">
        <v>16</v>
      </c>
      <c r="U90" s="1096" t="s">
        <v>1226</v>
      </c>
      <c r="V90" s="1097"/>
      <c r="W90" s="1098"/>
      <c r="X90" s="821">
        <v>13.6</v>
      </c>
      <c r="Y90" s="826">
        <v>834.1</v>
      </c>
      <c r="Z90" s="959">
        <f>Y90*X90</f>
        <v>11343.76</v>
      </c>
      <c r="AA90" s="16"/>
    </row>
    <row r="91" spans="1:27" ht="14.4" thickBot="1" x14ac:dyDescent="0.3">
      <c r="A91" s="981"/>
      <c r="B91" t="s">
        <v>1179</v>
      </c>
      <c r="C91" s="160">
        <v>1621</v>
      </c>
      <c r="D91" s="161">
        <v>36</v>
      </c>
      <c r="E91" s="161">
        <f>D91*$R$24*$E$6/1000</f>
        <v>5.04</v>
      </c>
      <c r="F91" s="161">
        <f>D91*(($S$24*$E$6+($T$24+$Y$24)*$F$6))/1000</f>
        <v>1.5431143510584002</v>
      </c>
      <c r="G91" s="492">
        <f t="shared" si="16"/>
        <v>6.5831143510584003</v>
      </c>
      <c r="H91" s="200">
        <f>SUM(G89:G91)</f>
        <v>1861.1062618341327</v>
      </c>
      <c r="I91" s="200">
        <f>D91+I90</f>
        <v>8481</v>
      </c>
      <c r="J91" s="1037"/>
      <c r="K91" s="209">
        <f>(D91-D74)/D74</f>
        <v>3.5</v>
      </c>
      <c r="L91" s="179">
        <f t="shared" si="15"/>
        <v>3.5</v>
      </c>
      <c r="U91" s="1096" t="s">
        <v>3</v>
      </c>
      <c r="V91" s="1097"/>
      <c r="W91" s="1098"/>
      <c r="X91" s="821"/>
      <c r="Y91" s="960">
        <f>SUM(Y76:Y90)</f>
        <v>27361.5</v>
      </c>
      <c r="Z91" s="816">
        <f>SUM(Z75:Z90)</f>
        <v>112305.00000000001</v>
      </c>
      <c r="AA91" s="41">
        <f>Z91-AA87</f>
        <v>116486.39000000001</v>
      </c>
    </row>
    <row r="92" spans="1:27" ht="14.4" thickBot="1" x14ac:dyDescent="0.3">
      <c r="A92" s="1036"/>
      <c r="B92" t="s">
        <v>1181</v>
      </c>
      <c r="C92" s="168">
        <v>840842</v>
      </c>
      <c r="D92" s="169">
        <v>66089</v>
      </c>
      <c r="E92" s="161">
        <f>D92*$R$25*$E$6/1000</f>
        <v>37.009817794096001</v>
      </c>
      <c r="F92" s="161">
        <f>D92*(($S$25*$E$6+($T$25+$Y$25)*$F$6))/1000</f>
        <v>367.55273880762314</v>
      </c>
      <c r="G92" s="494">
        <f t="shared" si="16"/>
        <v>404.56255660171917</v>
      </c>
      <c r="H92" s="200">
        <f>SUM(G89:G92)+G85+G81</f>
        <v>2652.4245259230693</v>
      </c>
      <c r="I92" s="200">
        <f>I91+D92</f>
        <v>74570</v>
      </c>
      <c r="J92" s="1037"/>
      <c r="K92" s="209">
        <f>(D92-D75)/D75</f>
        <v>-9.5328049498309447E-2</v>
      </c>
      <c r="L92" s="179">
        <f t="shared" si="15"/>
        <v>-9.5328049498309295E-2</v>
      </c>
      <c r="Z92" s="815">
        <f>27361-Y93</f>
        <v>-0.5</v>
      </c>
    </row>
    <row r="93" spans="1:27" ht="14.4" thickBot="1" x14ac:dyDescent="0.3">
      <c r="A93" s="172" t="s">
        <v>3</v>
      </c>
      <c r="B93" s="173">
        <f>A77</f>
        <v>2020</v>
      </c>
      <c r="C93" s="174">
        <f>SUM(C89:C92)</f>
        <v>943566</v>
      </c>
      <c r="D93" s="174"/>
      <c r="E93" s="205">
        <f>SUM(E89:E92)+E85+E81</f>
        <v>905.48450009430178</v>
      </c>
      <c r="F93" s="205">
        <f>SUM(F89:F92)+F85+F81</f>
        <v>1746.9400258287676</v>
      </c>
      <c r="G93" s="495">
        <f t="shared" ref="G93:G103" si="17">E93+F93</f>
        <v>2652.4245259230693</v>
      </c>
      <c r="H93" s="175">
        <f>H92</f>
        <v>2652.4245259230693</v>
      </c>
      <c r="I93" s="175">
        <f>SUM(I89:I92)</f>
        <v>99477</v>
      </c>
      <c r="J93" s="1038"/>
      <c r="K93" s="190">
        <f>(I93-I76)/I76</f>
        <v>0.12608247772784387</v>
      </c>
      <c r="L93" s="191">
        <f>(G93-G76)/G76</f>
        <v>0.5511198309414751</v>
      </c>
      <c r="Y93">
        <f>SUM(Y76:Y90)</f>
        <v>27361.5</v>
      </c>
      <c r="Z93" s="16" t="s">
        <v>1227</v>
      </c>
      <c r="AA93">
        <f>Y89+Y90</f>
        <v>1144.5</v>
      </c>
    </row>
    <row r="94" spans="1:27" ht="13.8" x14ac:dyDescent="0.25">
      <c r="A94" s="981">
        <v>2021</v>
      </c>
      <c r="B94" t="s">
        <v>1154</v>
      </c>
      <c r="C94" s="152">
        <v>301073</v>
      </c>
      <c r="D94" s="153">
        <v>139</v>
      </c>
      <c r="E94" s="153">
        <f>D94*$R$10*$E$6/1000</f>
        <v>43.386529839469837</v>
      </c>
      <c r="F94" s="153">
        <f>D94*(($S$10*$E$6+($T$10+$Y$10)*$F$6))/1000</f>
        <v>8.3099644305230616</v>
      </c>
      <c r="G94" s="491">
        <f t="shared" si="17"/>
        <v>51.696494269992897</v>
      </c>
      <c r="H94" s="199">
        <f>G94</f>
        <v>51.696494269992897</v>
      </c>
      <c r="I94" s="199"/>
      <c r="J94" s="1037" t="str">
        <f>"Milli áranna "&amp; $A77 &amp;" og "&amp; $A94</f>
        <v>Milli áranna 2020 og 2021</v>
      </c>
      <c r="K94" s="208"/>
      <c r="L94" s="179">
        <f>(G94-G77)/G77</f>
        <v>0</v>
      </c>
      <c r="X94" s="16" t="s">
        <v>1228</v>
      </c>
      <c r="Y94">
        <v>27361</v>
      </c>
      <c r="Z94" s="16" t="s">
        <v>1227</v>
      </c>
    </row>
    <row r="95" spans="1:27" ht="13.8" x14ac:dyDescent="0.25">
      <c r="A95" s="981"/>
      <c r="B95" t="s">
        <v>1162</v>
      </c>
      <c r="C95" s="160">
        <v>10978</v>
      </c>
      <c r="D95" s="161">
        <v>16</v>
      </c>
      <c r="E95" s="161">
        <f>D95*$R$11*$E$6/1000</f>
        <v>5.3513644432945222</v>
      </c>
      <c r="F95" s="161">
        <f>D95*(($S$11*$E$6+($T$11+$Y$11)*$F$6))/1000</f>
        <v>1.2455433442641151</v>
      </c>
      <c r="G95" s="492">
        <f t="shared" si="17"/>
        <v>6.5969077875586368</v>
      </c>
      <c r="H95" s="200">
        <f>G95+G94</f>
        <v>58.293402057551532</v>
      </c>
      <c r="I95" s="200"/>
      <c r="J95" s="1037"/>
      <c r="K95" s="209"/>
      <c r="L95" s="179">
        <f t="shared" ref="L95:L109" si="18">(G95-G78)/G78</f>
        <v>0</v>
      </c>
      <c r="Z95" s="16" t="s">
        <v>1229</v>
      </c>
    </row>
    <row r="96" spans="1:27" ht="13.8" x14ac:dyDescent="0.25">
      <c r="A96" s="981"/>
      <c r="B96" t="s">
        <v>1164</v>
      </c>
      <c r="C96" s="160">
        <v>67063</v>
      </c>
      <c r="D96" s="161">
        <f>65</f>
        <v>65</v>
      </c>
      <c r="E96" s="161">
        <f>D96*$R$12*$E$6/1000</f>
        <v>17.197559973245543</v>
      </c>
      <c r="F96" s="161">
        <f>D96*(($S$12*$E$6+($T$12+$Y$12)*$F$6))/1000</f>
        <v>2.5833912434268052</v>
      </c>
      <c r="G96" s="492">
        <f t="shared" si="17"/>
        <v>19.780951216672349</v>
      </c>
      <c r="H96" s="200">
        <f>G96+G95+G94</f>
        <v>78.074353274223881</v>
      </c>
      <c r="I96" s="200"/>
      <c r="J96" s="1037"/>
      <c r="K96" s="209"/>
      <c r="L96" s="179">
        <f t="shared" si="18"/>
        <v>0</v>
      </c>
    </row>
    <row r="97" spans="1:55" ht="13.8" x14ac:dyDescent="0.25">
      <c r="A97" s="981"/>
      <c r="B97" t="s">
        <v>1166</v>
      </c>
      <c r="C97" s="160">
        <v>8133</v>
      </c>
      <c r="D97" s="161">
        <f>65*3</f>
        <v>195</v>
      </c>
      <c r="E97" s="161">
        <f>D97*$R$13*$E$6/1000</f>
        <v>25.51878350046551</v>
      </c>
      <c r="F97" s="161">
        <f>D97*(($S$13*$E$6+($T$13+$Y$13)*$F$6))/1000</f>
        <v>1.2691233926546759</v>
      </c>
      <c r="G97" s="492">
        <f t="shared" si="17"/>
        <v>26.787906893120187</v>
      </c>
      <c r="H97" s="200">
        <f>SUM(G94:G97)</f>
        <v>104.86226016734406</v>
      </c>
      <c r="I97" s="200"/>
      <c r="J97" s="1037"/>
      <c r="K97" s="209"/>
      <c r="L97" s="179">
        <f t="shared" si="18"/>
        <v>0</v>
      </c>
      <c r="X97" s="16" t="s">
        <v>1230</v>
      </c>
      <c r="Y97">
        <v>3002</v>
      </c>
    </row>
    <row r="98" spans="1:55" ht="13.8" x14ac:dyDescent="0.25">
      <c r="A98" s="981"/>
      <c r="B98" t="s">
        <v>1167</v>
      </c>
      <c r="C98" s="160">
        <f>SUM(C94:C97)</f>
        <v>387247</v>
      </c>
      <c r="D98" s="161">
        <f>SUM(D94:D97)</f>
        <v>415</v>
      </c>
      <c r="E98" s="161">
        <f>SUM(E94:E97)</f>
        <v>91.454237756475408</v>
      </c>
      <c r="F98" s="161">
        <f>SUM(F94:F97)</f>
        <v>13.408022410868657</v>
      </c>
      <c r="G98" s="492">
        <f t="shared" si="17"/>
        <v>104.86226016734406</v>
      </c>
      <c r="H98" s="200">
        <f>G98</f>
        <v>104.86226016734406</v>
      </c>
      <c r="I98" s="200">
        <f>D98</f>
        <v>415</v>
      </c>
      <c r="J98" s="1037"/>
      <c r="K98" s="209">
        <f>(D98-D81)/D81</f>
        <v>0</v>
      </c>
      <c r="L98" s="179">
        <f t="shared" si="18"/>
        <v>0</v>
      </c>
      <c r="Y98">
        <v>1059</v>
      </c>
      <c r="AH98">
        <f>173.5+1708+660.4</f>
        <v>2541.9</v>
      </c>
      <c r="AS98">
        <f>AS113+AS114+AS115+AS123</f>
        <v>2572.35</v>
      </c>
      <c r="AT98">
        <f t="shared" ref="AT98:AU98" si="19">AT113+AT114+AT115</f>
        <v>25.076999999999998</v>
      </c>
      <c r="AU98">
        <f t="shared" si="19"/>
        <v>0.10319862442986792</v>
      </c>
    </row>
    <row r="99" spans="1:55" ht="13.8" x14ac:dyDescent="0.25">
      <c r="A99" s="981"/>
      <c r="B99" t="s">
        <v>1168</v>
      </c>
      <c r="C99" s="160">
        <v>25896</v>
      </c>
      <c r="D99" s="161">
        <v>49</v>
      </c>
      <c r="E99" s="161">
        <f>D99*$R$15*$E$6/1000</f>
        <v>149.77505914</v>
      </c>
      <c r="F99" s="161">
        <f>D99*(($S$15*$E$6+($T$15+$Y$15)*$F$6))/1000</f>
        <v>45.002651510642387</v>
      </c>
      <c r="G99" s="492">
        <f t="shared" si="17"/>
        <v>194.77771065064238</v>
      </c>
      <c r="H99" s="200">
        <f>G99+G98</f>
        <v>299.63997081798641</v>
      </c>
      <c r="I99" s="200"/>
      <c r="J99" s="1037"/>
      <c r="K99" s="209"/>
      <c r="L99" s="179">
        <f t="shared" si="18"/>
        <v>0</v>
      </c>
      <c r="Y99">
        <v>1469</v>
      </c>
      <c r="AS99">
        <f>AS113/(SUM(AS113:AS115)+AS123)</f>
        <v>0.63463175695375817</v>
      </c>
    </row>
    <row r="100" spans="1:55" ht="13.8" x14ac:dyDescent="0.25">
      <c r="A100" s="981"/>
      <c r="B100" t="s">
        <v>1169</v>
      </c>
      <c r="C100" s="160">
        <v>22829</v>
      </c>
      <c r="D100" s="161">
        <v>19</v>
      </c>
      <c r="E100" s="161">
        <f>D100*$R$16*$E$6/1000</f>
        <v>39.237740605980001</v>
      </c>
      <c r="F100" s="161">
        <f>D100*(($S$16*$E$6+($T$16+$Y$16)*$F$6))/1000</f>
        <v>2.1098766726491358</v>
      </c>
      <c r="G100" s="492">
        <f t="shared" si="17"/>
        <v>41.347617278629137</v>
      </c>
      <c r="H100" s="200">
        <f>G100+G99+G98</f>
        <v>340.98758809661558</v>
      </c>
      <c r="I100" s="200"/>
      <c r="J100" s="1037"/>
      <c r="K100" s="209"/>
      <c r="L100" s="179">
        <f t="shared" si="18"/>
        <v>0</v>
      </c>
    </row>
    <row r="101" spans="1:55" ht="13.8" x14ac:dyDescent="0.25">
      <c r="A101" s="981"/>
      <c r="B101" t="s">
        <v>1171</v>
      </c>
      <c r="C101" s="160">
        <v>32122</v>
      </c>
      <c r="D101" s="161">
        <v>36</v>
      </c>
      <c r="E101" s="161">
        <f>D101*$R$17*$E$6/1000</f>
        <v>35.707626158399997</v>
      </c>
      <c r="F101" s="161">
        <f>D101*(($S$17*$E$6+($T$17+$Y$17)*$F$6))/1000</f>
        <v>10.060493232201805</v>
      </c>
      <c r="G101" s="493">
        <f t="shared" si="17"/>
        <v>45.768119390601804</v>
      </c>
      <c r="H101" s="200">
        <f>G101+G100+G99+G98</f>
        <v>386.75570748721736</v>
      </c>
      <c r="I101" s="200"/>
      <c r="J101" s="1037"/>
      <c r="K101" s="209"/>
      <c r="L101" s="179">
        <f t="shared" si="18"/>
        <v>0</v>
      </c>
    </row>
    <row r="102" spans="1:55" ht="13.8" x14ac:dyDescent="0.25">
      <c r="A102" s="981"/>
      <c r="B102" t="s">
        <v>1173</v>
      </c>
      <c r="C102" s="160">
        <f>SUM(C99:C101)</f>
        <v>80847</v>
      </c>
      <c r="D102" s="160">
        <f>SUM(D99:D101)</f>
        <v>104</v>
      </c>
      <c r="E102" s="161">
        <f>SUM(E99:E101)</f>
        <v>224.72042590437999</v>
      </c>
      <c r="F102" s="161">
        <f>SUM(F99:F101)</f>
        <v>57.173021415493331</v>
      </c>
      <c r="G102" s="493">
        <f t="shared" si="17"/>
        <v>281.8934473198733</v>
      </c>
      <c r="H102" s="200">
        <f>G102+G98</f>
        <v>386.75570748721736</v>
      </c>
      <c r="I102" s="200">
        <f>D102+I98</f>
        <v>519</v>
      </c>
      <c r="J102" s="1037"/>
      <c r="K102" s="209">
        <f>(D102-D85)/D85</f>
        <v>0</v>
      </c>
      <c r="L102" s="179">
        <f t="shared" si="18"/>
        <v>0</v>
      </c>
    </row>
    <row r="103" spans="1:55" ht="13.8" x14ac:dyDescent="0.25">
      <c r="A103" s="981"/>
      <c r="B103" t="s">
        <v>1174</v>
      </c>
      <c r="C103" s="160">
        <v>42</v>
      </c>
      <c r="D103" s="161">
        <v>11</v>
      </c>
      <c r="E103" s="161">
        <f>D103*$R$20*$E$6/1000</f>
        <v>0.46200000000000002</v>
      </c>
      <c r="F103" s="161">
        <f>D103*(($S$20*$E$6+($T$20+$Y$19)*$F$6))/1000</f>
        <v>1.9533335249999999</v>
      </c>
      <c r="G103" s="493">
        <f t="shared" si="17"/>
        <v>2.4153335249999999</v>
      </c>
      <c r="H103" s="200">
        <f>H102+G103</f>
        <v>389.17104101221736</v>
      </c>
      <c r="I103" s="200"/>
      <c r="J103" s="1037"/>
      <c r="K103" s="209"/>
      <c r="L103" s="179">
        <f t="shared" si="18"/>
        <v>0</v>
      </c>
      <c r="AE103">
        <v>2026</v>
      </c>
    </row>
    <row r="104" spans="1:55" ht="13.8" x14ac:dyDescent="0.25">
      <c r="A104" s="981"/>
      <c r="B104" t="s">
        <v>1175</v>
      </c>
      <c r="C104" s="160">
        <v>3021</v>
      </c>
      <c r="D104" s="161">
        <v>801</v>
      </c>
      <c r="E104" s="161">
        <f>D104*$R$20*$E$6/1000</f>
        <v>33.642000000000003</v>
      </c>
      <c r="F104" s="161">
        <f>D104*(($S$20*$E$6+($T$20+$Y$20)*$F$6))/1000</f>
        <v>142.23819577500001</v>
      </c>
      <c r="G104" s="492">
        <f t="shared" ref="G104:G109" si="20">E104+F104</f>
        <v>175.880195775</v>
      </c>
      <c r="H104" s="200">
        <f>G104+G102+G101+G103</f>
        <v>505.95709601047508</v>
      </c>
      <c r="I104" s="200"/>
      <c r="J104" s="1037"/>
      <c r="K104" s="209"/>
      <c r="L104" s="179">
        <f t="shared" si="18"/>
        <v>0</v>
      </c>
    </row>
    <row r="105" spans="1:55" ht="13.8" x14ac:dyDescent="0.25">
      <c r="A105" s="981"/>
      <c r="B105" t="s">
        <v>1176</v>
      </c>
      <c r="C105" s="160">
        <v>39505</v>
      </c>
      <c r="D105" s="161">
        <v>6650</v>
      </c>
      <c r="E105" s="161">
        <f>D105*$R$21*$E$6/1000</f>
        <v>279.3</v>
      </c>
      <c r="F105" s="161">
        <f>D105*(($S$21*$E$6+($T$21+$Y$21)*$F$6))/1000</f>
        <v>1138.1790208909106</v>
      </c>
      <c r="G105" s="492">
        <f t="shared" si="20"/>
        <v>1417.4790208909105</v>
      </c>
      <c r="H105" s="200">
        <f>G105+G101+G103</f>
        <v>1465.6624738065125</v>
      </c>
      <c r="I105" s="200"/>
      <c r="J105" s="1037"/>
      <c r="K105" s="209">
        <f>(D105-D88)/D88</f>
        <v>0</v>
      </c>
      <c r="L105" s="179">
        <f t="shared" si="18"/>
        <v>0</v>
      </c>
    </row>
    <row r="106" spans="1:55" ht="13.8" x14ac:dyDescent="0.25">
      <c r="A106" s="981"/>
      <c r="B106" t="s">
        <v>1177</v>
      </c>
      <c r="C106" s="160">
        <f>SUM(C103:C105)</f>
        <v>42568</v>
      </c>
      <c r="D106" s="161">
        <f>SUM(D103:D105)</f>
        <v>7462</v>
      </c>
      <c r="E106" s="161">
        <f>SUM(E103:E105)</f>
        <v>313.404</v>
      </c>
      <c r="F106" s="161">
        <f>SUM(F103:F105)</f>
        <v>1282.3705501909105</v>
      </c>
      <c r="G106" s="492">
        <f t="shared" si="20"/>
        <v>1595.7745501909105</v>
      </c>
      <c r="H106" s="200">
        <f>G106</f>
        <v>1595.7745501909105</v>
      </c>
      <c r="I106" s="200">
        <f>D106+I102</f>
        <v>7981</v>
      </c>
      <c r="J106" s="1037"/>
      <c r="K106" s="209">
        <f>(D106-D89)/D89</f>
        <v>0</v>
      </c>
      <c r="L106" s="179">
        <f t="shared" si="18"/>
        <v>0</v>
      </c>
    </row>
    <row r="107" spans="1:55" ht="13.8" x14ac:dyDescent="0.25">
      <c r="A107" s="981"/>
      <c r="B107" t="s">
        <v>1178</v>
      </c>
      <c r="C107" s="160">
        <v>58456</v>
      </c>
      <c r="D107" s="161">
        <v>464</v>
      </c>
      <c r="E107" s="161">
        <f>D107*$R$23*$E$6/1000</f>
        <v>233.85601863935037</v>
      </c>
      <c r="F107" s="161">
        <f>D107*(($S$23*$E$6+($T$23+$Y$23)*$F$6))/1000</f>
        <v>24.89257865281342</v>
      </c>
      <c r="G107" s="492">
        <f t="shared" si="20"/>
        <v>258.74859729216377</v>
      </c>
      <c r="H107" s="200">
        <f>G106+G107</f>
        <v>1854.5231474830744</v>
      </c>
      <c r="I107" s="200">
        <f>I106+D107</f>
        <v>8445</v>
      </c>
      <c r="J107" s="1037"/>
      <c r="K107" s="209">
        <f>(D107-D90)/D90</f>
        <v>0</v>
      </c>
      <c r="L107" s="179">
        <f t="shared" si="18"/>
        <v>0</v>
      </c>
      <c r="AQ107" t="s">
        <v>1231</v>
      </c>
      <c r="AR107" t="s">
        <v>438</v>
      </c>
      <c r="AS107" t="s">
        <v>1232</v>
      </c>
      <c r="AT107" t="s">
        <v>1233</v>
      </c>
      <c r="AU107" t="s">
        <v>1234</v>
      </c>
      <c r="AV107" t="s">
        <v>1235</v>
      </c>
      <c r="AW107" t="s">
        <v>1236</v>
      </c>
      <c r="AX107" t="s">
        <v>1237</v>
      </c>
      <c r="AY107" t="s">
        <v>1238</v>
      </c>
      <c r="AZ107" t="s">
        <v>1239</v>
      </c>
      <c r="BA107" t="s">
        <v>1240</v>
      </c>
      <c r="BB107" t="s">
        <v>1237</v>
      </c>
    </row>
    <row r="108" spans="1:55" ht="14.4" x14ac:dyDescent="0.3">
      <c r="A108" s="981"/>
      <c r="B108" t="s">
        <v>1179</v>
      </c>
      <c r="C108" s="160">
        <f>577+343+341+181+162+68</f>
        <v>1672</v>
      </c>
      <c r="D108" s="161">
        <v>45</v>
      </c>
      <c r="E108" s="161">
        <f>D108*$R$24*$E$6/1000</f>
        <v>6.3</v>
      </c>
      <c r="F108" s="161">
        <f>D108*(($S$24*$E$6+($T$24+$Y$24)*$F$6))/1000</f>
        <v>1.9288929388230001</v>
      </c>
      <c r="G108" s="492">
        <f t="shared" si="20"/>
        <v>8.2288929388229999</v>
      </c>
      <c r="H108" s="200">
        <f>SUM(G106:G108)</f>
        <v>1862.7520404218974</v>
      </c>
      <c r="I108" s="200">
        <f>D108+I107</f>
        <v>8490</v>
      </c>
      <c r="J108" s="1037"/>
      <c r="K108" s="209">
        <f>(D108-D91)/D91</f>
        <v>0.25</v>
      </c>
      <c r="L108" s="179">
        <f t="shared" si="18"/>
        <v>0.24999999999999994</v>
      </c>
      <c r="AQ108" s="912" t="s">
        <v>1241</v>
      </c>
      <c r="AR108">
        <v>46468225</v>
      </c>
      <c r="AS108">
        <f>AR108/10000</f>
        <v>4646.8225000000002</v>
      </c>
      <c r="AT108">
        <f>AS108/100</f>
        <v>46.468225000000004</v>
      </c>
      <c r="AU108" s="857">
        <f>AT108/$AT$124</f>
        <v>0.1912292897753958</v>
      </c>
      <c r="AV108">
        <v>0</v>
      </c>
      <c r="AW108">
        <v>0</v>
      </c>
      <c r="AX108">
        <f>AW108*AS108</f>
        <v>0</v>
      </c>
      <c r="AY108">
        <v>6.65</v>
      </c>
      <c r="AZ108" t="s">
        <v>1242</v>
      </c>
      <c r="BA108">
        <v>0</v>
      </c>
      <c r="BB108">
        <f>BA108*AS108</f>
        <v>0</v>
      </c>
      <c r="BC108" t="s">
        <v>1208</v>
      </c>
    </row>
    <row r="109" spans="1:55" ht="15" thickBot="1" x14ac:dyDescent="0.35">
      <c r="A109" s="1036"/>
      <c r="B109" t="s">
        <v>1181</v>
      </c>
      <c r="C109" s="168">
        <v>774200</v>
      </c>
      <c r="D109" s="169">
        <v>66089</v>
      </c>
      <c r="E109" s="161">
        <f>D109*$R$25*$E$6/1000</f>
        <v>37.009817794096001</v>
      </c>
      <c r="F109" s="161">
        <f>D109*(($S$25*$E$6+($T$25+$Y$25)*$F$6))/1000</f>
        <v>367.55273880762314</v>
      </c>
      <c r="G109" s="494">
        <f t="shared" si="20"/>
        <v>404.56255660171917</v>
      </c>
      <c r="H109" s="200">
        <f>SUM(G106:G109)+G102+G98</f>
        <v>2654.0703045108339</v>
      </c>
      <c r="I109" s="200">
        <f>I108+D109</f>
        <v>74579</v>
      </c>
      <c r="J109" s="1037"/>
      <c r="K109" s="209">
        <f>(D109-D92)/D92</f>
        <v>0</v>
      </c>
      <c r="L109" s="179">
        <f t="shared" si="18"/>
        <v>0</v>
      </c>
      <c r="AQ109" s="912" t="s">
        <v>1243</v>
      </c>
      <c r="AR109">
        <v>99856300</v>
      </c>
      <c r="AS109">
        <f t="shared" ref="AS109:AS123" si="21">AR109/10000</f>
        <v>9985.6299999999992</v>
      </c>
      <c r="AT109">
        <f t="shared" ref="AT109:AT123" si="22">AS109/100</f>
        <v>99.85629999999999</v>
      </c>
      <c r="AU109" s="857">
        <f t="shared" ref="AU109:AU123" si="23">AT109/$AT$124</f>
        <v>0.4109356302849711</v>
      </c>
      <c r="AV109">
        <v>-0.11</v>
      </c>
      <c r="AW109">
        <f>AV109*3.664</f>
        <v>-0.40304000000000001</v>
      </c>
      <c r="AX109">
        <f>AW109*AS109</f>
        <v>-4024.6083151999997</v>
      </c>
      <c r="AY109">
        <v>6.37</v>
      </c>
      <c r="AZ109" t="s">
        <v>1244</v>
      </c>
      <c r="BA109">
        <f>AT138</f>
        <v>0.78830853007291746</v>
      </c>
      <c r="BB109">
        <f t="shared" ref="BB109:BB123" si="24">BA109*AS109</f>
        <v>7871.7573071520264</v>
      </c>
      <c r="BC109" t="s">
        <v>1211</v>
      </c>
    </row>
    <row r="110" spans="1:55" ht="15" thickBot="1" x14ac:dyDescent="0.35">
      <c r="A110" s="172" t="s">
        <v>3</v>
      </c>
      <c r="B110" s="173">
        <f>A94</f>
        <v>2021</v>
      </c>
      <c r="C110" s="174">
        <f>SUM(C106:C109)</f>
        <v>876896</v>
      </c>
      <c r="D110" s="174"/>
      <c r="E110" s="205">
        <f>SUM(E106:E109)+E102+E98</f>
        <v>906.74450009430177</v>
      </c>
      <c r="F110" s="205">
        <f>SUM(F106:F109)+F102+F98</f>
        <v>1747.3258044165323</v>
      </c>
      <c r="G110" s="495">
        <f t="shared" ref="G110:G120" si="25">E110+F110</f>
        <v>2654.0703045108339</v>
      </c>
      <c r="H110" s="175">
        <f>H109</f>
        <v>2654.0703045108339</v>
      </c>
      <c r="I110" s="175">
        <f>SUM(I106:I109)</f>
        <v>99495</v>
      </c>
      <c r="J110" s="1038"/>
      <c r="K110" s="190">
        <f>(I110-I93)/I93</f>
        <v>1.8094634940740072E-4</v>
      </c>
      <c r="L110" s="191">
        <f>(G110-G93)/G93</f>
        <v>6.2048083618586889E-4</v>
      </c>
      <c r="N110">
        <f>81576+57461+51339+48842+36806+23031+1741+277</f>
        <v>301073</v>
      </c>
      <c r="AQ110" s="912" t="s">
        <v>1245</v>
      </c>
      <c r="AR110">
        <v>4803500</v>
      </c>
      <c r="AS110">
        <f t="shared" si="21"/>
        <v>480.35</v>
      </c>
      <c r="AT110">
        <f t="shared" si="22"/>
        <v>4.8035000000000005</v>
      </c>
      <c r="AU110" s="857">
        <f t="shared" si="23"/>
        <v>1.9767699184466671E-2</v>
      </c>
      <c r="AV110">
        <f>-0.55</f>
        <v>-0.55000000000000004</v>
      </c>
      <c r="AW110">
        <f>AV110*3.664</f>
        <v>-2.0152000000000001</v>
      </c>
      <c r="AX110">
        <f>AW110*AS110</f>
        <v>-968.00132000000008</v>
      </c>
      <c r="AY110">
        <v>6.5</v>
      </c>
      <c r="AZ110" t="s">
        <v>1246</v>
      </c>
      <c r="BA110">
        <f>-0.000211591578233193*3.664</f>
        <v>-7.7527154264641924E-4</v>
      </c>
      <c r="BB110">
        <f t="shared" si="24"/>
        <v>-0.37240168551020753</v>
      </c>
      <c r="BC110" t="s">
        <v>1213</v>
      </c>
    </row>
    <row r="111" spans="1:55" ht="14.4" x14ac:dyDescent="0.3">
      <c r="A111" s="981">
        <v>2022</v>
      </c>
      <c r="B111" t="s">
        <v>1154</v>
      </c>
      <c r="C111" s="152">
        <v>289128</v>
      </c>
      <c r="D111" s="153">
        <v>154</v>
      </c>
      <c r="E111" s="153">
        <f>D111*$R$10*$E$6/1000</f>
        <v>48.068529462434213</v>
      </c>
      <c r="F111" s="153">
        <f>D111*(($S$10*$E$6+($T$10+$Y$10)*$F$6))/1000</f>
        <v>9.2067231820183544</v>
      </c>
      <c r="G111" s="491">
        <f t="shared" si="25"/>
        <v>57.275252644452564</v>
      </c>
      <c r="H111" s="199">
        <f>G111</f>
        <v>57.275252644452564</v>
      </c>
      <c r="I111" s="199"/>
      <c r="J111" s="1037" t="str">
        <f>"Milli áranna "&amp; $A94 &amp;" og "&amp; $A111</f>
        <v>Milli áranna 2021 og 2022</v>
      </c>
      <c r="K111" s="208"/>
      <c r="L111" s="179">
        <f>(G111-G94)/G94</f>
        <v>0.10791366906474824</v>
      </c>
      <c r="AQ111" s="912" t="s">
        <v>1247</v>
      </c>
      <c r="AR111">
        <v>1617525</v>
      </c>
      <c r="AS111">
        <f t="shared" si="21"/>
        <v>161.7525</v>
      </c>
      <c r="AT111">
        <f t="shared" si="22"/>
        <v>1.6175249999999999</v>
      </c>
      <c r="AU111" s="857">
        <f t="shared" si="23"/>
        <v>6.6565520190183082E-3</v>
      </c>
      <c r="BA111">
        <v>0</v>
      </c>
      <c r="BB111">
        <f t="shared" si="24"/>
        <v>0</v>
      </c>
      <c r="BC111" t="s">
        <v>1214</v>
      </c>
    </row>
    <row r="112" spans="1:55" ht="14.4" x14ac:dyDescent="0.3">
      <c r="A112" s="981"/>
      <c r="B112" t="s">
        <v>1162</v>
      </c>
      <c r="C112" s="160">
        <v>10789</v>
      </c>
      <c r="D112" s="161">
        <v>14</v>
      </c>
      <c r="E112" s="161">
        <f>D112*$R$11*$E$6/1000</f>
        <v>4.682443887882707</v>
      </c>
      <c r="F112" s="161">
        <f>D112*(($S$11*$E$6+($T$11+$Y$11)*$F$6))/1000</f>
        <v>1.0898504262311008</v>
      </c>
      <c r="G112" s="492">
        <f t="shared" si="25"/>
        <v>5.7722943141138074</v>
      </c>
      <c r="H112" s="200">
        <f>G112+G111</f>
        <v>63.047546958566372</v>
      </c>
      <c r="I112" s="200"/>
      <c r="J112" s="1037"/>
      <c r="K112" s="209"/>
      <c r="L112" s="179">
        <f t="shared" ref="L112:L126" si="26">(G112-G95)/G95</f>
        <v>-0.12499999999999997</v>
      </c>
      <c r="AQ112" s="912" t="s">
        <v>1248</v>
      </c>
      <c r="AR112">
        <v>38660525</v>
      </c>
      <c r="AS112">
        <f t="shared" si="21"/>
        <v>3866.0524999999998</v>
      </c>
      <c r="AT112">
        <f t="shared" si="22"/>
        <v>38.660525</v>
      </c>
      <c r="AU112" s="857">
        <f t="shared" si="23"/>
        <v>0.1590984966198716</v>
      </c>
      <c r="AV112">
        <v>0</v>
      </c>
      <c r="AW112">
        <v>0</v>
      </c>
      <c r="AX112">
        <v>0</v>
      </c>
      <c r="BA112">
        <v>0</v>
      </c>
      <c r="BB112">
        <f t="shared" si="24"/>
        <v>0</v>
      </c>
      <c r="BC112" t="s">
        <v>1249</v>
      </c>
    </row>
    <row r="113" spans="1:55" ht="14.4" x14ac:dyDescent="0.3">
      <c r="A113" s="981"/>
      <c r="B113" t="s">
        <v>1164</v>
      </c>
      <c r="C113" s="160">
        <v>60549</v>
      </c>
      <c r="D113" s="161">
        <v>54</v>
      </c>
      <c r="E113" s="161">
        <f>D113*$R$12*$E$6/1000</f>
        <v>14.287203670080913</v>
      </c>
      <c r="F113" s="161">
        <f>D113*(($S$12*$E$6+($T$12+$Y$12)*$F$6))/1000</f>
        <v>2.1462019560776535</v>
      </c>
      <c r="G113" s="492">
        <f t="shared" si="25"/>
        <v>16.433405626158567</v>
      </c>
      <c r="H113" s="200">
        <f>G113+G112+G111</f>
        <v>79.480952584724946</v>
      </c>
      <c r="I113" s="200"/>
      <c r="J113" s="1037"/>
      <c r="K113" s="209"/>
      <c r="L113" s="179">
        <f t="shared" si="26"/>
        <v>-0.16923076923076921</v>
      </c>
      <c r="AQ113" s="912" t="s">
        <v>1250</v>
      </c>
      <c r="AR113">
        <v>16324950</v>
      </c>
      <c r="AS113">
        <f t="shared" si="21"/>
        <v>1632.4949999999999</v>
      </c>
      <c r="AT113">
        <f t="shared" si="22"/>
        <v>16.324949999999998</v>
      </c>
      <c r="AU113" s="857">
        <f t="shared" si="23"/>
        <v>6.7181576101063609E-2</v>
      </c>
      <c r="AV113">
        <f>0.949*(-(1.63-0.02+0.01+0.14+0.37)+0.051*(-(1.63-0.02+0.01+0.14-0.37)))</f>
        <v>-2.0886446099999998</v>
      </c>
      <c r="AW113">
        <f>AV113*3.664</f>
        <v>-7.6527938510399993</v>
      </c>
      <c r="AX113">
        <f>AW113*AS113</f>
        <v>-12493.147697853543</v>
      </c>
      <c r="AY113">
        <v>6.18</v>
      </c>
      <c r="AZ113" t="s">
        <v>1251</v>
      </c>
      <c r="BA113">
        <f>AW113</f>
        <v>-7.6527938510399993</v>
      </c>
      <c r="BB113">
        <f t="shared" si="24"/>
        <v>-12493.147697853543</v>
      </c>
      <c r="BC113" t="s">
        <v>1252</v>
      </c>
    </row>
    <row r="114" spans="1:55" ht="14.4" x14ac:dyDescent="0.3">
      <c r="A114" s="981"/>
      <c r="B114" t="s">
        <v>1166</v>
      </c>
      <c r="C114" s="160">
        <v>7386</v>
      </c>
      <c r="D114" s="161">
        <f>65*3</f>
        <v>195</v>
      </c>
      <c r="E114" s="161">
        <f>D114*$R$13*$E$6/1000</f>
        <v>25.51878350046551</v>
      </c>
      <c r="F114" s="161">
        <f>D114*(($S$13*$E$6+($T$13+$Y$13)*$F$6))/1000</f>
        <v>1.2691233926546759</v>
      </c>
      <c r="G114" s="492">
        <f t="shared" si="25"/>
        <v>26.787906893120187</v>
      </c>
      <c r="H114" s="200">
        <f>SUM(G111:G114)</f>
        <v>106.26885947784513</v>
      </c>
      <c r="I114" s="200"/>
      <c r="J114" s="1037"/>
      <c r="K114" s="209"/>
      <c r="L114" s="179">
        <f t="shared" si="26"/>
        <v>0</v>
      </c>
      <c r="AQ114" s="912" t="s">
        <v>1253</v>
      </c>
      <c r="AR114">
        <v>2500900</v>
      </c>
      <c r="AS114">
        <f t="shared" si="21"/>
        <v>250.09</v>
      </c>
      <c r="AT114">
        <f t="shared" si="22"/>
        <v>2.5009000000000001</v>
      </c>
      <c r="AU114" s="857">
        <f t="shared" si="23"/>
        <v>1.0291878607355615E-2</v>
      </c>
      <c r="AV114">
        <f>-(3.3-1.25+0.33-0.37)</f>
        <v>-2.0099999999999998</v>
      </c>
      <c r="AW114">
        <f>AV114*3.664</f>
        <v>-7.3646399999999996</v>
      </c>
      <c r="AX114">
        <f>AW114*AS114</f>
        <v>-1841.8228176</v>
      </c>
      <c r="AY114">
        <v>6.15</v>
      </c>
      <c r="AZ114" t="s">
        <v>1251</v>
      </c>
      <c r="BA114">
        <f>AW114</f>
        <v>-7.3646399999999996</v>
      </c>
      <c r="BB114">
        <f t="shared" si="24"/>
        <v>-1841.8228176</v>
      </c>
      <c r="BC114" t="s">
        <v>1218</v>
      </c>
    </row>
    <row r="115" spans="1:55" ht="14.4" x14ac:dyDescent="0.3">
      <c r="A115" s="981"/>
      <c r="B115" t="s">
        <v>1167</v>
      </c>
      <c r="C115" s="160">
        <f>SUM(C111:C114)</f>
        <v>367852</v>
      </c>
      <c r="D115" s="161">
        <f>SUM(D111:D114)</f>
        <v>417</v>
      </c>
      <c r="E115" s="161">
        <f>SUM(E111:E114)</f>
        <v>92.556960520863328</v>
      </c>
      <c r="F115" s="161">
        <f>SUM(F111:F114)</f>
        <v>13.711898956981784</v>
      </c>
      <c r="G115" s="492">
        <f t="shared" si="25"/>
        <v>106.26885947784511</v>
      </c>
      <c r="H115" s="200">
        <f>G115</f>
        <v>106.26885947784511</v>
      </c>
      <c r="I115" s="200">
        <f>D115</f>
        <v>417</v>
      </c>
      <c r="J115" s="1037"/>
      <c r="K115" s="209">
        <f>(D115-D98)/D98</f>
        <v>4.8192771084337354E-3</v>
      </c>
      <c r="L115" s="179">
        <f t="shared" si="26"/>
        <v>1.3413780212788988E-2</v>
      </c>
      <c r="AQ115" s="912" t="s">
        <v>1254</v>
      </c>
      <c r="AR115">
        <v>6251150</v>
      </c>
      <c r="AS115">
        <f t="shared" si="21"/>
        <v>625.11500000000001</v>
      </c>
      <c r="AT115">
        <f t="shared" si="22"/>
        <v>6.25115</v>
      </c>
      <c r="AU115" s="857">
        <f t="shared" si="23"/>
        <v>2.5725169721448695E-2</v>
      </c>
      <c r="AV115">
        <f>-(0.34-0.37)</f>
        <v>2.9999999999999971E-2</v>
      </c>
      <c r="AW115">
        <f>AV115*3.664</f>
        <v>0.10991999999999989</v>
      </c>
      <c r="AX115">
        <f>AW115*AS115</f>
        <v>68.712640799999932</v>
      </c>
      <c r="AY115">
        <v>6.15</v>
      </c>
      <c r="AZ115" t="s">
        <v>1255</v>
      </c>
      <c r="BA115">
        <f>AW115</f>
        <v>0.10991999999999989</v>
      </c>
      <c r="BB115">
        <f t="shared" si="24"/>
        <v>68.712640799999932</v>
      </c>
      <c r="BC115" t="s">
        <v>1256</v>
      </c>
    </row>
    <row r="116" spans="1:55" ht="14.4" x14ac:dyDescent="0.3">
      <c r="A116" s="981"/>
      <c r="B116" t="s">
        <v>1168</v>
      </c>
      <c r="C116" s="160">
        <v>25842</v>
      </c>
      <c r="D116" s="161">
        <v>51</v>
      </c>
      <c r="E116" s="161">
        <f>D116*$R$15*$E$6/1000</f>
        <v>155.88832686000003</v>
      </c>
      <c r="F116" s="161">
        <f>D116*(($S$15*$E$6+($T$15+$Y$15)*$F$6))/1000</f>
        <v>46.839494429444116</v>
      </c>
      <c r="G116" s="492">
        <f t="shared" si="25"/>
        <v>202.72782128944414</v>
      </c>
      <c r="H116" s="200">
        <f>G116+G115</f>
        <v>308.99668076728926</v>
      </c>
      <c r="I116" s="200"/>
      <c r="J116" s="1037"/>
      <c r="K116" s="209"/>
      <c r="L116" s="179">
        <f t="shared" si="26"/>
        <v>4.0816326530612401E-2</v>
      </c>
      <c r="AQ116" s="912" t="s">
        <v>1257</v>
      </c>
      <c r="AR116">
        <v>79125</v>
      </c>
      <c r="AS116">
        <f t="shared" si="21"/>
        <v>7.9124999999999996</v>
      </c>
      <c r="AT116">
        <f t="shared" si="22"/>
        <v>7.9125000000000001E-2</v>
      </c>
      <c r="AU116" s="857">
        <f t="shared" si="23"/>
        <v>3.2562073445840012E-4</v>
      </c>
      <c r="AV116">
        <f>-((0.53+0.74+0+0)/4-0.37+0.19/2+0.14)</f>
        <v>-0.18250000000000002</v>
      </c>
      <c r="AW116">
        <f>AV116*3.664</f>
        <v>-0.66868000000000016</v>
      </c>
      <c r="AX116">
        <f>AW116*AS116</f>
        <v>-5.2909305000000009</v>
      </c>
      <c r="AY116">
        <v>6.37</v>
      </c>
      <c r="AZ116" t="s">
        <v>1244</v>
      </c>
      <c r="BA116">
        <f>AW116</f>
        <v>-0.66868000000000016</v>
      </c>
      <c r="BB116">
        <f t="shared" si="24"/>
        <v>-5.2909305000000009</v>
      </c>
      <c r="BC116" t="s">
        <v>1220</v>
      </c>
    </row>
    <row r="117" spans="1:55" ht="14.4" x14ac:dyDescent="0.3">
      <c r="A117" s="981"/>
      <c r="B117" t="s">
        <v>1169</v>
      </c>
      <c r="C117" s="160">
        <v>22567</v>
      </c>
      <c r="D117" s="161">
        <v>22</v>
      </c>
      <c r="E117" s="161">
        <f>D117*$R$16*$E$6/1000</f>
        <v>45.433173333239999</v>
      </c>
      <c r="F117" s="161">
        <f>D117*(($S$16*$E$6+($T$16+$Y$16)*$F$6))/1000</f>
        <v>2.4430150946463676</v>
      </c>
      <c r="G117" s="492">
        <f t="shared" si="25"/>
        <v>47.876188427886369</v>
      </c>
      <c r="H117" s="200">
        <f>G117+G116+G115</f>
        <v>356.87286919517561</v>
      </c>
      <c r="I117" s="200"/>
      <c r="J117" s="1037"/>
      <c r="K117" s="209"/>
      <c r="L117" s="179">
        <f t="shared" si="26"/>
        <v>0.15789473684210525</v>
      </c>
      <c r="AQ117" s="912" t="s">
        <v>1258</v>
      </c>
      <c r="AR117">
        <v>1307750</v>
      </c>
      <c r="AS117">
        <f t="shared" si="21"/>
        <v>130.77500000000001</v>
      </c>
      <c r="AT117">
        <f t="shared" si="22"/>
        <v>1.30775</v>
      </c>
      <c r="AU117" s="857">
        <f t="shared" si="23"/>
        <v>5.3817442715699557E-3</v>
      </c>
      <c r="AW117">
        <v>0</v>
      </c>
      <c r="BA117">
        <v>0</v>
      </c>
      <c r="BB117">
        <f t="shared" si="24"/>
        <v>0</v>
      </c>
      <c r="BC117" t="s">
        <v>1221</v>
      </c>
    </row>
    <row r="118" spans="1:55" ht="14.4" x14ac:dyDescent="0.3">
      <c r="A118" s="981"/>
      <c r="B118" t="s">
        <v>1171</v>
      </c>
      <c r="C118" s="160">
        <v>31582</v>
      </c>
      <c r="D118" s="161">
        <v>28</v>
      </c>
      <c r="E118" s="161">
        <f>D118*$R$17*$E$6/1000</f>
        <v>27.772598123200002</v>
      </c>
      <c r="F118" s="161">
        <f>D118*(($S$17*$E$6+($T$17+$Y$17)*$F$6))/1000</f>
        <v>7.8248280694902927</v>
      </c>
      <c r="G118" s="493">
        <f t="shared" si="25"/>
        <v>35.597426192690293</v>
      </c>
      <c r="H118" s="200">
        <f>G118+G117+G116+G115</f>
        <v>392.47029538786592</v>
      </c>
      <c r="I118" s="200"/>
      <c r="J118" s="1037"/>
      <c r="K118" s="209"/>
      <c r="L118" s="179">
        <f t="shared" si="26"/>
        <v>-0.22222222222222221</v>
      </c>
      <c r="AQ118" s="912" t="s">
        <v>1259</v>
      </c>
      <c r="AR118">
        <v>1792850</v>
      </c>
      <c r="AS118">
        <f t="shared" si="21"/>
        <v>179.285</v>
      </c>
      <c r="AT118">
        <f t="shared" si="22"/>
        <v>1.7928500000000001</v>
      </c>
      <c r="AU118" s="857">
        <f t="shared" si="23"/>
        <v>7.3780617222589913E-3</v>
      </c>
      <c r="AV118">
        <v>-0.15</v>
      </c>
      <c r="AW118">
        <f t="shared" ref="AW118:AW123" si="27">AV118*3.664</f>
        <v>-0.54959999999999998</v>
      </c>
      <c r="AX118">
        <f t="shared" ref="AX118:AX123" si="28">AW118*AS118</f>
        <v>-98.535035999999991</v>
      </c>
      <c r="AY118">
        <v>6.23</v>
      </c>
      <c r="AZ118" t="s">
        <v>1260</v>
      </c>
      <c r="BA118">
        <f>AZ138</f>
        <v>14.499971649878898</v>
      </c>
      <c r="BB118">
        <f t="shared" si="24"/>
        <v>2599.6274172485382</v>
      </c>
      <c r="BC118" t="s">
        <v>1225</v>
      </c>
    </row>
    <row r="119" spans="1:55" ht="14.4" x14ac:dyDescent="0.3">
      <c r="A119" s="981"/>
      <c r="B119" t="s">
        <v>1173</v>
      </c>
      <c r="C119" s="160">
        <f>SUM(C116:C118)</f>
        <v>79991</v>
      </c>
      <c r="D119" s="160">
        <f>SUM(D116:D118)</f>
        <v>101</v>
      </c>
      <c r="E119" s="161">
        <f>SUM(E116:E118)</f>
        <v>229.09409831644004</v>
      </c>
      <c r="F119" s="161">
        <f>SUM(F116:F118)</f>
        <v>57.10733759358078</v>
      </c>
      <c r="G119" s="493">
        <f t="shared" si="25"/>
        <v>286.20143591002079</v>
      </c>
      <c r="H119" s="200">
        <f>G119+G115</f>
        <v>392.47029538786592</v>
      </c>
      <c r="I119" s="200">
        <f>D119+I115</f>
        <v>518</v>
      </c>
      <c r="J119" s="1037"/>
      <c r="K119" s="209">
        <f>(D119-D102)/D102</f>
        <v>-2.8846153846153848E-2</v>
      </c>
      <c r="L119" s="179">
        <f t="shared" si="26"/>
        <v>1.5282329657202279E-2</v>
      </c>
      <c r="AQ119" s="912" t="s">
        <v>1261</v>
      </c>
      <c r="AR119">
        <v>2053950</v>
      </c>
      <c r="AS119">
        <f t="shared" si="21"/>
        <v>205.39500000000001</v>
      </c>
      <c r="AT119">
        <f t="shared" si="22"/>
        <v>2.0539499999999999</v>
      </c>
      <c r="AU119" s="857">
        <f t="shared" si="23"/>
        <v>8.4525587050973891E-3</v>
      </c>
      <c r="AV119">
        <f>-(0.51+0.06+0.01)</f>
        <v>-0.58000000000000007</v>
      </c>
      <c r="AW119">
        <f t="shared" si="27"/>
        <v>-2.1251200000000003</v>
      </c>
      <c r="AX119">
        <f t="shared" si="28"/>
        <v>-436.48902240000007</v>
      </c>
      <c r="AY119">
        <v>6.41</v>
      </c>
      <c r="BA119">
        <f>AW119</f>
        <v>-2.1251200000000003</v>
      </c>
      <c r="BB119">
        <f t="shared" si="24"/>
        <v>-436.48902240000007</v>
      </c>
      <c r="BC119" t="s">
        <v>1262</v>
      </c>
    </row>
    <row r="120" spans="1:55" ht="14.4" x14ac:dyDescent="0.3">
      <c r="A120" s="981"/>
      <c r="B120" t="s">
        <v>1174</v>
      </c>
      <c r="C120" s="160">
        <v>42</v>
      </c>
      <c r="D120" s="161">
        <v>10</v>
      </c>
      <c r="E120" s="161">
        <f>D120*$R$20*$E$6/1000</f>
        <v>0.42</v>
      </c>
      <c r="F120" s="161">
        <f>D120*(($S$20*$E$6+($T$20+$Y$19)*$F$6))/1000</f>
        <v>1.7757577499999999</v>
      </c>
      <c r="G120" s="493">
        <f t="shared" si="25"/>
        <v>2.1957577499999998</v>
      </c>
      <c r="H120" s="200">
        <f>H119+G120</f>
        <v>394.6660531378659</v>
      </c>
      <c r="I120" s="200"/>
      <c r="J120" s="1037"/>
      <c r="K120" s="209"/>
      <c r="L120" s="179">
        <f t="shared" si="26"/>
        <v>-9.0909090909090925E-2</v>
      </c>
      <c r="AQ120" s="912" t="s">
        <v>1263</v>
      </c>
      <c r="AR120">
        <v>217500</v>
      </c>
      <c r="AS120">
        <f t="shared" si="21"/>
        <v>21.75</v>
      </c>
      <c r="AT120">
        <f t="shared" si="22"/>
        <v>0.2175</v>
      </c>
      <c r="AU120" s="857">
        <f t="shared" si="23"/>
        <v>8.9507121320318525E-4</v>
      </c>
      <c r="AV120">
        <f>-(0.51+0.06+0.01)</f>
        <v>-0.58000000000000007</v>
      </c>
      <c r="AW120">
        <f t="shared" si="27"/>
        <v>-2.1251200000000003</v>
      </c>
      <c r="AX120">
        <f t="shared" si="28"/>
        <v>-46.221360000000004</v>
      </c>
      <c r="AY120">
        <v>6.41</v>
      </c>
      <c r="BA120">
        <f>AW120</f>
        <v>-2.1251200000000003</v>
      </c>
      <c r="BB120">
        <f t="shared" si="24"/>
        <v>-46.221360000000004</v>
      </c>
      <c r="BC120" t="s">
        <v>1264</v>
      </c>
    </row>
    <row r="121" spans="1:55" ht="14.4" x14ac:dyDescent="0.3">
      <c r="A121" s="981"/>
      <c r="B121" t="s">
        <v>1175</v>
      </c>
      <c r="C121" s="604">
        <v>2958</v>
      </c>
      <c r="D121" s="161">
        <v>760</v>
      </c>
      <c r="E121" s="161">
        <f>D121*$R$20*$E$6/1000</f>
        <v>31.92</v>
      </c>
      <c r="F121" s="161">
        <f>D121*(($S$20*$E$6+($T$20+$Y$20)*$F$6))/1000</f>
        <v>134.95758900000001</v>
      </c>
      <c r="G121" s="492">
        <f t="shared" ref="G121:G126" si="29">E121+F121</f>
        <v>166.877589</v>
      </c>
      <c r="H121" s="200">
        <f>G121+G119+G118+G120</f>
        <v>490.87220885271108</v>
      </c>
      <c r="I121" s="200"/>
      <c r="J121" s="1037"/>
      <c r="K121" s="209"/>
      <c r="L121" s="179">
        <f t="shared" si="26"/>
        <v>-5.1186017478152331E-2</v>
      </c>
      <c r="AQ121" s="912" t="s">
        <v>1265</v>
      </c>
      <c r="AR121">
        <v>15346250</v>
      </c>
      <c r="AS121">
        <f t="shared" si="21"/>
        <v>1534.625</v>
      </c>
      <c r="AT121">
        <f t="shared" si="22"/>
        <v>15.34625</v>
      </c>
      <c r="AU121" s="857">
        <f t="shared" si="23"/>
        <v>6.3153961405146578E-2</v>
      </c>
      <c r="AV121">
        <v>5.7</v>
      </c>
      <c r="AW121">
        <f t="shared" si="27"/>
        <v>20.884800000000002</v>
      </c>
      <c r="AX121">
        <f t="shared" si="28"/>
        <v>32050.336200000002</v>
      </c>
      <c r="AY121">
        <v>6.41</v>
      </c>
      <c r="BA121">
        <f>AW121</f>
        <v>20.884800000000002</v>
      </c>
      <c r="BB121">
        <f t="shared" si="24"/>
        <v>32050.336200000002</v>
      </c>
      <c r="BC121" t="s">
        <v>1266</v>
      </c>
    </row>
    <row r="122" spans="1:55" ht="14.4" x14ac:dyDescent="0.3">
      <c r="A122" s="981"/>
      <c r="B122" t="s">
        <v>1176</v>
      </c>
      <c r="C122" s="604">
        <f>19333+9867+7682</f>
        <v>36882</v>
      </c>
      <c r="D122" s="161">
        <v>6730</v>
      </c>
      <c r="E122" s="161">
        <f>D122*$R$21*$E$6/1000</f>
        <v>282.66000000000003</v>
      </c>
      <c r="F122" s="161">
        <f>D122*(($S$21*$E$6+($T$21+$Y$21)*$F$6))/1000</f>
        <v>1151.8714000895982</v>
      </c>
      <c r="G122" s="492">
        <f t="shared" si="29"/>
        <v>1434.5314000895983</v>
      </c>
      <c r="H122" s="200">
        <f>G122+G118+G120</f>
        <v>1472.3245840322886</v>
      </c>
      <c r="I122" s="200"/>
      <c r="J122" s="1037"/>
      <c r="K122" s="209">
        <f>(D122-D105)/D105</f>
        <v>1.2030075187969926E-2</v>
      </c>
      <c r="L122" s="179">
        <f t="shared" si="26"/>
        <v>1.2030075187969985E-2</v>
      </c>
      <c r="AQ122" s="912" t="s">
        <v>1267</v>
      </c>
      <c r="AR122">
        <v>5070425</v>
      </c>
      <c r="AS122">
        <f t="shared" si="21"/>
        <v>507.04250000000002</v>
      </c>
      <c r="AT122">
        <f t="shared" si="22"/>
        <v>5.0704250000000002</v>
      </c>
      <c r="AU122" s="857">
        <f t="shared" si="23"/>
        <v>2.0866167614739129E-2</v>
      </c>
      <c r="AV122">
        <v>5.7</v>
      </c>
      <c r="AW122">
        <f t="shared" si="27"/>
        <v>20.884800000000002</v>
      </c>
      <c r="AX122">
        <f t="shared" si="28"/>
        <v>10589.481204000002</v>
      </c>
      <c r="AZ122" t="s">
        <v>1268</v>
      </c>
      <c r="BA122">
        <f>BF138</f>
        <v>7.3796588596330199</v>
      </c>
      <c r="BB122">
        <f t="shared" si="24"/>
        <v>3741.8006773354755</v>
      </c>
      <c r="BC122" t="s">
        <v>1267</v>
      </c>
    </row>
    <row r="123" spans="1:55" ht="15" thickBot="1" x14ac:dyDescent="0.35">
      <c r="A123" s="981"/>
      <c r="B123" t="s">
        <v>1177</v>
      </c>
      <c r="C123" s="604">
        <f>SUM(C120:C122)</f>
        <v>39882</v>
      </c>
      <c r="D123" s="161">
        <f>SUM(D120:D122)</f>
        <v>7500</v>
      </c>
      <c r="E123" s="161">
        <f>SUM(E120:E122)</f>
        <v>315</v>
      </c>
      <c r="F123" s="161">
        <f>SUM(F120:F122)</f>
        <v>1288.6047468395982</v>
      </c>
      <c r="G123" s="492">
        <f t="shared" si="29"/>
        <v>1603.6047468395982</v>
      </c>
      <c r="H123" s="200">
        <f>G123</f>
        <v>1603.6047468395982</v>
      </c>
      <c r="I123" s="200">
        <f>D123+I119</f>
        <v>8018</v>
      </c>
      <c r="J123" s="1037"/>
      <c r="K123" s="209">
        <f>(D123-D106)/D106</f>
        <v>5.0924685071026534E-3</v>
      </c>
      <c r="L123" s="179">
        <f t="shared" si="26"/>
        <v>4.9068313865206683E-3</v>
      </c>
      <c r="AQ123" s="913" t="s">
        <v>1269</v>
      </c>
      <c r="AR123">
        <v>646500</v>
      </c>
      <c r="AS123">
        <f t="shared" si="21"/>
        <v>64.650000000000006</v>
      </c>
      <c r="AT123">
        <f t="shared" si="22"/>
        <v>0.64650000000000007</v>
      </c>
      <c r="AU123" s="857">
        <f t="shared" si="23"/>
        <v>2.6605220199349853E-3</v>
      </c>
      <c r="AV123">
        <f>AV114</f>
        <v>-2.0099999999999998</v>
      </c>
      <c r="AW123">
        <f t="shared" si="27"/>
        <v>-7.3646399999999996</v>
      </c>
      <c r="AX123">
        <f t="shared" si="28"/>
        <v>-476.12397600000003</v>
      </c>
      <c r="BA123">
        <f>AW123</f>
        <v>-7.3646399999999996</v>
      </c>
      <c r="BB123">
        <f t="shared" si="24"/>
        <v>-476.12397600000003</v>
      </c>
      <c r="BC123" t="s">
        <v>1270</v>
      </c>
    </row>
    <row r="124" spans="1:55" ht="13.8" x14ac:dyDescent="0.25">
      <c r="A124" s="981"/>
      <c r="B124" t="s">
        <v>1178</v>
      </c>
      <c r="C124" s="604">
        <v>53046</v>
      </c>
      <c r="D124" s="161">
        <v>313</v>
      </c>
      <c r="E124" s="161">
        <f>D124*$R$23*$E$6/1000</f>
        <v>157.75201257352728</v>
      </c>
      <c r="F124" s="161">
        <f>D124*(($S$23*$E$6+($T$23+$Y$23)*$F$6))/1000</f>
        <v>16.791761030884913</v>
      </c>
      <c r="G124" s="492">
        <f t="shared" si="29"/>
        <v>174.54377360441219</v>
      </c>
      <c r="H124" s="200">
        <f>G123+G124</f>
        <v>1778.1485204440105</v>
      </c>
      <c r="I124" s="200">
        <f>I123+D124</f>
        <v>8331</v>
      </c>
      <c r="J124" s="1037"/>
      <c r="K124" s="209">
        <f>(D124-D107)/D107</f>
        <v>-0.32543103448275862</v>
      </c>
      <c r="L124" s="179">
        <f t="shared" si="26"/>
        <v>-0.32543103448275862</v>
      </c>
      <c r="AR124">
        <f>SUM(AR108:AR123)</f>
        <v>242997425</v>
      </c>
      <c r="AS124">
        <f>SUM(AS108:AS123)</f>
        <v>24299.7425</v>
      </c>
      <c r="AT124">
        <f>SUM(AT108:AT123)</f>
        <v>242.99742499999999</v>
      </c>
      <c r="AU124" s="857">
        <f>SUM(AU108:AU123)</f>
        <v>1</v>
      </c>
      <c r="AX124">
        <f>SUM(AX108:AX123)</f>
        <v>22318.289569246463</v>
      </c>
      <c r="BB124">
        <f>SUM(BB108:BB123)</f>
        <v>31032.766036496989</v>
      </c>
    </row>
    <row r="125" spans="1:55" ht="13.8" x14ac:dyDescent="0.25">
      <c r="A125" s="981"/>
      <c r="B125" t="s">
        <v>1179</v>
      </c>
      <c r="C125" s="604">
        <v>1883</v>
      </c>
      <c r="D125" s="161">
        <v>49</v>
      </c>
      <c r="E125" s="161">
        <f>D125*$R$24*$E$6/1000</f>
        <v>6.86</v>
      </c>
      <c r="F125" s="161">
        <f>D125*(($S$24*$E$6+($T$24+$Y$24)*$F$6))/1000</f>
        <v>2.1003500889405999</v>
      </c>
      <c r="G125" s="492">
        <f t="shared" si="29"/>
        <v>8.9603500889406007</v>
      </c>
      <c r="H125" s="200">
        <f>SUM(G123:G125)</f>
        <v>1787.1088705329512</v>
      </c>
      <c r="I125" s="200">
        <f>D125+I124</f>
        <v>8380</v>
      </c>
      <c r="J125" s="1037"/>
      <c r="K125" s="209">
        <f>(D125-D108)/D108</f>
        <v>8.8888888888888892E-2</v>
      </c>
      <c r="L125" s="179">
        <f t="shared" si="26"/>
        <v>8.8888888888888989E-2</v>
      </c>
    </row>
    <row r="126" spans="1:55" ht="14.4" thickBot="1" x14ac:dyDescent="0.3">
      <c r="A126" s="1036"/>
      <c r="B126" t="s">
        <v>1181</v>
      </c>
      <c r="C126" s="605">
        <v>719612</v>
      </c>
      <c r="D126" s="169">
        <v>63013</v>
      </c>
      <c r="E126" s="161">
        <f>D126*$R$25*$E$6/1000</f>
        <v>35.287258827631995</v>
      </c>
      <c r="F126" s="161">
        <f>D126*(($S$25*$E$6+($T$25+$Y$25)*$F$6))/1000</f>
        <v>350.44562227427798</v>
      </c>
      <c r="G126" s="494">
        <f t="shared" si="29"/>
        <v>385.73288110190998</v>
      </c>
      <c r="H126" s="200">
        <f>SUM(G123:G126)+G119+G115</f>
        <v>2565.3120470227273</v>
      </c>
      <c r="I126" s="200">
        <f>I125+D126</f>
        <v>71393</v>
      </c>
      <c r="J126" s="1037"/>
      <c r="K126" s="209">
        <f>(D126-D109)/D109</f>
        <v>-4.6543297674348227E-2</v>
      </c>
      <c r="L126" s="179">
        <f t="shared" si="26"/>
        <v>-4.6543297674348262E-2</v>
      </c>
      <c r="BB126">
        <f>BB109+BB115+BB118+BB121+BB122</f>
        <v>46332.23424253604</v>
      </c>
    </row>
    <row r="127" spans="1:55" ht="14.4" thickBot="1" x14ac:dyDescent="0.3">
      <c r="A127" s="172" t="s">
        <v>3</v>
      </c>
      <c r="B127" s="173">
        <f>A111</f>
        <v>2022</v>
      </c>
      <c r="C127" s="174">
        <f>SUM(C123:C126)</f>
        <v>814423</v>
      </c>
      <c r="D127" s="174"/>
      <c r="E127" s="205">
        <f>SUM(E123:E126)+E119+E115</f>
        <v>836.55033023846261</v>
      </c>
      <c r="F127" s="205">
        <f>SUM(F123:F126)+F119+F115</f>
        <v>1728.7617167842641</v>
      </c>
      <c r="G127" s="495">
        <f t="shared" ref="G127:G137" si="30">E127+F127</f>
        <v>2565.3120470227268</v>
      </c>
      <c r="H127" s="175">
        <f>H126</f>
        <v>2565.3120470227273</v>
      </c>
      <c r="I127" s="175">
        <f>SUM(I123:I126)</f>
        <v>96122</v>
      </c>
      <c r="J127" s="1038"/>
      <c r="K127" s="190">
        <f>(I127-I110)/I110</f>
        <v>-3.3901201065380172E-2</v>
      </c>
      <c r="L127" s="191">
        <f>(G127-G110)/G110</f>
        <v>-3.3442315878842541E-2</v>
      </c>
    </row>
    <row r="128" spans="1:55" ht="13.8" x14ac:dyDescent="0.25">
      <c r="A128" s="981">
        <v>2023</v>
      </c>
      <c r="B128" t="s">
        <v>1154</v>
      </c>
      <c r="C128" s="152">
        <v>272889</v>
      </c>
      <c r="D128" s="153">
        <v>90</v>
      </c>
      <c r="E128" s="153">
        <f>D128*$R$10*$E$6/1000</f>
        <v>28.091997737786226</v>
      </c>
      <c r="F128" s="153">
        <f>D128*(($S$10*$E$6+($T$10+$Y$10)*$F$6))/1000</f>
        <v>5.3805525089717667</v>
      </c>
      <c r="G128" s="491">
        <f t="shared" si="30"/>
        <v>33.47255024675799</v>
      </c>
      <c r="H128" s="199">
        <f>G128</f>
        <v>33.47255024675799</v>
      </c>
      <c r="I128" s="199"/>
      <c r="J128" s="1037" t="str">
        <f>"Milli áranna "&amp; $A111 &amp;" og "&amp; $A128</f>
        <v>Milli áranna 2022 og 2023</v>
      </c>
      <c r="K128" s="208"/>
      <c r="L128" s="179">
        <f>(G128-G111)/G111</f>
        <v>-0.41558441558441561</v>
      </c>
    </row>
    <row r="129" spans="1:66" ht="13.8" x14ac:dyDescent="0.25">
      <c r="A129" s="981"/>
      <c r="B129" t="s">
        <v>1162</v>
      </c>
      <c r="C129" s="160">
        <v>9936</v>
      </c>
      <c r="D129" s="161">
        <v>5</v>
      </c>
      <c r="E129" s="161">
        <f>D129*$R$11*$E$6/1000</f>
        <v>1.6723013885295384</v>
      </c>
      <c r="F129" s="161">
        <f>D129*(($S$11*$E$6+($T$11+$Y$11)*$F$6))/1000</f>
        <v>0.38923229508253598</v>
      </c>
      <c r="G129" s="492">
        <f t="shared" si="30"/>
        <v>2.0615336836120743</v>
      </c>
      <c r="H129" s="200">
        <f>G129+G128</f>
        <v>35.534083930370066</v>
      </c>
      <c r="I129" s="200"/>
      <c r="J129" s="1037"/>
      <c r="K129" s="209"/>
      <c r="L129" s="179">
        <f t="shared" ref="L129:L143" si="31">(G129-G112)/G112</f>
        <v>-0.64285714285714279</v>
      </c>
    </row>
    <row r="130" spans="1:66" ht="13.8" x14ac:dyDescent="0.25">
      <c r="A130" s="981"/>
      <c r="B130" t="s">
        <v>1164</v>
      </c>
      <c r="C130" s="160">
        <v>60399</v>
      </c>
      <c r="D130" s="161">
        <v>31</v>
      </c>
      <c r="E130" s="161">
        <f>D130*$R$12*$E$6/1000</f>
        <v>8.2019132180094125</v>
      </c>
      <c r="F130" s="161">
        <f>D130*(($S$12*$E$6+($T$12+$Y$12)*$F$6))/1000</f>
        <v>1.2320789007112456</v>
      </c>
      <c r="G130" s="492">
        <f t="shared" si="30"/>
        <v>9.4339921187206581</v>
      </c>
      <c r="H130" s="200">
        <f>G130+G129+G128</f>
        <v>44.968076049090726</v>
      </c>
      <c r="I130" s="200"/>
      <c r="J130" s="1037"/>
      <c r="K130" s="209"/>
      <c r="L130" s="179">
        <f t="shared" si="31"/>
        <v>-0.42592592592592599</v>
      </c>
      <c r="AR130" t="s">
        <v>1271</v>
      </c>
      <c r="AS130" t="s">
        <v>1272</v>
      </c>
      <c r="AT130" t="s">
        <v>1136</v>
      </c>
      <c r="AX130" t="s">
        <v>1271</v>
      </c>
      <c r="AY130" t="s">
        <v>1272</v>
      </c>
      <c r="AZ130" t="s">
        <v>1136</v>
      </c>
      <c r="BD130" t="s">
        <v>1271</v>
      </c>
      <c r="BE130" t="s">
        <v>1272</v>
      </c>
      <c r="BF130" t="s">
        <v>1136</v>
      </c>
    </row>
    <row r="131" spans="1:66" ht="13.8" x14ac:dyDescent="0.25">
      <c r="A131" s="981"/>
      <c r="B131" t="s">
        <v>1166</v>
      </c>
      <c r="C131" s="160">
        <v>7547</v>
      </c>
      <c r="D131" s="161">
        <v>7</v>
      </c>
      <c r="E131" s="161">
        <f>D131*$R$13*$E$6/1000</f>
        <v>0.91605889488850534</v>
      </c>
      <c r="F131" s="161">
        <f>D131*(($S$13*$E$6+($T$13+$Y$13)*$F$6))/1000</f>
        <v>4.5558275633757597E-2</v>
      </c>
      <c r="G131" s="492">
        <f t="shared" si="30"/>
        <v>0.96161717052226292</v>
      </c>
      <c r="H131" s="200">
        <f>SUM(G128:G131)</f>
        <v>45.929693219612986</v>
      </c>
      <c r="I131" s="200"/>
      <c r="J131" s="1037"/>
      <c r="K131" s="209"/>
      <c r="L131" s="179">
        <f t="shared" si="31"/>
        <v>-0.96410256410256412</v>
      </c>
      <c r="AQ131" t="s">
        <v>1273</v>
      </c>
      <c r="AW131" t="s">
        <v>1274</v>
      </c>
      <c r="BC131" s="16" t="s">
        <v>1275</v>
      </c>
    </row>
    <row r="132" spans="1:66" ht="13.8" x14ac:dyDescent="0.25">
      <c r="A132" s="981"/>
      <c r="B132" t="s">
        <v>1167</v>
      </c>
      <c r="C132" s="160">
        <f>SUM(C128:C131)</f>
        <v>350771</v>
      </c>
      <c r="D132" s="161">
        <f>SUM(D128:D131)</f>
        <v>133</v>
      </c>
      <c r="E132" s="161">
        <f>SUM(E128:E131)</f>
        <v>38.882271239213679</v>
      </c>
      <c r="F132" s="161">
        <f>SUM(F128:F131)</f>
        <v>7.0474219803993057</v>
      </c>
      <c r="G132" s="492">
        <f t="shared" si="30"/>
        <v>45.929693219612986</v>
      </c>
      <c r="H132" s="200">
        <f>G132</f>
        <v>45.929693219612986</v>
      </c>
      <c r="I132" s="200">
        <f>D132</f>
        <v>133</v>
      </c>
      <c r="J132" s="1037"/>
      <c r="K132" s="209">
        <f>(D132-D115)/D115</f>
        <v>-0.68105515587529974</v>
      </c>
      <c r="L132" s="179">
        <f t="shared" si="31"/>
        <v>-0.56779725080997612</v>
      </c>
    </row>
    <row r="133" spans="1:66" ht="13.8" x14ac:dyDescent="0.25">
      <c r="A133" s="981"/>
      <c r="B133" t="s">
        <v>1168</v>
      </c>
      <c r="C133" s="160">
        <v>24627</v>
      </c>
      <c r="D133" s="161">
        <v>32</v>
      </c>
      <c r="E133" s="161">
        <f>D133*$R$15*$E$6/1000</f>
        <v>97.812283520000008</v>
      </c>
      <c r="F133" s="161">
        <f>D133*(($S$15*$E$6+($T$15+$Y$15)*$F$6))/1000</f>
        <v>29.389486700827682</v>
      </c>
      <c r="G133" s="492">
        <f t="shared" si="30"/>
        <v>127.20177022082768</v>
      </c>
      <c r="H133" s="200">
        <f>G133+G132</f>
        <v>173.13146344044065</v>
      </c>
      <c r="I133" s="200"/>
      <c r="J133" s="1037"/>
      <c r="K133" s="209"/>
      <c r="L133" s="179">
        <f t="shared" si="31"/>
        <v>-0.3725490196078432</v>
      </c>
      <c r="AQ133">
        <v>2024</v>
      </c>
      <c r="AR133">
        <v>5663.29</v>
      </c>
      <c r="AS133">
        <v>4521.8599999999997</v>
      </c>
      <c r="AT133">
        <f>AS133/AR133</f>
        <v>0.79845107702413254</v>
      </c>
      <c r="AW133">
        <v>2024</v>
      </c>
      <c r="AX133">
        <v>97.4</v>
      </c>
      <c r="AY133">
        <f>-(7.29-391.67)*3.664</f>
        <v>1408.36832</v>
      </c>
      <c r="AZ133">
        <f>AY133/AX133</f>
        <v>14.459633675564682</v>
      </c>
      <c r="BC133">
        <v>2024</v>
      </c>
      <c r="BD133">
        <v>32.309645689658097</v>
      </c>
      <c r="BE133">
        <v>239.15046272610101</v>
      </c>
      <c r="BF133">
        <f>BE133/BD133</f>
        <v>7.4018286991816193</v>
      </c>
    </row>
    <row r="134" spans="1:66" ht="13.8" x14ac:dyDescent="0.25">
      <c r="A134" s="981"/>
      <c r="B134" t="s">
        <v>1169</v>
      </c>
      <c r="C134" s="160">
        <v>20630</v>
      </c>
      <c r="D134" s="161">
        <v>15</v>
      </c>
      <c r="E134" s="161">
        <f>D134*$R$16*$E$6/1000</f>
        <v>30.977163636299995</v>
      </c>
      <c r="F134" s="161">
        <f>D134*(($S$16*$E$6+($T$16+$Y$16)*$F$6))/1000</f>
        <v>1.6656921099861599</v>
      </c>
      <c r="G134" s="492">
        <f t="shared" si="30"/>
        <v>32.642855746286152</v>
      </c>
      <c r="H134" s="200">
        <f>G134+G133+G132</f>
        <v>205.77431918672681</v>
      </c>
      <c r="I134" s="200"/>
      <c r="J134" s="1037"/>
      <c r="K134" s="209"/>
      <c r="L134" s="179">
        <f t="shared" si="31"/>
        <v>-0.31818181818181834</v>
      </c>
      <c r="AQ134">
        <v>2023</v>
      </c>
      <c r="AR134">
        <v>5661.32</v>
      </c>
      <c r="AS134">
        <v>4493.34</v>
      </c>
      <c r="AT134">
        <f t="shared" ref="AT134:AT137" si="32">AS134/AR134</f>
        <v>0.79369122395483749</v>
      </c>
      <c r="AW134">
        <v>2023</v>
      </c>
      <c r="AX134">
        <v>98.48</v>
      </c>
      <c r="AY134">
        <v>1426.76</v>
      </c>
      <c r="AZ134">
        <f t="shared" ref="AZ134:AZ135" si="33">AY134/AX134</f>
        <v>14.487814784727863</v>
      </c>
      <c r="BC134">
        <v>2023</v>
      </c>
      <c r="BD134">
        <v>31.657308</v>
      </c>
      <c r="BE134">
        <v>235.32993999999999</v>
      </c>
      <c r="BF134">
        <f t="shared" ref="BF134:BF135" si="34">BE134/BD134</f>
        <v>7.4336687124502179</v>
      </c>
    </row>
    <row r="135" spans="1:66" ht="13.8" x14ac:dyDescent="0.25">
      <c r="A135" s="981"/>
      <c r="B135" t="s">
        <v>1171</v>
      </c>
      <c r="C135" s="160">
        <v>29954</v>
      </c>
      <c r="D135" s="161">
        <v>27</v>
      </c>
      <c r="E135" s="161">
        <f>D135*$R$17*$E$6/1000</f>
        <v>26.780719618800003</v>
      </c>
      <c r="F135" s="161">
        <f>D135*(($S$17*$E$6+($T$17+$Y$17)*$F$6))/1000</f>
        <v>7.5453699241513528</v>
      </c>
      <c r="G135" s="493">
        <f t="shared" si="30"/>
        <v>34.326089542951358</v>
      </c>
      <c r="H135" s="200">
        <f>G135+G134+G133+G132</f>
        <v>240.10040872967818</v>
      </c>
      <c r="I135" s="200"/>
      <c r="J135" s="1037"/>
      <c r="K135" s="209"/>
      <c r="L135" s="179">
        <f t="shared" si="31"/>
        <v>-3.5714285714285587E-2</v>
      </c>
      <c r="AQ135">
        <v>2022</v>
      </c>
      <c r="AR135">
        <v>5660.45</v>
      </c>
      <c r="AS135">
        <v>4465.88</v>
      </c>
      <c r="AT135">
        <f t="shared" si="32"/>
        <v>0.78896200832089325</v>
      </c>
      <c r="AW135">
        <v>2022</v>
      </c>
      <c r="AX135">
        <v>99.76</v>
      </c>
      <c r="AY135">
        <v>1447.3644540703599</v>
      </c>
      <c r="AZ135">
        <f t="shared" si="33"/>
        <v>14.508464856358859</v>
      </c>
      <c r="BC135">
        <v>2022</v>
      </c>
      <c r="BD135">
        <v>30.8</v>
      </c>
      <c r="BE135">
        <v>216.53458442813599</v>
      </c>
      <c r="BF135">
        <f t="shared" si="34"/>
        <v>7.0303436502641556</v>
      </c>
    </row>
    <row r="136" spans="1:66" ht="13.8" x14ac:dyDescent="0.25">
      <c r="A136" s="981"/>
      <c r="B136" t="s">
        <v>1173</v>
      </c>
      <c r="C136" s="160">
        <f>SUM(C133:C135)</f>
        <v>75211</v>
      </c>
      <c r="D136" s="160">
        <f>SUM(D133:D135)</f>
        <v>74</v>
      </c>
      <c r="E136" s="161">
        <f>SUM(E133:E135)</f>
        <v>155.57016677510001</v>
      </c>
      <c r="F136" s="161">
        <f>SUM(F133:F135)</f>
        <v>38.600548734965194</v>
      </c>
      <c r="G136" s="493">
        <f t="shared" si="30"/>
        <v>194.17071551006521</v>
      </c>
      <c r="H136" s="200">
        <f>G136+G132</f>
        <v>240.10040872967818</v>
      </c>
      <c r="I136" s="200">
        <f>D136+I132</f>
        <v>207</v>
      </c>
      <c r="J136" s="1037"/>
      <c r="K136" s="209">
        <f>(D136-D119)/D119</f>
        <v>-0.26732673267326734</v>
      </c>
      <c r="L136" s="179">
        <f t="shared" si="31"/>
        <v>-0.32155925461145918</v>
      </c>
      <c r="AQ136">
        <v>2021</v>
      </c>
      <c r="AR136">
        <v>5658.91</v>
      </c>
      <c r="AS136">
        <v>4428.41</v>
      </c>
      <c r="AT136">
        <f t="shared" si="32"/>
        <v>0.7825552977516872</v>
      </c>
      <c r="AW136">
        <v>2021</v>
      </c>
      <c r="AX136">
        <v>99.49</v>
      </c>
      <c r="AY136">
        <v>1443.48</v>
      </c>
      <c r="AZ136">
        <f>AY136/AX136</f>
        <v>14.508794853754146</v>
      </c>
      <c r="BC136">
        <v>2021</v>
      </c>
      <c r="BD136">
        <v>31.491896199999999</v>
      </c>
      <c r="BE136">
        <v>236.930844697</v>
      </c>
      <c r="BF136">
        <f>BE136/BD136</f>
        <v>7.5235496520212717</v>
      </c>
    </row>
    <row r="137" spans="1:66" ht="13.8" x14ac:dyDescent="0.25">
      <c r="A137" s="981"/>
      <c r="B137" t="s">
        <v>1174</v>
      </c>
      <c r="C137" s="160">
        <v>28</v>
      </c>
      <c r="D137" s="161">
        <v>8</v>
      </c>
      <c r="E137" s="161">
        <f>D137*$R$20*$E$6/1000</f>
        <v>0.33600000000000002</v>
      </c>
      <c r="F137" s="161">
        <f>D137*(($S$20*$E$6+($T$20+$Y$19)*$F$6))/1000</f>
        <v>1.4206061999999999</v>
      </c>
      <c r="G137" s="493">
        <f t="shared" si="30"/>
        <v>1.7566062</v>
      </c>
      <c r="H137" s="200">
        <f>H136+G137</f>
        <v>241.85701492967817</v>
      </c>
      <c r="I137" s="200"/>
      <c r="J137" s="1037"/>
      <c r="K137" s="209"/>
      <c r="L137" s="179">
        <f t="shared" si="31"/>
        <v>-0.19999999999999993</v>
      </c>
      <c r="AQ137">
        <v>2020</v>
      </c>
      <c r="AR137">
        <v>5657.65</v>
      </c>
      <c r="AS137">
        <v>4400.99</v>
      </c>
      <c r="AT137">
        <f t="shared" si="32"/>
        <v>0.77788304331303637</v>
      </c>
      <c r="AX137">
        <v>101.28</v>
      </c>
      <c r="AY137">
        <v>1472.12</v>
      </c>
      <c r="AZ137">
        <f>AY137/AX137</f>
        <v>14.53515007898894</v>
      </c>
      <c r="BD137">
        <v>30.13045</v>
      </c>
      <c r="BE137">
        <v>226.246644</v>
      </c>
      <c r="BF137">
        <f>BE137/BD137</f>
        <v>7.5089035842478289</v>
      </c>
    </row>
    <row r="138" spans="1:66" ht="13.8" x14ac:dyDescent="0.25">
      <c r="A138" s="981"/>
      <c r="B138" t="s">
        <v>1175</v>
      </c>
      <c r="C138" s="604">
        <v>2380</v>
      </c>
      <c r="D138" s="161">
        <v>720</v>
      </c>
      <c r="E138" s="161">
        <f>D138*$R$20*$E$6/1000</f>
        <v>30.24</v>
      </c>
      <c r="F138" s="161">
        <f>D138*(($S$20*$E$6+($T$20+$Y$20)*$F$6))/1000</f>
        <v>127.85455799999998</v>
      </c>
      <c r="G138" s="492">
        <f t="shared" ref="G138:G143" si="35">E138+F138</f>
        <v>158.09455799999998</v>
      </c>
      <c r="H138" s="200">
        <f>G138+G136+G135+G137</f>
        <v>388.34796925301657</v>
      </c>
      <c r="I138" s="200"/>
      <c r="J138" s="1037"/>
      <c r="K138" s="209"/>
      <c r="L138" s="179">
        <f t="shared" si="31"/>
        <v>-5.2631578947368557E-2</v>
      </c>
      <c r="AT138">
        <f>AVERAGE(AT133:AT137)</f>
        <v>0.78830853007291746</v>
      </c>
      <c r="AZ138">
        <f>AVERAGE(AZ133:AZ137)</f>
        <v>14.499971649878898</v>
      </c>
      <c r="BF138">
        <f>AVERAGE(BF133:BF137)</f>
        <v>7.3796588596330199</v>
      </c>
    </row>
    <row r="139" spans="1:66" ht="13.8" x14ac:dyDescent="0.25">
      <c r="A139" s="981"/>
      <c r="B139" t="s">
        <v>1176</v>
      </c>
      <c r="C139" s="604">
        <v>33236</v>
      </c>
      <c r="D139" s="161">
        <v>5770</v>
      </c>
      <c r="E139" s="161">
        <f>D139*$R$21*$E$6/1000</f>
        <v>242.34</v>
      </c>
      <c r="F139" s="161">
        <f>D139*(($S$21*$E$6+($T$21+$Y$21)*$F$6))/1000</f>
        <v>987.56284970534648</v>
      </c>
      <c r="G139" s="492">
        <f t="shared" si="35"/>
        <v>1229.9028497053464</v>
      </c>
      <c r="H139" s="200">
        <f>G139+G135+G137</f>
        <v>1265.9855454482979</v>
      </c>
      <c r="I139" s="200"/>
      <c r="J139" s="1037"/>
      <c r="K139" s="209">
        <f>(D139-D122)/D122</f>
        <v>-0.1426448736998514</v>
      </c>
      <c r="L139" s="179">
        <f t="shared" si="31"/>
        <v>-0.14264487369985149</v>
      </c>
    </row>
    <row r="140" spans="1:66" ht="13.8" x14ac:dyDescent="0.25">
      <c r="A140" s="981"/>
      <c r="B140" t="s">
        <v>1177</v>
      </c>
      <c r="C140" s="604">
        <f>SUM(C137:C139)</f>
        <v>35644</v>
      </c>
      <c r="D140" s="161">
        <f>SUM(D137:D139)</f>
        <v>6498</v>
      </c>
      <c r="E140" s="161">
        <f>SUM(E137:E139)</f>
        <v>272.916</v>
      </c>
      <c r="F140" s="161">
        <f>SUM(F137:F139)</f>
        <v>1116.8380139053465</v>
      </c>
      <c r="G140" s="492">
        <f t="shared" si="35"/>
        <v>1389.7540139053465</v>
      </c>
      <c r="H140" s="200">
        <f>G140</f>
        <v>1389.7540139053465</v>
      </c>
      <c r="I140" s="200">
        <f>D140+I136</f>
        <v>6705</v>
      </c>
      <c r="J140" s="1037"/>
      <c r="K140" s="209">
        <f>(D140-D123)/D123</f>
        <v>-0.1336</v>
      </c>
      <c r="L140" s="179">
        <f t="shared" si="31"/>
        <v>-0.13335626085898727</v>
      </c>
    </row>
    <row r="141" spans="1:66" ht="13.8" x14ac:dyDescent="0.25">
      <c r="A141" s="981"/>
      <c r="B141" t="s">
        <v>1178</v>
      </c>
      <c r="C141" s="604">
        <v>44446</v>
      </c>
      <c r="D141" s="161">
        <v>273</v>
      </c>
      <c r="E141" s="161">
        <f>D141*$R$23*$E$6/1000</f>
        <v>137.59201096668673</v>
      </c>
      <c r="F141" s="161">
        <f>D141*(($S$23*$E$6+($T$23+$Y$23)*$F$6))/1000</f>
        <v>14.645849078056171</v>
      </c>
      <c r="G141" s="492">
        <f t="shared" si="35"/>
        <v>152.23786004474289</v>
      </c>
      <c r="H141" s="200">
        <f>G140+G141</f>
        <v>1541.9918739500895</v>
      </c>
      <c r="I141" s="200">
        <f>I140+D141</f>
        <v>6978</v>
      </c>
      <c r="J141" s="1037"/>
      <c r="K141" s="209">
        <f>(D141-D124)/D124</f>
        <v>-0.12779552715654952</v>
      </c>
      <c r="L141" s="179">
        <f t="shared" si="31"/>
        <v>-0.12779552715654963</v>
      </c>
      <c r="AY141" s="16" t="s">
        <v>1239</v>
      </c>
      <c r="AZ141" s="16" t="s">
        <v>1276</v>
      </c>
      <c r="BA141" s="16" t="s">
        <v>1277</v>
      </c>
      <c r="BB141" s="16" t="s">
        <v>1278</v>
      </c>
      <c r="BC141" s="16" t="s">
        <v>1279</v>
      </c>
      <c r="BD141" s="16" t="s">
        <v>1280</v>
      </c>
      <c r="BE141" s="16" t="s">
        <v>1281</v>
      </c>
      <c r="BF141" s="16" t="s">
        <v>1282</v>
      </c>
      <c r="BG141" s="16" t="s">
        <v>1283</v>
      </c>
      <c r="BH141" s="16" t="s">
        <v>423</v>
      </c>
      <c r="BI141" s="16" t="s">
        <v>423</v>
      </c>
      <c r="BJ141" s="16" t="s">
        <v>1282</v>
      </c>
      <c r="BK141" s="16" t="s">
        <v>1283</v>
      </c>
    </row>
    <row r="142" spans="1:66" ht="13.8" x14ac:dyDescent="0.25">
      <c r="A142" s="981"/>
      <c r="B142" t="s">
        <v>1179</v>
      </c>
      <c r="C142" s="604">
        <v>1759</v>
      </c>
      <c r="D142" s="161">
        <v>49</v>
      </c>
      <c r="E142" s="161">
        <f>D142*$R$24*$E$6/1000</f>
        <v>6.86</v>
      </c>
      <c r="F142" s="161">
        <f>D142*(($S$24*$E$6+($T$24+$Y$24)*$F$6))/1000</f>
        <v>2.1003500889405999</v>
      </c>
      <c r="G142" s="492">
        <f t="shared" si="35"/>
        <v>8.9603500889406007</v>
      </c>
      <c r="H142" s="200">
        <f>SUM(G140:G142)</f>
        <v>1550.9522240390302</v>
      </c>
      <c r="I142" s="200">
        <f>D142+I141</f>
        <v>7027</v>
      </c>
      <c r="J142" s="1037"/>
      <c r="K142" s="209">
        <f>(D142-D125)/D125</f>
        <v>0</v>
      </c>
      <c r="L142" s="179">
        <f t="shared" si="31"/>
        <v>0</v>
      </c>
      <c r="AY142" s="16" t="s">
        <v>1255</v>
      </c>
      <c r="AZ142" t="str">
        <f>AQ114</f>
        <v>Planted forest before 1990</v>
      </c>
      <c r="BA142">
        <f t="shared" ref="BA142:BH142" si="36">AR114</f>
        <v>2500900</v>
      </c>
      <c r="BB142">
        <f t="shared" si="36"/>
        <v>250.09</v>
      </c>
      <c r="BC142">
        <f t="shared" si="36"/>
        <v>2.5009000000000001</v>
      </c>
      <c r="BD142">
        <f t="shared" si="36"/>
        <v>1.0291878607355615E-2</v>
      </c>
      <c r="BE142">
        <f t="shared" si="36"/>
        <v>-2.0099999999999998</v>
      </c>
      <c r="BF142">
        <f t="shared" si="36"/>
        <v>-7.3646399999999996</v>
      </c>
      <c r="BG142">
        <f t="shared" si="36"/>
        <v>-1841.8228176</v>
      </c>
      <c r="BH142">
        <f t="shared" si="36"/>
        <v>6.15</v>
      </c>
      <c r="BI142" t="str">
        <f t="shared" ref="BI142:BI143" si="37">AZ114</f>
        <v>4A2b</v>
      </c>
      <c r="BJ142">
        <f t="shared" ref="BJ142:BJ143" si="38">BA114</f>
        <v>-7.3646399999999996</v>
      </c>
      <c r="BK142">
        <f t="shared" ref="BK142:BK143" si="39">BB114</f>
        <v>-1841.8228176</v>
      </c>
      <c r="BL142">
        <f>BJ142*BB142</f>
        <v>-1841.8228176</v>
      </c>
      <c r="BN142">
        <v>-1841.8228176</v>
      </c>
    </row>
    <row r="143" spans="1:66" ht="14.4" thickBot="1" x14ac:dyDescent="0.3">
      <c r="A143" s="1036"/>
      <c r="B143" t="s">
        <v>1181</v>
      </c>
      <c r="C143" s="605">
        <v>426380</v>
      </c>
      <c r="D143" s="169">
        <v>71010</v>
      </c>
      <c r="E143" s="161">
        <f>D143*$R$25*$E$6/1000</f>
        <v>39.76557614064</v>
      </c>
      <c r="F143" s="161">
        <f>D143*(($S$25*$E$6+($T$25+$Y$25)*$F$6))/1000</f>
        <v>394.9207883721848</v>
      </c>
      <c r="G143" s="494">
        <f t="shared" si="35"/>
        <v>434.68636451282481</v>
      </c>
      <c r="H143" s="200">
        <f>SUM(G140:G143)+G136+G132</f>
        <v>2225.7389972815331</v>
      </c>
      <c r="I143" s="200">
        <f>I142+D143</f>
        <v>78037</v>
      </c>
      <c r="J143" s="1037"/>
      <c r="K143" s="209">
        <f>(D143-D126)/D126</f>
        <v>0.1269103200926793</v>
      </c>
      <c r="L143" s="179">
        <f t="shared" si="31"/>
        <v>0.12691032009267936</v>
      </c>
      <c r="AY143" s="16" t="s">
        <v>1255</v>
      </c>
      <c r="AZ143" t="str">
        <f>AQ115</f>
        <v>Natural birch forest</v>
      </c>
      <c r="BA143">
        <f t="shared" ref="BA143:BH143" si="40">AR115</f>
        <v>6251150</v>
      </c>
      <c r="BB143">
        <f t="shared" si="40"/>
        <v>625.11500000000001</v>
      </c>
      <c r="BC143">
        <f t="shared" si="40"/>
        <v>6.25115</v>
      </c>
      <c r="BD143">
        <f t="shared" si="40"/>
        <v>2.5725169721448695E-2</v>
      </c>
      <c r="BE143">
        <f t="shared" si="40"/>
        <v>2.9999999999999971E-2</v>
      </c>
      <c r="BF143">
        <f t="shared" si="40"/>
        <v>0.10991999999999989</v>
      </c>
      <c r="BG143">
        <f t="shared" si="40"/>
        <v>68.712640799999932</v>
      </c>
      <c r="BH143">
        <f t="shared" si="40"/>
        <v>6.15</v>
      </c>
      <c r="BI143" t="str">
        <f t="shared" si="37"/>
        <v>4A1</v>
      </c>
      <c r="BJ143">
        <f t="shared" si="38"/>
        <v>0.10991999999999989</v>
      </c>
      <c r="BK143">
        <f t="shared" si="39"/>
        <v>68.712640799999932</v>
      </c>
      <c r="BL143">
        <f t="shared" ref="BL143:BL158" si="41">BJ143*BB143</f>
        <v>68.712640799999932</v>
      </c>
      <c r="BN143">
        <v>68.712640799999932</v>
      </c>
    </row>
    <row r="144" spans="1:66" ht="14.4" thickBot="1" x14ac:dyDescent="0.3">
      <c r="A144" s="172" t="s">
        <v>3</v>
      </c>
      <c r="B144" s="173">
        <f>A128</f>
        <v>2023</v>
      </c>
      <c r="C144" s="174">
        <f>SUM(C140:C143)</f>
        <v>508229</v>
      </c>
      <c r="D144" s="174"/>
      <c r="E144" s="205">
        <f>SUM(E140:E143)+E136+E132</f>
        <v>651.58602512164043</v>
      </c>
      <c r="F144" s="205">
        <f>SUM(F140:F143)+F136+F132</f>
        <v>1574.1529721598929</v>
      </c>
      <c r="G144" s="495">
        <f t="shared" ref="G144:G154" si="42">E144+F144</f>
        <v>2225.7389972815336</v>
      </c>
      <c r="H144" s="175">
        <f>H143</f>
        <v>2225.7389972815331</v>
      </c>
      <c r="I144" s="175">
        <f>SUM(I140:I143)</f>
        <v>98747</v>
      </c>
      <c r="J144" s="1038"/>
      <c r="K144" s="190">
        <f>(I144-I127)/I127</f>
        <v>2.7309044755623062E-2</v>
      </c>
      <c r="L144" s="191">
        <f>(G144-G127)/G127</f>
        <v>-0.13237105019457499</v>
      </c>
      <c r="AY144" s="16" t="s">
        <v>1284</v>
      </c>
      <c r="AZ144" t="str">
        <f>AQ123</f>
        <v>Forest land unknown age</v>
      </c>
      <c r="BA144">
        <f t="shared" ref="BA144:BH144" si="43">AR123</f>
        <v>646500</v>
      </c>
      <c r="BB144">
        <f t="shared" si="43"/>
        <v>64.650000000000006</v>
      </c>
      <c r="BC144">
        <f t="shared" si="43"/>
        <v>0.64650000000000007</v>
      </c>
      <c r="BD144">
        <f t="shared" si="43"/>
        <v>2.6605220199349853E-3</v>
      </c>
      <c r="BE144">
        <f t="shared" si="43"/>
        <v>-2.0099999999999998</v>
      </c>
      <c r="BF144">
        <f t="shared" si="43"/>
        <v>-7.3646399999999996</v>
      </c>
      <c r="BG144">
        <f t="shared" si="43"/>
        <v>-476.12397600000003</v>
      </c>
      <c r="BH144">
        <f t="shared" si="43"/>
        <v>0</v>
      </c>
      <c r="BI144">
        <f t="shared" ref="BI144" si="44">AZ123</f>
        <v>0</v>
      </c>
      <c r="BJ144">
        <f t="shared" ref="BJ144" si="45">BA123</f>
        <v>-7.3646399999999996</v>
      </c>
      <c r="BK144">
        <f t="shared" ref="BK144" si="46">BB123</f>
        <v>-476.12397600000003</v>
      </c>
      <c r="BL144">
        <f t="shared" si="41"/>
        <v>-476.12397600000003</v>
      </c>
      <c r="BN144">
        <v>-476.12397600000003</v>
      </c>
    </row>
    <row r="145" spans="1:66" ht="13.8" x14ac:dyDescent="0.25">
      <c r="A145" s="981">
        <v>2024</v>
      </c>
      <c r="B145" t="s">
        <v>1154</v>
      </c>
      <c r="C145" s="152">
        <v>267948</v>
      </c>
      <c r="D145" s="153">
        <v>126</v>
      </c>
      <c r="E145" s="153">
        <f>D145*$R$10*$E$6/1000</f>
        <v>39.328796832900721</v>
      </c>
      <c r="F145" s="153">
        <f>D145*(($S$10*$E$6+($T$10+$Y$10)*$F$6))/1000</f>
        <v>7.5327735125604729</v>
      </c>
      <c r="G145" s="491">
        <f t="shared" si="42"/>
        <v>46.861570345461196</v>
      </c>
      <c r="H145" s="199">
        <f>G145</f>
        <v>46.861570345461196</v>
      </c>
      <c r="I145" s="199"/>
      <c r="J145" s="1037" t="str">
        <f>"Milli áranna "&amp; $A128 &amp;" og "&amp; $A145</f>
        <v>Milli áranna 2023 og 2024</v>
      </c>
      <c r="K145" s="208"/>
      <c r="L145" s="179">
        <f>(G145-G128)/G128</f>
        <v>0.4000000000000003</v>
      </c>
      <c r="AT145">
        <f>AS109+AS116+AS119+AS120+AS122+AS121</f>
        <v>12262.355</v>
      </c>
      <c r="AY145" s="16" t="s">
        <v>1285</v>
      </c>
      <c r="AZ145" t="str">
        <f>AQ113</f>
        <v>Planted forest 1990-2024</v>
      </c>
      <c r="BA145">
        <f t="shared" ref="BA145:BH145" si="47">AR113</f>
        <v>16324950</v>
      </c>
      <c r="BB145">
        <f t="shared" si="47"/>
        <v>1632.4949999999999</v>
      </c>
      <c r="BC145">
        <f t="shared" si="47"/>
        <v>16.324949999999998</v>
      </c>
      <c r="BD145">
        <f t="shared" si="47"/>
        <v>6.7181576101063609E-2</v>
      </c>
      <c r="BE145">
        <f t="shared" si="47"/>
        <v>-2.0886446099999998</v>
      </c>
      <c r="BF145">
        <f t="shared" si="47"/>
        <v>-7.6527938510399993</v>
      </c>
      <c r="BG145">
        <f t="shared" si="47"/>
        <v>-12493.147697853543</v>
      </c>
      <c r="BH145">
        <f t="shared" si="47"/>
        <v>6.18</v>
      </c>
      <c r="BI145" t="str">
        <f t="shared" ref="BI145" si="48">AZ113</f>
        <v>4A2b</v>
      </c>
      <c r="BJ145">
        <f t="shared" ref="BJ145" si="49">BA113</f>
        <v>-7.6527938510399993</v>
      </c>
      <c r="BK145">
        <f t="shared" ref="BK145" si="50">BB113</f>
        <v>-12493.147697853543</v>
      </c>
      <c r="BL145">
        <f t="shared" si="41"/>
        <v>-12493.147697853543</v>
      </c>
      <c r="BN145">
        <v>-12493.147697853543</v>
      </c>
    </row>
    <row r="146" spans="1:66" ht="13.8" x14ac:dyDescent="0.25">
      <c r="A146" s="981"/>
      <c r="B146" t="s">
        <v>1162</v>
      </c>
      <c r="C146" s="160">
        <v>9238</v>
      </c>
      <c r="D146" s="161">
        <v>6</v>
      </c>
      <c r="E146" s="161">
        <f>D146*$R$11*$E$6/1000</f>
        <v>2.0067616662354459</v>
      </c>
      <c r="F146" s="161">
        <f>D146*(($S$11*$E$6+($T$11+$Y$11)*$F$6))/1000</f>
        <v>0.4670787540990432</v>
      </c>
      <c r="G146" s="492">
        <f t="shared" si="42"/>
        <v>2.473840420334489</v>
      </c>
      <c r="H146" s="200">
        <f>G146+G145</f>
        <v>49.335410765795686</v>
      </c>
      <c r="I146" s="200"/>
      <c r="J146" s="1037"/>
      <c r="K146" s="209"/>
      <c r="L146" s="179">
        <f t="shared" ref="L146:L160" si="51">(G146-G129)/G129</f>
        <v>0.1999999999999999</v>
      </c>
      <c r="AT146">
        <f>AT145/AS124</f>
        <v>0.50462900995761584</v>
      </c>
      <c r="AY146" s="16" t="s">
        <v>1260</v>
      </c>
      <c r="AZ146" t="str">
        <f>AQ118</f>
        <v>Cropland cultivated</v>
      </c>
      <c r="BA146">
        <f t="shared" ref="BA146:BH146" si="52">AR118</f>
        <v>1792850</v>
      </c>
      <c r="BB146">
        <f t="shared" si="52"/>
        <v>179.285</v>
      </c>
      <c r="BC146">
        <f t="shared" si="52"/>
        <v>1.7928500000000001</v>
      </c>
      <c r="BD146">
        <f t="shared" si="52"/>
        <v>7.3780617222589913E-3</v>
      </c>
      <c r="BE146">
        <f t="shared" si="52"/>
        <v>-0.15</v>
      </c>
      <c r="BF146">
        <f t="shared" si="52"/>
        <v>-0.54959999999999998</v>
      </c>
      <c r="BG146">
        <f t="shared" si="52"/>
        <v>-98.535035999999991</v>
      </c>
      <c r="BH146">
        <f t="shared" si="52"/>
        <v>6.23</v>
      </c>
      <c r="BI146" t="str">
        <f t="shared" ref="BI146" si="53">AZ118</f>
        <v>4B1</v>
      </c>
      <c r="BJ146">
        <f t="shared" ref="BJ146" si="54">BA118</f>
        <v>14.499971649878898</v>
      </c>
      <c r="BK146">
        <f t="shared" ref="BK146" si="55">BB118</f>
        <v>2599.6274172485382</v>
      </c>
      <c r="BL146">
        <f t="shared" si="41"/>
        <v>2599.6274172485382</v>
      </c>
      <c r="BN146">
        <v>2599.6274172485382</v>
      </c>
    </row>
    <row r="147" spans="1:66" ht="13.8" x14ac:dyDescent="0.25">
      <c r="A147" s="981"/>
      <c r="B147" t="s">
        <v>1164</v>
      </c>
      <c r="C147" s="160">
        <v>63098</v>
      </c>
      <c r="D147" s="161">
        <v>33</v>
      </c>
      <c r="E147" s="161">
        <f>D147*$R$12*$E$6/1000</f>
        <v>8.7310689094938922</v>
      </c>
      <c r="F147" s="161">
        <f>D147*(($S$12*$E$6+($T$12+$Y$12)*$F$6))/1000</f>
        <v>1.3115678620474549</v>
      </c>
      <c r="G147" s="492">
        <f t="shared" si="42"/>
        <v>10.042636771541346</v>
      </c>
      <c r="H147" s="200">
        <f>G147+G146+G145</f>
        <v>59.378047537337032</v>
      </c>
      <c r="I147" s="200"/>
      <c r="J147" s="1037"/>
      <c r="K147" s="209"/>
      <c r="L147" s="179">
        <f t="shared" si="51"/>
        <v>6.4516129032258118E-2</v>
      </c>
      <c r="AY147" s="16" t="s">
        <v>1244</v>
      </c>
      <c r="AZ147" t="str">
        <f>AQ109</f>
        <v>Grassland</v>
      </c>
      <c r="BA147">
        <f t="shared" ref="BA147:BH147" si="56">AR109</f>
        <v>99856300</v>
      </c>
      <c r="BB147">
        <f t="shared" si="56"/>
        <v>9985.6299999999992</v>
      </c>
      <c r="BC147">
        <f t="shared" si="56"/>
        <v>99.85629999999999</v>
      </c>
      <c r="BD147">
        <f t="shared" si="56"/>
        <v>0.4109356302849711</v>
      </c>
      <c r="BE147">
        <f t="shared" si="56"/>
        <v>-0.11</v>
      </c>
      <c r="BF147">
        <f t="shared" si="56"/>
        <v>-0.40304000000000001</v>
      </c>
      <c r="BG147">
        <f t="shared" si="56"/>
        <v>-4024.6083151999997</v>
      </c>
      <c r="BH147">
        <f t="shared" si="56"/>
        <v>6.37</v>
      </c>
      <c r="BI147" t="str">
        <f t="shared" ref="BI147" si="57">AZ109</f>
        <v>4C1</v>
      </c>
      <c r="BJ147">
        <f t="shared" ref="BJ147" si="58">BA109</f>
        <v>0.78830853007291746</v>
      </c>
      <c r="BK147">
        <f t="shared" ref="BK147" si="59">BB109</f>
        <v>7871.7573071520264</v>
      </c>
      <c r="BL147">
        <f t="shared" si="41"/>
        <v>7871.7573071520264</v>
      </c>
      <c r="BN147">
        <v>7871.7573071520264</v>
      </c>
    </row>
    <row r="148" spans="1:66" ht="13.8" x14ac:dyDescent="0.25">
      <c r="A148" s="981"/>
      <c r="B148" t="s">
        <v>1166</v>
      </c>
      <c r="C148" s="160">
        <v>7892</v>
      </c>
      <c r="D148" s="161">
        <v>7</v>
      </c>
      <c r="E148" s="161">
        <f>D148*$R$13*$E$6/1000</f>
        <v>0.91605889488850534</v>
      </c>
      <c r="F148" s="161">
        <f>D148*(($S$13*$E$6+($T$13+$Y$13)*$F$6))/1000</f>
        <v>4.5558275633757597E-2</v>
      </c>
      <c r="G148" s="492">
        <f t="shared" si="42"/>
        <v>0.96161717052226292</v>
      </c>
      <c r="H148" s="200">
        <f>SUM(G145:G148)</f>
        <v>60.339664707859292</v>
      </c>
      <c r="I148" s="200"/>
      <c r="J148" s="1037"/>
      <c r="K148" s="209"/>
      <c r="L148" s="179">
        <f t="shared" si="51"/>
        <v>0</v>
      </c>
      <c r="AY148" s="16" t="s">
        <v>1244</v>
      </c>
      <c r="AZ148" t="str">
        <f>AQ116</f>
        <v>Natural birch shrubland</v>
      </c>
      <c r="BA148">
        <f t="shared" ref="BA148:BH148" si="60">AR116</f>
        <v>79125</v>
      </c>
      <c r="BB148">
        <f t="shared" si="60"/>
        <v>7.9124999999999996</v>
      </c>
      <c r="BC148">
        <f t="shared" si="60"/>
        <v>7.9125000000000001E-2</v>
      </c>
      <c r="BD148">
        <f t="shared" si="60"/>
        <v>3.2562073445840012E-4</v>
      </c>
      <c r="BE148">
        <f t="shared" si="60"/>
        <v>-0.18250000000000002</v>
      </c>
      <c r="BF148">
        <f t="shared" si="60"/>
        <v>-0.66868000000000016</v>
      </c>
      <c r="BG148">
        <f t="shared" si="60"/>
        <v>-5.2909305000000009</v>
      </c>
      <c r="BH148">
        <f t="shared" si="60"/>
        <v>6.37</v>
      </c>
      <c r="BI148" t="str">
        <f t="shared" ref="BI148" si="61">AZ116</f>
        <v>4C1</v>
      </c>
      <c r="BJ148">
        <f t="shared" ref="BJ148" si="62">BA116</f>
        <v>-0.66868000000000016</v>
      </c>
      <c r="BK148">
        <f t="shared" ref="BK148" si="63">BB116</f>
        <v>-5.2909305000000009</v>
      </c>
      <c r="BL148">
        <f t="shared" si="41"/>
        <v>-5.2909305000000009</v>
      </c>
      <c r="BN148">
        <v>-5.2909305000000009</v>
      </c>
    </row>
    <row r="149" spans="1:66" ht="13.8" x14ac:dyDescent="0.25">
      <c r="A149" s="981"/>
      <c r="B149" t="s">
        <v>1167</v>
      </c>
      <c r="C149" s="160">
        <f>SUM(C145:C148)</f>
        <v>348176</v>
      </c>
      <c r="D149" s="161">
        <f>SUM(D145:D148)</f>
        <v>172</v>
      </c>
      <c r="E149" s="161">
        <f>SUM(E145:E148)</f>
        <v>50.98268630351857</v>
      </c>
      <c r="F149" s="161">
        <f>SUM(F145:F148)</f>
        <v>9.3569784043407278</v>
      </c>
      <c r="G149" s="492">
        <f t="shared" si="42"/>
        <v>60.339664707859299</v>
      </c>
      <c r="H149" s="200">
        <f>G149</f>
        <v>60.339664707859299</v>
      </c>
      <c r="I149" s="200"/>
      <c r="J149" s="1037"/>
      <c r="K149" s="209">
        <f>(D149-D132)/D132</f>
        <v>0.2932330827067669</v>
      </c>
      <c r="L149" s="179">
        <f t="shared" si="51"/>
        <v>0.31373977220672877</v>
      </c>
      <c r="AY149" s="16" t="s">
        <v>1286</v>
      </c>
      <c r="AZ149" t="str">
        <f>AQ122</f>
        <v>Cropland inactive</v>
      </c>
      <c r="BA149">
        <f t="shared" ref="BA149:BH149" si="64">AR122</f>
        <v>5070425</v>
      </c>
      <c r="BB149">
        <f t="shared" si="64"/>
        <v>507.04250000000002</v>
      </c>
      <c r="BC149">
        <f t="shared" si="64"/>
        <v>5.0704250000000002</v>
      </c>
      <c r="BD149">
        <f t="shared" si="64"/>
        <v>2.0866167614739129E-2</v>
      </c>
      <c r="BE149">
        <f t="shared" si="64"/>
        <v>5.7</v>
      </c>
      <c r="BF149">
        <f t="shared" si="64"/>
        <v>20.884800000000002</v>
      </c>
      <c r="BG149">
        <f t="shared" si="64"/>
        <v>10589.481204000002</v>
      </c>
      <c r="BH149">
        <f t="shared" si="64"/>
        <v>0</v>
      </c>
      <c r="BI149" t="str">
        <f t="shared" ref="BI149" si="65">AZ122</f>
        <v>4C2b</v>
      </c>
      <c r="BJ149">
        <f t="shared" ref="BJ149" si="66">BA122</f>
        <v>7.3796588596330199</v>
      </c>
      <c r="BK149">
        <f t="shared" ref="BK149" si="67">BB122</f>
        <v>3741.8006773354755</v>
      </c>
      <c r="BL149">
        <f t="shared" si="41"/>
        <v>3741.8006773354755</v>
      </c>
      <c r="BN149">
        <v>3741.8006773354755</v>
      </c>
    </row>
    <row r="150" spans="1:66" ht="13.8" x14ac:dyDescent="0.25">
      <c r="A150" s="981"/>
      <c r="B150" t="s">
        <v>1168</v>
      </c>
      <c r="C150" s="160">
        <v>25460</v>
      </c>
      <c r="D150" s="161">
        <v>45</v>
      </c>
      <c r="E150" s="161">
        <f>D150*$R$15*$E$6/1000</f>
        <v>137.54852370000003</v>
      </c>
      <c r="F150" s="161">
        <f>D150*(($S$15*$E$6+($T$15+$Y$15)*$F$6))/1000</f>
        <v>41.328965673038923</v>
      </c>
      <c r="G150" s="492">
        <f t="shared" si="42"/>
        <v>178.87748937303894</v>
      </c>
      <c r="H150" s="200">
        <f>G150+G149</f>
        <v>239.21715408089824</v>
      </c>
      <c r="I150" s="200"/>
      <c r="J150" s="1037"/>
      <c r="K150" s="209"/>
      <c r="L150" s="179">
        <f t="shared" si="51"/>
        <v>0.40625000000000011</v>
      </c>
      <c r="AY150" s="16" t="s">
        <v>1286</v>
      </c>
      <c r="AZ150" t="str">
        <f>AQ121</f>
        <v>Grassland on drained soil before 2009</v>
      </c>
      <c r="BA150">
        <f t="shared" ref="BA150:BH150" si="68">AR121</f>
        <v>15346250</v>
      </c>
      <c r="BB150">
        <f t="shared" si="68"/>
        <v>1534.625</v>
      </c>
      <c r="BC150">
        <f t="shared" si="68"/>
        <v>15.34625</v>
      </c>
      <c r="BD150">
        <f t="shared" si="68"/>
        <v>6.3153961405146578E-2</v>
      </c>
      <c r="BE150">
        <f t="shared" si="68"/>
        <v>5.7</v>
      </c>
      <c r="BF150">
        <f t="shared" si="68"/>
        <v>20.884800000000002</v>
      </c>
      <c r="BG150">
        <f t="shared" si="68"/>
        <v>32050.336200000002</v>
      </c>
      <c r="BH150">
        <f t="shared" si="68"/>
        <v>6.41</v>
      </c>
      <c r="BI150">
        <f t="shared" ref="BI150" si="69">AZ121</f>
        <v>0</v>
      </c>
      <c r="BJ150">
        <f t="shared" ref="BJ150" si="70">BA121</f>
        <v>20.884800000000002</v>
      </c>
      <c r="BK150">
        <f t="shared" ref="BK150" si="71">BB121</f>
        <v>32050.336200000002</v>
      </c>
      <c r="BL150">
        <f t="shared" si="41"/>
        <v>32050.336200000002</v>
      </c>
      <c r="BN150">
        <v>32050.336200000002</v>
      </c>
    </row>
    <row r="151" spans="1:66" ht="13.8" x14ac:dyDescent="0.25">
      <c r="A151" s="981"/>
      <c r="B151" t="s">
        <v>1169</v>
      </c>
      <c r="C151" s="160">
        <v>21244</v>
      </c>
      <c r="D151" s="161">
        <v>4</v>
      </c>
      <c r="E151" s="161">
        <f>D151*$R$16*$E$6/1000</f>
        <v>8.2605769696800007</v>
      </c>
      <c r="F151" s="161">
        <f>D151*(($S$16*$E$6+($T$16+$Y$16)*$F$6))/1000</f>
        <v>0.44418456266297596</v>
      </c>
      <c r="G151" s="492">
        <f t="shared" si="42"/>
        <v>8.7047615323429763</v>
      </c>
      <c r="H151" s="200">
        <f>G151+G150+G149</f>
        <v>247.92191561324123</v>
      </c>
      <c r="I151" s="200"/>
      <c r="J151" s="1037"/>
      <c r="K151" s="209"/>
      <c r="L151" s="179">
        <f t="shared" si="51"/>
        <v>-0.73333333333333317</v>
      </c>
      <c r="AY151" s="16" t="s">
        <v>1286</v>
      </c>
      <c r="AZ151" t="str">
        <f>AQ119</f>
        <v>Revegetated before 1990</v>
      </c>
      <c r="BA151">
        <f t="shared" ref="BA151:BH151" si="72">AR119</f>
        <v>2053950</v>
      </c>
      <c r="BB151">
        <f t="shared" si="72"/>
        <v>205.39500000000001</v>
      </c>
      <c r="BC151">
        <f t="shared" si="72"/>
        <v>2.0539499999999999</v>
      </c>
      <c r="BD151">
        <f t="shared" si="72"/>
        <v>8.4525587050973891E-3</v>
      </c>
      <c r="BE151">
        <f t="shared" si="72"/>
        <v>-0.58000000000000007</v>
      </c>
      <c r="BF151">
        <f t="shared" si="72"/>
        <v>-2.1251200000000003</v>
      </c>
      <c r="BG151">
        <f t="shared" si="72"/>
        <v>-436.48902240000007</v>
      </c>
      <c r="BH151">
        <f t="shared" si="72"/>
        <v>6.41</v>
      </c>
      <c r="BI151">
        <f t="shared" ref="BI151:BI152" si="73">AZ119</f>
        <v>0</v>
      </c>
      <c r="BJ151">
        <f t="shared" ref="BJ151:BJ152" si="74">BA119</f>
        <v>-2.1251200000000003</v>
      </c>
      <c r="BK151">
        <f t="shared" ref="BK151:BK152" si="75">BB119</f>
        <v>-436.48902240000007</v>
      </c>
      <c r="BL151">
        <f t="shared" si="41"/>
        <v>-436.48902240000007</v>
      </c>
      <c r="BN151">
        <v>-436.48902240000007</v>
      </c>
    </row>
    <row r="152" spans="1:66" ht="13.8" x14ac:dyDescent="0.25">
      <c r="A152" s="981"/>
      <c r="B152" t="s">
        <v>1171</v>
      </c>
      <c r="C152" s="160">
        <v>31269</v>
      </c>
      <c r="D152" s="161">
        <v>26</v>
      </c>
      <c r="E152" s="161">
        <f>D152*$R$17*$E$6/1000</f>
        <v>25.788841114399997</v>
      </c>
      <c r="F152" s="161">
        <f>D152*(($S$17*$E$6+($T$17+$Y$17)*$F$6))/1000</f>
        <v>7.2659117788124137</v>
      </c>
      <c r="G152" s="493">
        <f t="shared" si="42"/>
        <v>33.05475289321241</v>
      </c>
      <c r="H152" s="200">
        <f>G152+G151+G150+G149</f>
        <v>280.97666850645362</v>
      </c>
      <c r="I152" s="200"/>
      <c r="J152" s="1037"/>
      <c r="K152" s="209"/>
      <c r="L152" s="179">
        <f t="shared" si="51"/>
        <v>-3.7037037037037313E-2</v>
      </c>
      <c r="AY152" s="16" t="s">
        <v>1286</v>
      </c>
      <c r="AZ152" t="str">
        <f>AQ120</f>
        <v>Revegetated 1990-2024</v>
      </c>
      <c r="BA152">
        <f t="shared" ref="BA152:BH152" si="76">AR120</f>
        <v>217500</v>
      </c>
      <c r="BB152">
        <f t="shared" si="76"/>
        <v>21.75</v>
      </c>
      <c r="BC152">
        <f t="shared" si="76"/>
        <v>0.2175</v>
      </c>
      <c r="BD152">
        <f t="shared" si="76"/>
        <v>8.9507121320318525E-4</v>
      </c>
      <c r="BE152">
        <f t="shared" si="76"/>
        <v>-0.58000000000000007</v>
      </c>
      <c r="BF152">
        <f t="shared" si="76"/>
        <v>-2.1251200000000003</v>
      </c>
      <c r="BG152">
        <f t="shared" si="76"/>
        <v>-46.221360000000004</v>
      </c>
      <c r="BH152">
        <f t="shared" si="76"/>
        <v>6.41</v>
      </c>
      <c r="BI152">
        <f t="shared" si="73"/>
        <v>0</v>
      </c>
      <c r="BJ152">
        <f t="shared" si="74"/>
        <v>-2.1251200000000003</v>
      </c>
      <c r="BK152">
        <f t="shared" si="75"/>
        <v>-46.221360000000004</v>
      </c>
      <c r="BL152">
        <f t="shared" si="41"/>
        <v>-46.221360000000004</v>
      </c>
      <c r="BN152">
        <v>-46.221360000000004</v>
      </c>
    </row>
    <row r="153" spans="1:66" ht="13.8" x14ac:dyDescent="0.25">
      <c r="A153" s="981"/>
      <c r="B153" t="s">
        <v>1173</v>
      </c>
      <c r="C153" s="160">
        <f>SUM(C150:C152)</f>
        <v>77973</v>
      </c>
      <c r="D153" s="160">
        <f>SUM(D150:D152)</f>
        <v>75</v>
      </c>
      <c r="E153" s="161">
        <f>SUM(E150:E152)</f>
        <v>171.59794178408001</v>
      </c>
      <c r="F153" s="161">
        <f>SUM(F150:F152)</f>
        <v>49.039062014514315</v>
      </c>
      <c r="G153" s="493">
        <f t="shared" si="42"/>
        <v>220.63700379859432</v>
      </c>
      <c r="H153" s="200">
        <f>G153+G149</f>
        <v>280.97666850645362</v>
      </c>
      <c r="I153" s="200">
        <f>D153+I149</f>
        <v>75</v>
      </c>
      <c r="J153" s="1037"/>
      <c r="K153" s="209">
        <f>(D153-D136)/D136</f>
        <v>1.3513513513513514E-2</v>
      </c>
      <c r="L153" s="179">
        <f t="shared" si="51"/>
        <v>0.13630422187509106</v>
      </c>
      <c r="AY153" s="16" t="s">
        <v>1287</v>
      </c>
      <c r="AZ153" t="str">
        <f>AQ110</f>
        <v>Wetland</v>
      </c>
      <c r="BA153">
        <f t="shared" ref="BA153:BH153" si="77">AR110</f>
        <v>4803500</v>
      </c>
      <c r="BB153">
        <f t="shared" si="77"/>
        <v>480.35</v>
      </c>
      <c r="BC153">
        <f t="shared" si="77"/>
        <v>4.8035000000000005</v>
      </c>
      <c r="BD153">
        <f t="shared" si="77"/>
        <v>1.9767699184466671E-2</v>
      </c>
      <c r="BE153">
        <f t="shared" si="77"/>
        <v>-0.55000000000000004</v>
      </c>
      <c r="BF153">
        <f t="shared" si="77"/>
        <v>-2.0152000000000001</v>
      </c>
      <c r="BG153">
        <f t="shared" si="77"/>
        <v>-968.00132000000008</v>
      </c>
      <c r="BH153">
        <f t="shared" si="77"/>
        <v>6.5</v>
      </c>
      <c r="BI153" t="str">
        <f t="shared" ref="BI153" si="78">AZ110</f>
        <v>4D1c</v>
      </c>
      <c r="BJ153">
        <f t="shared" ref="BJ153" si="79">BA110</f>
        <v>-7.7527154264641924E-4</v>
      </c>
      <c r="BK153">
        <f t="shared" ref="BK153" si="80">BB110</f>
        <v>-0.37240168551020753</v>
      </c>
      <c r="BL153">
        <f t="shared" si="41"/>
        <v>-0.37240168551020753</v>
      </c>
      <c r="BN153">
        <v>-0.37240168551020753</v>
      </c>
    </row>
    <row r="154" spans="1:66" ht="13.8" x14ac:dyDescent="0.25">
      <c r="A154" s="981"/>
      <c r="B154" t="s">
        <v>1174</v>
      </c>
      <c r="C154" s="160">
        <v>9</v>
      </c>
      <c r="D154" s="161">
        <v>8</v>
      </c>
      <c r="E154" s="161">
        <f>D154*$R$20*$E$6/1000</f>
        <v>0.33600000000000002</v>
      </c>
      <c r="F154" s="161">
        <f>D154*(($S$20*$E$6+($T$20+$Y$19)*$F$6))/1000</f>
        <v>1.4206061999999999</v>
      </c>
      <c r="G154" s="493">
        <f t="shared" si="42"/>
        <v>1.7566062</v>
      </c>
      <c r="H154" s="200">
        <f>H153+G154</f>
        <v>282.73327470645364</v>
      </c>
      <c r="I154" s="200"/>
      <c r="J154" s="1037"/>
      <c r="K154" s="209"/>
      <c r="L154" s="179">
        <f t="shared" si="51"/>
        <v>0</v>
      </c>
      <c r="AY154" s="16" t="s">
        <v>1288</v>
      </c>
      <c r="AZ154" t="str">
        <f>AQ112</f>
        <v>Settlement</v>
      </c>
      <c r="BA154">
        <f t="shared" ref="BA154:BH154" si="81">AR112</f>
        <v>38660525</v>
      </c>
      <c r="BB154">
        <f t="shared" si="81"/>
        <v>3866.0524999999998</v>
      </c>
      <c r="BC154">
        <f t="shared" si="81"/>
        <v>38.660525</v>
      </c>
      <c r="BD154">
        <f t="shared" si="81"/>
        <v>0.1590984966198716</v>
      </c>
      <c r="BE154">
        <f t="shared" si="81"/>
        <v>0</v>
      </c>
      <c r="BF154">
        <f t="shared" si="81"/>
        <v>0</v>
      </c>
      <c r="BG154">
        <f t="shared" si="81"/>
        <v>0</v>
      </c>
      <c r="BH154">
        <f t="shared" si="81"/>
        <v>0</v>
      </c>
      <c r="BI154">
        <f t="shared" ref="BI154" si="82">AZ112</f>
        <v>0</v>
      </c>
      <c r="BJ154">
        <f t="shared" ref="BJ154" si="83">BA112</f>
        <v>0</v>
      </c>
      <c r="BK154">
        <f t="shared" ref="BK154" si="84">BB112</f>
        <v>0</v>
      </c>
      <c r="BL154">
        <f t="shared" si="41"/>
        <v>0</v>
      </c>
    </row>
    <row r="155" spans="1:66" ht="13.8" x14ac:dyDescent="0.25">
      <c r="A155" s="981"/>
      <c r="B155" t="s">
        <v>1175</v>
      </c>
      <c r="C155" s="604">
        <v>433</v>
      </c>
      <c r="D155" s="161">
        <v>720</v>
      </c>
      <c r="E155" s="161">
        <f>D155*$R$20*$E$6/1000</f>
        <v>30.24</v>
      </c>
      <c r="F155" s="161">
        <f>D155*(($S$20*$E$6+($T$20+$Y$20)*$F$6))/1000</f>
        <v>127.85455799999998</v>
      </c>
      <c r="G155" s="492">
        <f t="shared" ref="G155:G160" si="85">E155+F155</f>
        <v>158.09455799999998</v>
      </c>
      <c r="H155" s="200">
        <f>G155+G153+G152+G154</f>
        <v>413.54292089180672</v>
      </c>
      <c r="I155" s="200"/>
      <c r="J155" s="1037"/>
      <c r="K155" s="209"/>
      <c r="L155" s="179">
        <f t="shared" si="51"/>
        <v>0</v>
      </c>
      <c r="AY155" s="16" t="s">
        <v>1242</v>
      </c>
      <c r="AZ155" t="str">
        <f>AQ111</f>
        <v>Lakes and rivers</v>
      </c>
      <c r="BA155">
        <f t="shared" ref="BA155:BG155" si="86">AR111</f>
        <v>1617525</v>
      </c>
      <c r="BB155">
        <f t="shared" si="86"/>
        <v>161.7525</v>
      </c>
      <c r="BC155">
        <f t="shared" si="86"/>
        <v>1.6175249999999999</v>
      </c>
      <c r="BD155">
        <f t="shared" si="86"/>
        <v>6.6565520190183082E-3</v>
      </c>
      <c r="BE155">
        <f t="shared" si="86"/>
        <v>0</v>
      </c>
      <c r="BF155">
        <f t="shared" si="86"/>
        <v>0</v>
      </c>
      <c r="BG155">
        <f t="shared" si="86"/>
        <v>0</v>
      </c>
      <c r="BL155">
        <f t="shared" si="41"/>
        <v>0</v>
      </c>
    </row>
    <row r="156" spans="1:66" ht="13.8" x14ac:dyDescent="0.25">
      <c r="A156" s="981"/>
      <c r="B156" t="s">
        <v>1176</v>
      </c>
      <c r="C156" s="604">
        <v>9259</v>
      </c>
      <c r="D156" s="161">
        <v>5770</v>
      </c>
      <c r="E156" s="161">
        <f>D156*$R$21*$E$6/1000</f>
        <v>242.34</v>
      </c>
      <c r="F156" s="161">
        <f>D156*(($S$21*$E$6+($T$21+$Y$21)*$F$6))/1000</f>
        <v>987.56284970534648</v>
      </c>
      <c r="G156" s="492">
        <f t="shared" si="85"/>
        <v>1229.9028497053464</v>
      </c>
      <c r="H156" s="200">
        <f>G156+G152+G154</f>
        <v>1264.714208798559</v>
      </c>
      <c r="I156" s="200"/>
      <c r="J156" s="1037"/>
      <c r="K156" s="209">
        <f>(D156-D139)/D139</f>
        <v>0</v>
      </c>
      <c r="L156" s="179">
        <f t="shared" si="51"/>
        <v>0</v>
      </c>
      <c r="AY156" s="16" t="s">
        <v>1242</v>
      </c>
      <c r="AZ156" t="str">
        <f>AQ117</f>
        <v>Reservoirs</v>
      </c>
      <c r="BA156">
        <f t="shared" ref="BA156:BG156" si="87">AR117</f>
        <v>1307750</v>
      </c>
      <c r="BB156">
        <f t="shared" si="87"/>
        <v>130.77500000000001</v>
      </c>
      <c r="BC156">
        <f t="shared" si="87"/>
        <v>1.30775</v>
      </c>
      <c r="BD156">
        <f t="shared" si="87"/>
        <v>5.3817442715699557E-3</v>
      </c>
      <c r="BE156">
        <f t="shared" si="87"/>
        <v>0</v>
      </c>
      <c r="BF156">
        <f t="shared" si="87"/>
        <v>0</v>
      </c>
      <c r="BG156">
        <f t="shared" si="87"/>
        <v>0</v>
      </c>
      <c r="BL156">
        <f t="shared" si="41"/>
        <v>0</v>
      </c>
    </row>
    <row r="157" spans="1:66" ht="13.8" x14ac:dyDescent="0.25">
      <c r="A157" s="981"/>
      <c r="B157" t="s">
        <v>1177</v>
      </c>
      <c r="C157" s="604">
        <f>SUM(C154:C156)</f>
        <v>9701</v>
      </c>
      <c r="D157" s="161">
        <f>SUM(D154:D156)</f>
        <v>6498</v>
      </c>
      <c r="E157" s="161">
        <f>SUM(E154:E156)</f>
        <v>272.916</v>
      </c>
      <c r="F157" s="161">
        <f>SUM(F154:F156)</f>
        <v>1116.8380139053465</v>
      </c>
      <c r="G157" s="492">
        <f t="shared" si="85"/>
        <v>1389.7540139053465</v>
      </c>
      <c r="H157" s="200">
        <f>G157</f>
        <v>1389.7540139053465</v>
      </c>
      <c r="I157" s="200">
        <f>D157+I153</f>
        <v>6573</v>
      </c>
      <c r="J157" s="1037"/>
      <c r="K157" s="209">
        <f>(D157-D140)/D140</f>
        <v>0</v>
      </c>
      <c r="L157" s="179">
        <f t="shared" si="51"/>
        <v>0</v>
      </c>
      <c r="AY157" s="16" t="s">
        <v>1242</v>
      </c>
      <c r="AZ157" t="str">
        <f>AQ108</f>
        <v>Other land</v>
      </c>
      <c r="BA157">
        <f t="shared" ref="BA157:BH157" si="88">AR108</f>
        <v>46468225</v>
      </c>
      <c r="BB157">
        <f t="shared" si="88"/>
        <v>4646.8225000000002</v>
      </c>
      <c r="BC157">
        <f t="shared" si="88"/>
        <v>46.468225000000004</v>
      </c>
      <c r="BD157">
        <f t="shared" si="88"/>
        <v>0.1912292897753958</v>
      </c>
      <c r="BE157">
        <f t="shared" si="88"/>
        <v>0</v>
      </c>
      <c r="BF157">
        <f t="shared" si="88"/>
        <v>0</v>
      </c>
      <c r="BG157">
        <f t="shared" si="88"/>
        <v>0</v>
      </c>
      <c r="BH157">
        <f t="shared" si="88"/>
        <v>6.65</v>
      </c>
      <c r="BI157" t="str">
        <f t="shared" ref="BI157" si="89">AZ108</f>
        <v>4F1</v>
      </c>
      <c r="BJ157">
        <f t="shared" ref="BJ157" si="90">BA108</f>
        <v>0</v>
      </c>
      <c r="BK157">
        <f t="shared" ref="BK157" si="91">BB108</f>
        <v>0</v>
      </c>
      <c r="BL157">
        <f t="shared" si="41"/>
        <v>0</v>
      </c>
    </row>
    <row r="158" spans="1:66" ht="13.8" x14ac:dyDescent="0.25">
      <c r="A158" s="981"/>
      <c r="B158" t="s">
        <v>1178</v>
      </c>
      <c r="C158" s="604">
        <v>45286</v>
      </c>
      <c r="D158" s="161">
        <v>179</v>
      </c>
      <c r="E158" s="161">
        <f>D158*$R$23*$E$6/1000</f>
        <v>90.21600719061145</v>
      </c>
      <c r="F158" s="161">
        <f>D158*(($S$23*$E$6+($T$23+$Y$23)*$F$6))/1000</f>
        <v>9.6029559889086258</v>
      </c>
      <c r="G158" s="492">
        <f t="shared" si="85"/>
        <v>99.818963179520068</v>
      </c>
      <c r="H158" s="200">
        <f>G157+G158</f>
        <v>1489.5729770848666</v>
      </c>
      <c r="I158" s="200">
        <f>I157+D158</f>
        <v>6752</v>
      </c>
      <c r="J158" s="1037"/>
      <c r="K158" s="209">
        <f>(D158-D141)/D141</f>
        <v>-0.34432234432234432</v>
      </c>
      <c r="L158" s="179">
        <f t="shared" si="51"/>
        <v>-0.34432234432234426</v>
      </c>
      <c r="AZ158" s="16" t="s">
        <v>207</v>
      </c>
      <c r="BA158">
        <f>SUM(BA142:BA157)</f>
        <v>242997425</v>
      </c>
      <c r="BB158">
        <f t="shared" ref="BB158:BF158" si="92">SUM(BB142:BB157)</f>
        <v>24299.7425</v>
      </c>
      <c r="BC158">
        <f t="shared" si="92"/>
        <v>242.99742500000002</v>
      </c>
      <c r="BD158">
        <f t="shared" si="92"/>
        <v>1.0000000000000002</v>
      </c>
      <c r="BE158">
        <f t="shared" si="92"/>
        <v>3.16885539</v>
      </c>
      <c r="BF158">
        <f t="shared" si="92"/>
        <v>11.610686148960003</v>
      </c>
      <c r="BG158">
        <f>SUM(BG142:BG157)</f>
        <v>22318.289569246463</v>
      </c>
      <c r="BH158">
        <f t="shared" ref="BH158:BK158" si="93">SUM(BH142:BH157)</f>
        <v>69.83</v>
      </c>
      <c r="BI158">
        <f t="shared" si="93"/>
        <v>0</v>
      </c>
      <c r="BJ158">
        <f t="shared" si="93"/>
        <v>16.360889917002194</v>
      </c>
      <c r="BK158">
        <f t="shared" si="93"/>
        <v>31032.766036496989</v>
      </c>
      <c r="BL158">
        <f t="shared" si="41"/>
        <v>397565.41205399967</v>
      </c>
    </row>
    <row r="159" spans="1:66" ht="13.8" x14ac:dyDescent="0.25">
      <c r="A159" s="981"/>
      <c r="B159" t="s">
        <v>1179</v>
      </c>
      <c r="C159" s="604">
        <v>1928</v>
      </c>
      <c r="D159" s="161">
        <v>34</v>
      </c>
      <c r="E159" s="161">
        <f>D159*$R$24*$E$6/1000</f>
        <v>4.76</v>
      </c>
      <c r="F159" s="161">
        <f>D159*(($S$24*$E$6+($T$24+$Y$24)*$F$6))/1000</f>
        <v>1.4573857759996001</v>
      </c>
      <c r="G159" s="492">
        <f t="shared" si="85"/>
        <v>6.2173857759995999</v>
      </c>
      <c r="H159" s="200">
        <f>SUM(G157:G159)</f>
        <v>1495.7903628608663</v>
      </c>
      <c r="I159" s="200">
        <f>D159+I158</f>
        <v>6786</v>
      </c>
      <c r="J159" s="1037"/>
      <c r="K159" s="209">
        <f>(D159-D142)/D142</f>
        <v>-0.30612244897959184</v>
      </c>
      <c r="L159" s="179">
        <f t="shared" si="51"/>
        <v>-0.3061224489795919</v>
      </c>
    </row>
    <row r="160" spans="1:66" ht="14.4" thickBot="1" x14ac:dyDescent="0.3">
      <c r="A160" s="1036"/>
      <c r="B160" t="s">
        <v>1181</v>
      </c>
      <c r="C160" s="605">
        <v>297833</v>
      </c>
      <c r="D160" s="169">
        <v>77000</v>
      </c>
      <c r="E160" s="161">
        <f>D160*$R$25*$E$6/1000</f>
        <v>43.119974128000003</v>
      </c>
      <c r="F160" s="161">
        <f>D160*(($S$25*$E$6+($T$25+$Y$25)*$F$6))/1000</f>
        <v>428.23406146540248</v>
      </c>
      <c r="G160" s="494">
        <f t="shared" si="85"/>
        <v>471.3540355934025</v>
      </c>
      <c r="H160" s="200">
        <f>SUM(G157:G160)+G153+G149</f>
        <v>2248.1210669607226</v>
      </c>
      <c r="I160" s="200">
        <f>I159+D160</f>
        <v>83786</v>
      </c>
      <c r="J160" s="1037"/>
      <c r="K160" s="209">
        <f>(D160-D143)/D143</f>
        <v>8.4354316293479795E-2</v>
      </c>
      <c r="L160" s="179">
        <f t="shared" si="51"/>
        <v>8.4354316293479836E-2</v>
      </c>
      <c r="BJ160" s="16" t="s">
        <v>1289</v>
      </c>
      <c r="BK160">
        <f>SUM(BK146)</f>
        <v>2599.6274172485382</v>
      </c>
      <c r="BM160">
        <v>2599.6274172485382</v>
      </c>
    </row>
    <row r="161" spans="1:65" ht="14.4" thickBot="1" x14ac:dyDescent="0.3">
      <c r="A161" s="172" t="s">
        <v>3</v>
      </c>
      <c r="B161" s="173">
        <f>A145</f>
        <v>2024</v>
      </c>
      <c r="C161" s="174">
        <f>SUM(C157:C160)</f>
        <v>354748</v>
      </c>
      <c r="D161" s="174"/>
      <c r="E161" s="205">
        <f>SUM(E157:E160)+E153+E149</f>
        <v>633.59260940621004</v>
      </c>
      <c r="F161" s="205">
        <f>SUM(F157:F160)+F153+F149</f>
        <v>1614.5284575545122</v>
      </c>
      <c r="G161" s="495">
        <f>E161+F161</f>
        <v>2248.1210669607221</v>
      </c>
      <c r="H161" s="175">
        <f>H160</f>
        <v>2248.1210669607226</v>
      </c>
      <c r="I161" s="175">
        <f>SUM(I157:I160)</f>
        <v>103897</v>
      </c>
      <c r="J161" s="1038"/>
      <c r="K161" s="190">
        <f>(I161-I144)/I144</f>
        <v>5.2153483143791708E-2</v>
      </c>
      <c r="L161" s="191">
        <f>(G161-G144)/G144</f>
        <v>1.0056017217888321E-2</v>
      </c>
      <c r="BJ161" s="16" t="s">
        <v>1290</v>
      </c>
      <c r="BK161">
        <f>SUM(BK147:BK150)</f>
        <v>43658.603253987501</v>
      </c>
      <c r="BM161">
        <v>43658.603253987501</v>
      </c>
    </row>
    <row r="162" spans="1:65" ht="13.8" x14ac:dyDescent="0.25">
      <c r="A162" s="981">
        <v>2025</v>
      </c>
      <c r="B162" t="s">
        <v>1154</v>
      </c>
      <c r="C162" s="152">
        <v>267948</v>
      </c>
      <c r="D162" s="153">
        <v>68</v>
      </c>
      <c r="E162" s="153">
        <f>D162*$R$10*$E$6/1000</f>
        <v>21.22506495743848</v>
      </c>
      <c r="F162" s="153">
        <f>D162*(($S$10*$E$6+($T$10+$Y$10)*$F$6))/1000</f>
        <v>4.0653063401120013</v>
      </c>
      <c r="G162" s="491">
        <f t="shared" ref="G162:G177" si="94">E162+F162</f>
        <v>25.290371297550482</v>
      </c>
      <c r="H162" s="199">
        <f>G162</f>
        <v>25.290371297550482</v>
      </c>
      <c r="I162" s="199"/>
      <c r="J162" s="1037" t="str">
        <f>"Milli áranna "&amp; $A145 &amp;" og "&amp; $A162</f>
        <v>Milli áranna 2024 og 2025</v>
      </c>
      <c r="K162" s="208"/>
      <c r="L162" s="179">
        <f>(G162-G145)/G145</f>
        <v>-0.4603174603174604</v>
      </c>
      <c r="BJ162" s="16" t="s">
        <v>1291</v>
      </c>
      <c r="BK162">
        <f>SUM(BK142:BK145)</f>
        <v>-14742.381850653543</v>
      </c>
      <c r="BM162">
        <v>-14742.381850653543</v>
      </c>
    </row>
    <row r="163" spans="1:65" ht="13.8" x14ac:dyDescent="0.25">
      <c r="A163" s="981"/>
      <c r="B163" t="s">
        <v>1162</v>
      </c>
      <c r="C163" s="160">
        <v>9238</v>
      </c>
      <c r="D163" s="161">
        <v>6</v>
      </c>
      <c r="E163" s="161">
        <f>D163*$R$11*$E$6/1000</f>
        <v>2.0067616662354459</v>
      </c>
      <c r="F163" s="161">
        <f>D163*(($S$11*$E$6+($T$11+$Y$11)*$F$6))/1000</f>
        <v>0.4670787540990432</v>
      </c>
      <c r="G163" s="492">
        <f t="shared" si="94"/>
        <v>2.473840420334489</v>
      </c>
      <c r="H163" s="200">
        <f>G163+G162</f>
        <v>27.764211717884972</v>
      </c>
      <c r="I163" s="200"/>
      <c r="J163" s="1037"/>
      <c r="K163" s="209"/>
      <c r="L163" s="179">
        <f t="shared" ref="L163:L177" si="95">(G163-G146)/G146</f>
        <v>0</v>
      </c>
      <c r="BK163">
        <f>BK151+BK152</f>
        <v>-482.71038240000007</v>
      </c>
      <c r="BM163">
        <v>-482.71038240000007</v>
      </c>
    </row>
    <row r="164" spans="1:65" ht="13.8" x14ac:dyDescent="0.25">
      <c r="A164" s="981"/>
      <c r="B164" t="s">
        <v>1164</v>
      </c>
      <c r="C164" s="160">
        <v>63098</v>
      </c>
      <c r="D164" s="161">
        <v>31</v>
      </c>
      <c r="E164" s="161">
        <f>D164*$R$12*$E$6/1000</f>
        <v>8.2019132180094125</v>
      </c>
      <c r="F164" s="161">
        <f>D164*(($S$12*$E$6+($T$12+$Y$12)*$F$6))/1000</f>
        <v>1.2320789007112456</v>
      </c>
      <c r="G164" s="492">
        <f t="shared" si="94"/>
        <v>9.4339921187206581</v>
      </c>
      <c r="H164" s="200">
        <f>G164+G163+G162</f>
        <v>37.198203836605629</v>
      </c>
      <c r="I164" s="200"/>
      <c r="J164" s="1037"/>
      <c r="K164" s="209"/>
      <c r="L164" s="179">
        <f t="shared" si="95"/>
        <v>-6.0606060606060656E-2</v>
      </c>
    </row>
    <row r="165" spans="1:65" ht="13.8" x14ac:dyDescent="0.25">
      <c r="A165" s="981"/>
      <c r="B165" t="s">
        <v>1166</v>
      </c>
      <c r="C165" s="160">
        <v>7892</v>
      </c>
      <c r="D165" s="161">
        <v>4</v>
      </c>
      <c r="E165" s="161">
        <f>D165*$R$13*$E$6/1000</f>
        <v>0.52346222565057454</v>
      </c>
      <c r="F165" s="161">
        <f>D165*(($S$13*$E$6+($T$13+$Y$13)*$F$6))/1000</f>
        <v>2.6033300362147196E-2</v>
      </c>
      <c r="G165" s="492">
        <f t="shared" si="94"/>
        <v>0.54949552601272178</v>
      </c>
      <c r="H165" s="200">
        <f>SUM(G162:G165)</f>
        <v>37.747699362618349</v>
      </c>
      <c r="I165" s="200"/>
      <c r="J165" s="1037"/>
      <c r="K165" s="209"/>
      <c r="L165" s="179">
        <f t="shared" si="95"/>
        <v>-0.42857142857142844</v>
      </c>
      <c r="BK165">
        <f>BK163+BK161</f>
        <v>43175.892871587501</v>
      </c>
      <c r="BM165">
        <v>43175.892871587501</v>
      </c>
    </row>
    <row r="166" spans="1:65" ht="13.8" x14ac:dyDescent="0.25">
      <c r="A166" s="981"/>
      <c r="B166" t="s">
        <v>1167</v>
      </c>
      <c r="C166" s="160">
        <f>SUM(C162:C165)</f>
        <v>348176</v>
      </c>
      <c r="D166" s="161">
        <f>SUM(D162:D165)</f>
        <v>109</v>
      </c>
      <c r="E166" s="161">
        <f>SUM(E162:E165)</f>
        <v>31.957202067333913</v>
      </c>
      <c r="F166" s="161">
        <f>SUM(F162:F165)</f>
        <v>5.790497295284438</v>
      </c>
      <c r="G166" s="492">
        <f t="shared" si="94"/>
        <v>37.747699362618349</v>
      </c>
      <c r="H166" s="200">
        <f>G166</f>
        <v>37.747699362618349</v>
      </c>
      <c r="I166" s="200"/>
      <c r="J166" s="1037"/>
      <c r="K166" s="209">
        <f>(D166-D149)/D149</f>
        <v>-0.36627906976744184</v>
      </c>
      <c r="L166" s="179">
        <f t="shared" si="95"/>
        <v>-0.3744131734013153</v>
      </c>
      <c r="AY166" t="str">
        <f>AY141</f>
        <v>CRT</v>
      </c>
      <c r="AZ166" t="str">
        <f>AZ141</f>
        <v>Land-use category</v>
      </c>
      <c r="BA166" s="16" t="s">
        <v>1278</v>
      </c>
      <c r="BB166" s="16" t="s">
        <v>1282</v>
      </c>
      <c r="BC166" s="16" t="s">
        <v>1283</v>
      </c>
      <c r="BD166" t="str">
        <f>BH141</f>
        <v>NIR</v>
      </c>
      <c r="BK166">
        <f>BK153</f>
        <v>-0.37240168551020753</v>
      </c>
      <c r="BM166">
        <v>-0.37240168551020753</v>
      </c>
    </row>
    <row r="167" spans="1:65" ht="13.8" x14ac:dyDescent="0.25">
      <c r="A167" s="981"/>
      <c r="B167" t="s">
        <v>1168</v>
      </c>
      <c r="C167" s="160">
        <v>25460</v>
      </c>
      <c r="D167" s="161">
        <v>45</v>
      </c>
      <c r="E167" s="161">
        <f>D167*$R$15*$E$6/1000</f>
        <v>137.54852370000003</v>
      </c>
      <c r="F167" s="161">
        <f>D167*(($S$15*$E$6+($T$15+$Y$15)*$F$6))/1000</f>
        <v>41.328965673038923</v>
      </c>
      <c r="G167" s="492">
        <f t="shared" si="94"/>
        <v>178.87748937303894</v>
      </c>
      <c r="H167" s="200">
        <f>G167+G166</f>
        <v>216.62518873565728</v>
      </c>
      <c r="I167" s="200"/>
      <c r="J167" s="1037"/>
      <c r="K167" s="209"/>
      <c r="L167" s="179">
        <f t="shared" si="95"/>
        <v>0</v>
      </c>
      <c r="AY167" t="str">
        <f t="shared" ref="AY167:AZ182" si="96">AY142</f>
        <v>4A1</v>
      </c>
      <c r="AZ167" t="str">
        <f t="shared" si="96"/>
        <v>Planted forest before 1990</v>
      </c>
      <c r="BA167">
        <f>ROUND(BB142,0)</f>
        <v>250</v>
      </c>
      <c r="BB167">
        <f>ROUND(BJ142,2)</f>
        <v>-7.36</v>
      </c>
      <c r="BC167">
        <f>ROUND(BK142,0)</f>
        <v>-1842</v>
      </c>
      <c r="BD167">
        <f t="shared" ref="BD167:BD182" si="97">BH142</f>
        <v>6.15</v>
      </c>
    </row>
    <row r="168" spans="1:65" ht="13.8" x14ac:dyDescent="0.25">
      <c r="A168" s="981"/>
      <c r="B168" t="s">
        <v>1169</v>
      </c>
      <c r="C168" s="160">
        <v>21244</v>
      </c>
      <c r="D168" s="161">
        <v>4</v>
      </c>
      <c r="E168" s="161">
        <f>D168*$R$16*$E$6/1000</f>
        <v>8.2605769696800007</v>
      </c>
      <c r="F168" s="161">
        <f>D168*(($S$16*$E$6+($T$16+$Y$16)*$F$6))/1000</f>
        <v>0.44418456266297596</v>
      </c>
      <c r="G168" s="492">
        <f t="shared" si="94"/>
        <v>8.7047615323429763</v>
      </c>
      <c r="H168" s="200">
        <f>G168+G167+G166</f>
        <v>225.32995026800029</v>
      </c>
      <c r="I168" s="200"/>
      <c r="J168" s="1037"/>
      <c r="K168" s="209"/>
      <c r="L168" s="179">
        <f t="shared" si="95"/>
        <v>0</v>
      </c>
      <c r="AY168" t="str">
        <f t="shared" si="96"/>
        <v>4A1</v>
      </c>
      <c r="AZ168" t="str">
        <f t="shared" si="96"/>
        <v>Natural birch forest</v>
      </c>
      <c r="BA168">
        <f t="shared" ref="BA168:BA182" si="98">ROUND(BB143,0)</f>
        <v>625</v>
      </c>
      <c r="BB168">
        <f t="shared" ref="BB168:BB182" si="99">ROUND(BJ143,2)</f>
        <v>0.11</v>
      </c>
      <c r="BC168">
        <f t="shared" ref="BC168:BC182" si="100">ROUND(BK143,0)</f>
        <v>69</v>
      </c>
      <c r="BD168">
        <f t="shared" si="97"/>
        <v>6.15</v>
      </c>
    </row>
    <row r="169" spans="1:65" ht="13.8" x14ac:dyDescent="0.25">
      <c r="A169" s="981"/>
      <c r="B169" t="s">
        <v>1171</v>
      </c>
      <c r="C169" s="160">
        <v>31269</v>
      </c>
      <c r="D169" s="161">
        <v>26</v>
      </c>
      <c r="E169" s="161">
        <f>D169*$R$17*$E$6/1000</f>
        <v>25.788841114399997</v>
      </c>
      <c r="F169" s="161">
        <f>D169*(($S$17*$E$6+($T$17+$Y$17)*$F$6))/1000</f>
        <v>7.2659117788124137</v>
      </c>
      <c r="G169" s="493">
        <f t="shared" si="94"/>
        <v>33.05475289321241</v>
      </c>
      <c r="H169" s="200">
        <f>G169+G168+G167+G166</f>
        <v>258.38470316121266</v>
      </c>
      <c r="I169" s="200"/>
      <c r="J169" s="1037"/>
      <c r="K169" s="209"/>
      <c r="L169" s="179">
        <f t="shared" si="95"/>
        <v>0</v>
      </c>
      <c r="AY169" t="str">
        <f t="shared" si="96"/>
        <v>4A1/4A2</v>
      </c>
      <c r="AZ169" t="str">
        <f t="shared" si="96"/>
        <v>Forest land unknown age</v>
      </c>
      <c r="BA169">
        <f t="shared" si="98"/>
        <v>65</v>
      </c>
      <c r="BB169">
        <f t="shared" si="99"/>
        <v>-7.36</v>
      </c>
      <c r="BC169">
        <f t="shared" si="100"/>
        <v>-476</v>
      </c>
      <c r="BD169" s="16" t="s">
        <v>1292</v>
      </c>
    </row>
    <row r="170" spans="1:65" ht="13.8" x14ac:dyDescent="0.25">
      <c r="A170" s="981"/>
      <c r="B170" t="s">
        <v>1173</v>
      </c>
      <c r="C170" s="160">
        <f>SUM(C167:C169)</f>
        <v>77973</v>
      </c>
      <c r="D170" s="160">
        <f>SUM(D167:D169)</f>
        <v>75</v>
      </c>
      <c r="E170" s="161">
        <f>SUM(E167:E169)</f>
        <v>171.59794178408001</v>
      </c>
      <c r="F170" s="161">
        <f>SUM(F167:F169)</f>
        <v>49.039062014514315</v>
      </c>
      <c r="G170" s="493">
        <f t="shared" si="94"/>
        <v>220.63700379859432</v>
      </c>
      <c r="H170" s="200">
        <f>G170+G166</f>
        <v>258.38470316121266</v>
      </c>
      <c r="I170" s="200">
        <f>D170+I166</f>
        <v>75</v>
      </c>
      <c r="J170" s="1037"/>
      <c r="K170" s="209">
        <f>(D170-D153)/D153</f>
        <v>0</v>
      </c>
      <c r="L170" s="179">
        <f t="shared" si="95"/>
        <v>0</v>
      </c>
      <c r="AY170" t="str">
        <f t="shared" si="96"/>
        <v>4A2</v>
      </c>
      <c r="AZ170" t="str">
        <f t="shared" si="96"/>
        <v>Planted forest 1990-2024</v>
      </c>
      <c r="BA170">
        <f t="shared" si="98"/>
        <v>1632</v>
      </c>
      <c r="BB170">
        <f t="shared" si="99"/>
        <v>-7.65</v>
      </c>
      <c r="BC170">
        <f t="shared" si="100"/>
        <v>-12493</v>
      </c>
      <c r="BD170">
        <f t="shared" si="97"/>
        <v>6.18</v>
      </c>
    </row>
    <row r="171" spans="1:65" ht="13.8" x14ac:dyDescent="0.25">
      <c r="A171" s="981"/>
      <c r="B171" t="s">
        <v>1174</v>
      </c>
      <c r="C171" s="160">
        <v>9</v>
      </c>
      <c r="D171" s="161">
        <v>10</v>
      </c>
      <c r="E171" s="161">
        <f>D171*$R$20*$E$6/1000</f>
        <v>0.42</v>
      </c>
      <c r="F171" s="161">
        <f>D171*(($S$20*$E$6+($T$20+$Y$19)*$F$6))/1000</f>
        <v>1.7757577499999999</v>
      </c>
      <c r="G171" s="493">
        <f t="shared" si="94"/>
        <v>2.1957577499999998</v>
      </c>
      <c r="H171" s="200">
        <f>H170+G171</f>
        <v>260.58046091121264</v>
      </c>
      <c r="I171" s="200"/>
      <c r="J171" s="1037"/>
      <c r="K171" s="209"/>
      <c r="L171" s="179">
        <f t="shared" si="95"/>
        <v>0.24999999999999992</v>
      </c>
      <c r="AY171" t="str">
        <f t="shared" si="96"/>
        <v>4B1</v>
      </c>
      <c r="AZ171" t="str">
        <f t="shared" si="96"/>
        <v>Cropland cultivated</v>
      </c>
      <c r="BA171">
        <f t="shared" si="98"/>
        <v>179</v>
      </c>
      <c r="BB171">
        <f t="shared" si="99"/>
        <v>14.5</v>
      </c>
      <c r="BC171">
        <f t="shared" si="100"/>
        <v>2600</v>
      </c>
      <c r="BD171">
        <f t="shared" si="97"/>
        <v>6.23</v>
      </c>
    </row>
    <row r="172" spans="1:65" ht="13.8" x14ac:dyDescent="0.25">
      <c r="A172" s="981"/>
      <c r="B172" t="s">
        <v>1175</v>
      </c>
      <c r="C172" s="604">
        <v>433</v>
      </c>
      <c r="D172" s="161">
        <v>720</v>
      </c>
      <c r="E172" s="161">
        <f>D172*$R$20*$E$6/1000</f>
        <v>30.24</v>
      </c>
      <c r="F172" s="161">
        <f>D172*(($S$20*$E$6+($T$20+$Y$20)*$F$6))/1000</f>
        <v>127.85455799999998</v>
      </c>
      <c r="G172" s="492">
        <f t="shared" si="94"/>
        <v>158.09455799999998</v>
      </c>
      <c r="H172" s="200">
        <f>G172+G170+G169+G171</f>
        <v>413.98207244180668</v>
      </c>
      <c r="I172" s="200"/>
      <c r="J172" s="1037"/>
      <c r="K172" s="209"/>
      <c r="L172" s="179">
        <f t="shared" si="95"/>
        <v>0</v>
      </c>
      <c r="AY172" t="str">
        <f t="shared" si="96"/>
        <v>4C1</v>
      </c>
      <c r="AZ172" t="str">
        <f t="shared" si="96"/>
        <v>Grassland</v>
      </c>
      <c r="BA172">
        <f t="shared" si="98"/>
        <v>9986</v>
      </c>
      <c r="BB172">
        <f t="shared" si="99"/>
        <v>0.79</v>
      </c>
      <c r="BC172">
        <f t="shared" si="100"/>
        <v>7872</v>
      </c>
      <c r="BD172">
        <f t="shared" si="97"/>
        <v>6.37</v>
      </c>
    </row>
    <row r="173" spans="1:65" ht="13.8" x14ac:dyDescent="0.25">
      <c r="A173" s="981"/>
      <c r="B173" t="s">
        <v>1176</v>
      </c>
      <c r="C173" s="604">
        <v>9259</v>
      </c>
      <c r="D173" s="161">
        <v>5960</v>
      </c>
      <c r="E173" s="161">
        <f>D173*$R$21*$E$6/1000</f>
        <v>250.32</v>
      </c>
      <c r="F173" s="161">
        <f>D173*(($S$21*$E$6+($T$21+$Y$21)*$F$6))/1000</f>
        <v>1020.0822503022297</v>
      </c>
      <c r="G173" s="492">
        <f t="shared" si="94"/>
        <v>1270.4022503022297</v>
      </c>
      <c r="H173" s="200">
        <f>G173+G169+G171</f>
        <v>1305.6527609454422</v>
      </c>
      <c r="I173" s="200"/>
      <c r="J173" s="1037"/>
      <c r="K173" s="209">
        <f>(D173-D156)/D156</f>
        <v>3.292894280762565E-2</v>
      </c>
      <c r="L173" s="179">
        <f t="shared" si="95"/>
        <v>3.2928942807625795E-2</v>
      </c>
      <c r="AY173" t="str">
        <f t="shared" si="96"/>
        <v>4C1</v>
      </c>
      <c r="AZ173" t="str">
        <f t="shared" si="96"/>
        <v>Natural birch shrubland</v>
      </c>
      <c r="BA173">
        <f t="shared" si="98"/>
        <v>8</v>
      </c>
      <c r="BB173">
        <f t="shared" si="99"/>
        <v>-0.67</v>
      </c>
      <c r="BC173">
        <f t="shared" si="100"/>
        <v>-5</v>
      </c>
      <c r="BD173">
        <f t="shared" si="97"/>
        <v>6.37</v>
      </c>
    </row>
    <row r="174" spans="1:65" ht="13.8" x14ac:dyDescent="0.25">
      <c r="A174" s="981"/>
      <c r="B174" t="s">
        <v>1177</v>
      </c>
      <c r="C174" s="604">
        <f>SUM(C171:C173)</f>
        <v>9701</v>
      </c>
      <c r="D174" s="161">
        <f>SUM(D171:D173)</f>
        <v>6690</v>
      </c>
      <c r="E174" s="161">
        <f>SUM(E171:E173)</f>
        <v>280.98</v>
      </c>
      <c r="F174" s="161">
        <f>SUM(F171:F173)</f>
        <v>1149.7125660522297</v>
      </c>
      <c r="G174" s="492">
        <f t="shared" si="94"/>
        <v>1430.6925660522297</v>
      </c>
      <c r="H174" s="200">
        <f>G174</f>
        <v>1430.6925660522297</v>
      </c>
      <c r="I174" s="200">
        <f>D174+I170</f>
        <v>6765</v>
      </c>
      <c r="J174" s="1037"/>
      <c r="K174" s="209">
        <f>(D174-D157)/D157</f>
        <v>2.9547553093259463E-2</v>
      </c>
      <c r="L174" s="179">
        <f t="shared" si="95"/>
        <v>2.9457408820026971E-2</v>
      </c>
      <c r="AY174" t="str">
        <f t="shared" si="96"/>
        <v>4C2</v>
      </c>
      <c r="AZ174" t="str">
        <f t="shared" si="96"/>
        <v>Cropland inactive</v>
      </c>
      <c r="BA174">
        <f t="shared" si="98"/>
        <v>507</v>
      </c>
      <c r="BB174">
        <f t="shared" si="99"/>
        <v>7.38</v>
      </c>
      <c r="BC174">
        <f t="shared" si="100"/>
        <v>3742</v>
      </c>
      <c r="BD174" s="16" t="s">
        <v>1293</v>
      </c>
    </row>
    <row r="175" spans="1:65" ht="13.8" x14ac:dyDescent="0.25">
      <c r="A175" s="981"/>
      <c r="B175" t="s">
        <v>1178</v>
      </c>
      <c r="C175" s="604">
        <v>45286</v>
      </c>
      <c r="D175" s="161">
        <v>83</v>
      </c>
      <c r="E175" s="161">
        <f>D175*$R$23*$E$6/1000</f>
        <v>41.832003334194134</v>
      </c>
      <c r="F175" s="161">
        <f>D175*(($S$23*$E$6+($T$23+$Y$23)*$F$6))/1000</f>
        <v>4.4527673021196419</v>
      </c>
      <c r="G175" s="492">
        <f t="shared" si="94"/>
        <v>46.284770636313773</v>
      </c>
      <c r="H175" s="200">
        <f>G174+G175</f>
        <v>1476.9773366885436</v>
      </c>
      <c r="I175" s="200">
        <f>I174+D175</f>
        <v>6848</v>
      </c>
      <c r="J175" s="1037"/>
      <c r="K175" s="209">
        <f>(D175-D158)/D158</f>
        <v>-0.53631284916201116</v>
      </c>
      <c r="L175" s="179">
        <f t="shared" si="95"/>
        <v>-0.53631284916201116</v>
      </c>
      <c r="AY175" t="str">
        <f t="shared" si="96"/>
        <v>4C2</v>
      </c>
      <c r="AZ175" t="str">
        <f t="shared" si="96"/>
        <v>Grassland on drained soil before 2009</v>
      </c>
      <c r="BA175">
        <f t="shared" si="98"/>
        <v>1535</v>
      </c>
      <c r="BB175">
        <f t="shared" si="99"/>
        <v>20.88</v>
      </c>
      <c r="BC175">
        <f t="shared" si="100"/>
        <v>32050</v>
      </c>
      <c r="BD175">
        <f t="shared" si="97"/>
        <v>6.41</v>
      </c>
    </row>
    <row r="176" spans="1:65" ht="13.8" x14ac:dyDescent="0.25">
      <c r="A176" s="981"/>
      <c r="B176" t="s">
        <v>1179</v>
      </c>
      <c r="C176" s="604">
        <v>1928</v>
      </c>
      <c r="D176" s="161">
        <v>25</v>
      </c>
      <c r="E176" s="161">
        <f>D176*$R$24*$E$6/1000</f>
        <v>3.5</v>
      </c>
      <c r="F176" s="161">
        <f>D176*(($S$24*$E$6+($T$24+$Y$24)*$F$6))/1000</f>
        <v>1.071607188235</v>
      </c>
      <c r="G176" s="492">
        <f t="shared" si="94"/>
        <v>4.5716071882350002</v>
      </c>
      <c r="H176" s="200">
        <f>SUM(G174:G176)</f>
        <v>1481.5489438767786</v>
      </c>
      <c r="I176" s="200">
        <f>D176+I175</f>
        <v>6873</v>
      </c>
      <c r="J176" s="1037"/>
      <c r="K176" s="209">
        <f>(D176-D159)/D159</f>
        <v>-0.26470588235294118</v>
      </c>
      <c r="L176" s="179">
        <f t="shared" si="95"/>
        <v>-0.26470588235294112</v>
      </c>
      <c r="AY176" t="str">
        <f t="shared" si="96"/>
        <v>4C2</v>
      </c>
      <c r="AZ176" t="str">
        <f t="shared" si="96"/>
        <v>Revegetated before 1990</v>
      </c>
      <c r="BA176">
        <f t="shared" si="98"/>
        <v>205</v>
      </c>
      <c r="BB176">
        <f t="shared" si="99"/>
        <v>-2.13</v>
      </c>
      <c r="BC176">
        <f t="shared" si="100"/>
        <v>-436</v>
      </c>
      <c r="BD176">
        <f t="shared" si="97"/>
        <v>6.41</v>
      </c>
    </row>
    <row r="177" spans="1:56" ht="14.4" thickBot="1" x14ac:dyDescent="0.3">
      <c r="A177" s="1036"/>
      <c r="B177" t="s">
        <v>1181</v>
      </c>
      <c r="C177" s="605">
        <v>297833</v>
      </c>
      <c r="D177" s="169">
        <v>75000</v>
      </c>
      <c r="E177" s="161">
        <f>D177*$R$25*$E$6/1000</f>
        <v>41.999974799999997</v>
      </c>
      <c r="F177" s="161">
        <f>D177*(($S$25*$E$6+($T$25+$Y$25)*$F$6))/1000</f>
        <v>417.11109882993748</v>
      </c>
      <c r="G177" s="494">
        <f t="shared" si="94"/>
        <v>459.11107362993749</v>
      </c>
      <c r="H177" s="200">
        <f>SUM(G174:G177)+G170+G166</f>
        <v>2199.0447206679287</v>
      </c>
      <c r="I177" s="200">
        <f>I176+D177</f>
        <v>81873</v>
      </c>
      <c r="J177" s="1037"/>
      <c r="K177" s="209">
        <f>(D177-D160)/D160</f>
        <v>-2.5974025974025976E-2</v>
      </c>
      <c r="L177" s="179">
        <f t="shared" si="95"/>
        <v>-2.597402597402599E-2</v>
      </c>
      <c r="AY177" t="str">
        <f t="shared" si="96"/>
        <v>4C2</v>
      </c>
      <c r="AZ177" t="str">
        <f t="shared" si="96"/>
        <v>Revegetated 1990-2024</v>
      </c>
      <c r="BA177">
        <f t="shared" si="98"/>
        <v>22</v>
      </c>
      <c r="BB177">
        <f t="shared" si="99"/>
        <v>-2.13</v>
      </c>
      <c r="BC177">
        <f t="shared" si="100"/>
        <v>-46</v>
      </c>
      <c r="BD177">
        <f t="shared" si="97"/>
        <v>6.41</v>
      </c>
    </row>
    <row r="178" spans="1:56" ht="14.4" thickBot="1" x14ac:dyDescent="0.3">
      <c r="A178" s="172" t="s">
        <v>3</v>
      </c>
      <c r="B178" s="173">
        <f>A162</f>
        <v>2025</v>
      </c>
      <c r="C178" s="174">
        <f>SUM(C174:C177)</f>
        <v>354748</v>
      </c>
      <c r="D178" s="174"/>
      <c r="E178" s="205">
        <f>SUM(E174:E177)+E170+E166</f>
        <v>571.86712198560815</v>
      </c>
      <c r="F178" s="205">
        <f>SUM(F174:F177)+F170+F166</f>
        <v>1627.1775986823204</v>
      </c>
      <c r="G178" s="495">
        <f>E178+F178</f>
        <v>2199.0447206679287</v>
      </c>
      <c r="H178" s="175">
        <f>H177</f>
        <v>2199.0447206679287</v>
      </c>
      <c r="I178" s="175">
        <f>SUM(I174:I177)</f>
        <v>102359</v>
      </c>
      <c r="J178" s="1038"/>
      <c r="K178" s="190">
        <f>(I178-I161)/I161</f>
        <v>-1.4803122323069963E-2</v>
      </c>
      <c r="L178" s="191">
        <f>(G178-G161)/G161</f>
        <v>-2.1829939238610804E-2</v>
      </c>
      <c r="AY178" t="str">
        <f t="shared" si="96"/>
        <v>4D1</v>
      </c>
      <c r="AZ178" t="str">
        <f t="shared" si="96"/>
        <v>Wetland</v>
      </c>
      <c r="BA178">
        <f t="shared" si="98"/>
        <v>480</v>
      </c>
      <c r="BB178">
        <f t="shared" si="99"/>
        <v>0</v>
      </c>
      <c r="BC178">
        <f t="shared" si="100"/>
        <v>0</v>
      </c>
      <c r="BD178">
        <f t="shared" si="97"/>
        <v>6.5</v>
      </c>
    </row>
    <row r="179" spans="1:56" x14ac:dyDescent="0.25">
      <c r="AY179" t="str">
        <f t="shared" si="96"/>
        <v>4E1</v>
      </c>
      <c r="AZ179" t="str">
        <f t="shared" si="96"/>
        <v>Settlement</v>
      </c>
      <c r="BA179">
        <f t="shared" si="98"/>
        <v>3866</v>
      </c>
      <c r="BB179">
        <f t="shared" si="99"/>
        <v>0</v>
      </c>
      <c r="BC179">
        <f t="shared" si="100"/>
        <v>0</v>
      </c>
    </row>
    <row r="180" spans="1:56" x14ac:dyDescent="0.25">
      <c r="AY180" t="str">
        <f t="shared" si="96"/>
        <v>4F1</v>
      </c>
      <c r="AZ180" t="str">
        <f t="shared" si="96"/>
        <v>Lakes and rivers</v>
      </c>
      <c r="BA180">
        <f t="shared" si="98"/>
        <v>162</v>
      </c>
      <c r="BB180">
        <f t="shared" si="99"/>
        <v>0</v>
      </c>
      <c r="BC180">
        <f t="shared" si="100"/>
        <v>0</v>
      </c>
    </row>
    <row r="181" spans="1:56" x14ac:dyDescent="0.25">
      <c r="AY181" t="str">
        <f t="shared" si="96"/>
        <v>4F1</v>
      </c>
      <c r="AZ181" t="str">
        <f t="shared" si="96"/>
        <v>Reservoirs</v>
      </c>
      <c r="BA181">
        <f t="shared" si="98"/>
        <v>131</v>
      </c>
      <c r="BB181">
        <f t="shared" si="99"/>
        <v>0</v>
      </c>
      <c r="BC181">
        <f t="shared" si="100"/>
        <v>0</v>
      </c>
    </row>
    <row r="182" spans="1:56" x14ac:dyDescent="0.25">
      <c r="AY182" t="str">
        <f t="shared" si="96"/>
        <v>4F1</v>
      </c>
      <c r="AZ182" t="str">
        <f t="shared" si="96"/>
        <v>Other land</v>
      </c>
      <c r="BA182">
        <f t="shared" si="98"/>
        <v>4647</v>
      </c>
      <c r="BB182">
        <f t="shared" si="99"/>
        <v>0</v>
      </c>
      <c r="BC182">
        <f t="shared" si="100"/>
        <v>0</v>
      </c>
      <c r="BD182">
        <f t="shared" si="97"/>
        <v>6.65</v>
      </c>
    </row>
    <row r="183" spans="1:56" x14ac:dyDescent="0.25">
      <c r="BA183">
        <f>SUM(BA167:BA182)</f>
        <v>24300</v>
      </c>
      <c r="BC183">
        <f>SUM(BC167:BC182)</f>
        <v>31035</v>
      </c>
    </row>
  </sheetData>
  <mergeCells count="42">
    <mergeCell ref="A128:A143"/>
    <mergeCell ref="J128:J144"/>
    <mergeCell ref="A111:A126"/>
    <mergeCell ref="J111:J127"/>
    <mergeCell ref="A94:A109"/>
    <mergeCell ref="J94:J110"/>
    <mergeCell ref="U91:W91"/>
    <mergeCell ref="U84:W84"/>
    <mergeCell ref="J77:J93"/>
    <mergeCell ref="U88:W88"/>
    <mergeCell ref="U81:W81"/>
    <mergeCell ref="U82:W82"/>
    <mergeCell ref="U83:W83"/>
    <mergeCell ref="U85:W85"/>
    <mergeCell ref="U86:W86"/>
    <mergeCell ref="U87:W87"/>
    <mergeCell ref="U77:W77"/>
    <mergeCell ref="U78:W78"/>
    <mergeCell ref="U79:W79"/>
    <mergeCell ref="U80:W80"/>
    <mergeCell ref="A26:A41"/>
    <mergeCell ref="J26:J42"/>
    <mergeCell ref="A7:B7"/>
    <mergeCell ref="U89:W89"/>
    <mergeCell ref="U90:W90"/>
    <mergeCell ref="U76:W76"/>
    <mergeCell ref="A162:A177"/>
    <mergeCell ref="J162:J178"/>
    <mergeCell ref="A145:A160"/>
    <mergeCell ref="J145:J161"/>
    <mergeCell ref="A2:L2"/>
    <mergeCell ref="A3:B5"/>
    <mergeCell ref="C3:L3"/>
    <mergeCell ref="H4:H6"/>
    <mergeCell ref="J4:L4"/>
    <mergeCell ref="A43:A58"/>
    <mergeCell ref="J43:J59"/>
    <mergeCell ref="A60:A75"/>
    <mergeCell ref="J60:J76"/>
    <mergeCell ref="A77:A92"/>
    <mergeCell ref="E7:F7"/>
    <mergeCell ref="A9:A24"/>
  </mergeCells>
  <phoneticPr fontId="23" type="noConversion"/>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BFDE6-ED24-40F4-AF41-196FD9A83EDE}">
  <dimension ref="A1"/>
  <sheetViews>
    <sheetView showGridLines="0" workbookViewId="0"/>
  </sheetViews>
  <sheetFormatPr defaultRowHeight="13.2"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8906C-B4A7-4107-B3FB-DCBB0BBAC777}">
  <dimension ref="A4:A42"/>
  <sheetViews>
    <sheetView showGridLines="0" workbookViewId="0">
      <selection activeCell="G36" sqref="G36"/>
    </sheetView>
  </sheetViews>
  <sheetFormatPr defaultColWidth="9.109375" defaultRowHeight="13.2" x14ac:dyDescent="0.25"/>
  <cols>
    <col min="1" max="16384" width="9.109375" style="224"/>
  </cols>
  <sheetData>
    <row r="4" spans="1:1" x14ac:dyDescent="0.25">
      <c r="A4" s="224">
        <v>2020</v>
      </c>
    </row>
    <row r="5" spans="1:1" x14ac:dyDescent="0.25">
      <c r="A5" s="224" t="s">
        <v>1294</v>
      </c>
    </row>
    <row r="6" spans="1:1" x14ac:dyDescent="0.25">
      <c r="A6" s="224" t="s">
        <v>1295</v>
      </c>
    </row>
    <row r="7" spans="1:1" x14ac:dyDescent="0.25">
      <c r="A7" s="224" t="s">
        <v>1296</v>
      </c>
    </row>
    <row r="8" spans="1:1" x14ac:dyDescent="0.25">
      <c r="A8" s="224" t="s">
        <v>1297</v>
      </c>
    </row>
    <row r="9" spans="1:1" x14ac:dyDescent="0.25">
      <c r="A9" s="224" t="s">
        <v>1298</v>
      </c>
    </row>
    <row r="10" spans="1:1" x14ac:dyDescent="0.25">
      <c r="A10" s="230" t="s">
        <v>1299</v>
      </c>
    </row>
    <row r="11" spans="1:1" x14ac:dyDescent="0.25">
      <c r="A11" s="224" t="s">
        <v>1300</v>
      </c>
    </row>
    <row r="12" spans="1:1" x14ac:dyDescent="0.25">
      <c r="A12" s="224" t="s">
        <v>1301</v>
      </c>
    </row>
    <row r="13" spans="1:1" x14ac:dyDescent="0.25">
      <c r="A13" s="224" t="s">
        <v>1302</v>
      </c>
    </row>
    <row r="14" spans="1:1" x14ac:dyDescent="0.25">
      <c r="A14" s="224" t="s">
        <v>1303</v>
      </c>
    </row>
    <row r="20" spans="1:1" x14ac:dyDescent="0.25">
      <c r="A20" s="224">
        <v>2022</v>
      </c>
    </row>
    <row r="24" spans="1:1" x14ac:dyDescent="0.25">
      <c r="A24" s="224">
        <v>2024</v>
      </c>
    </row>
    <row r="25" spans="1:1" x14ac:dyDescent="0.25">
      <c r="A25" s="224" t="s">
        <v>1304</v>
      </c>
    </row>
    <row r="26" spans="1:1" x14ac:dyDescent="0.25">
      <c r="A26" s="224" t="s">
        <v>1305</v>
      </c>
    </row>
    <row r="27" spans="1:1" x14ac:dyDescent="0.25">
      <c r="A27" s="224" t="s">
        <v>1306</v>
      </c>
    </row>
    <row r="28" spans="1:1" x14ac:dyDescent="0.25">
      <c r="A28" s="224" t="s">
        <v>1307</v>
      </c>
    </row>
    <row r="29" spans="1:1" x14ac:dyDescent="0.25">
      <c r="A29" s="224" t="s">
        <v>1308</v>
      </c>
    </row>
    <row r="32" spans="1:1" x14ac:dyDescent="0.25">
      <c r="A32" s="224">
        <v>2025</v>
      </c>
    </row>
    <row r="33" spans="1:1" x14ac:dyDescent="0.25">
      <c r="A33" s="224" t="s">
        <v>1309</v>
      </c>
    </row>
    <row r="36" spans="1:1" x14ac:dyDescent="0.25">
      <c r="A36" s="224">
        <v>2026</v>
      </c>
    </row>
    <row r="37" spans="1:1" x14ac:dyDescent="0.25">
      <c r="A37" s="224" t="s">
        <v>1310</v>
      </c>
    </row>
    <row r="38" spans="1:1" x14ac:dyDescent="0.25">
      <c r="A38" s="224" t="s">
        <v>1311</v>
      </c>
    </row>
    <row r="39" spans="1:1" x14ac:dyDescent="0.25">
      <c r="A39" s="224" t="s">
        <v>1312</v>
      </c>
    </row>
    <row r="40" spans="1:1" x14ac:dyDescent="0.25">
      <c r="A40" s="224" t="s">
        <v>1313</v>
      </c>
    </row>
    <row r="41" spans="1:1" x14ac:dyDescent="0.25">
      <c r="A41" s="224" t="s">
        <v>1314</v>
      </c>
    </row>
    <row r="42" spans="1:1" x14ac:dyDescent="0.25">
      <c r="A42" s="224" t="s">
        <v>1315</v>
      </c>
    </row>
  </sheetData>
  <sheetProtection algorithmName="SHA-512" hashValue="YwY54hVh9wm9el2JPTgLzeLR/ZtsvJGzVNhug4D41amnPAw1zLkGQcnBdVgl5883AIAc/Y7ARko1GomaAH5IPw==" saltValue="lQW74+8AVwCxcxyupLSYxA==" spinCount="100000"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A3A5F2CF4292D47A1FD51E34624DF7E" ma:contentTypeVersion="22" ma:contentTypeDescription="Create a new document." ma:contentTypeScope="" ma:versionID="cd5a1838d134ed0a71a483cc1d86951c">
  <xsd:schema xmlns:xsd="http://www.w3.org/2001/XMLSchema" xmlns:xs="http://www.w3.org/2001/XMLSchema" xmlns:p="http://schemas.microsoft.com/office/2006/metadata/properties" xmlns:ns2="14bfd2bb-3d4a-4549-9197-f3410a8da64b" xmlns:ns3="abbeec68-b05e-4e2e-88e5-2ac3e13fe809" xmlns:ns4="af0aa304-566e-4750-b11e-22b9c06e3397" xmlns:ns5="917c8f16-5bd7-42f2-8cfd-d3d3b3319cf0" xmlns:ns6="47004280-5cd1-4043-b658-00de4ce8b7bd" xmlns:ns7="3d815d55-d4f1-4917-a2d6-8f3ac7defde3" xmlns:ns8="b7018438-db95-45bc-9121-6ce8956e7197" targetNamespace="http://schemas.microsoft.com/office/2006/metadata/properties" ma:root="true" ma:fieldsID="663d15b4e1e3745bac8d3ee29efadf4d" ns2:_="" ns3:_="" ns4:_="" ns5:_="" ns6:_="" ns7:_="" ns8:_="">
    <xsd:import namespace="14bfd2bb-3d4a-4549-9197-f3410a8da64b"/>
    <xsd:import namespace="abbeec68-b05e-4e2e-88e5-2ac3e13fe809"/>
    <xsd:import namespace="af0aa304-566e-4750-b11e-22b9c06e3397"/>
    <xsd:import namespace="917c8f16-5bd7-42f2-8cfd-d3d3b3319cf0"/>
    <xsd:import namespace="47004280-5cd1-4043-b658-00de4ce8b7bd"/>
    <xsd:import namespace="3d815d55-d4f1-4917-a2d6-8f3ac7defde3"/>
    <xsd:import namespace="b7018438-db95-45bc-9121-6ce8956e7197"/>
    <xsd:element name="properties">
      <xsd:complexType>
        <xsd:sequence>
          <xsd:element name="documentManagement">
            <xsd:complexType>
              <xsd:all>
                <xsd:element ref="ns2:wpItemLocation" minOccurs="0"/>
                <xsd:element ref="ns3:wp_tag" minOccurs="0"/>
                <xsd:element ref="ns4:DocumentType" minOccurs="0"/>
                <xsd:element ref="ns5:Signature" minOccurs="0"/>
                <xsd:element ref="ns6:wpParent" minOccurs="0"/>
                <xsd:element ref="ns7:wpProjectID" minOccurs="0"/>
                <xsd:element ref="ns7:wpProjectManager" minOccurs="0"/>
                <xsd:element ref="ns6:wpProjectType" minOccurs="0"/>
                <xsd:element ref="ns6:wpFagsvid" minOccurs="0"/>
                <xsd:element ref="ns5:Sign" minOccurs="0"/>
                <xsd:element ref="ns8:wpRelationSets" minOccurs="0"/>
                <xsd:element ref="ns8:wpHasRelatedContent" minOccurs="0"/>
                <xsd:element ref="ns6:MediaServiceMetadata" minOccurs="0"/>
                <xsd:element ref="ns6:MediaServiceFastMetadata" minOccurs="0"/>
                <xsd:element ref="ns6: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bfd2bb-3d4a-4549-9197-f3410a8da64b" elementFormDefault="qualified">
    <xsd:import namespace="http://schemas.microsoft.com/office/2006/documentManagement/types"/>
    <xsd:import namespace="http://schemas.microsoft.com/office/infopath/2007/PartnerControls"/>
    <xsd:element name="wpItemLocation" ma:index="5" nillable="true" ma:displayName="wpItemLocation" ma:default="1f2345ff52cd45ad946ce18cf444a98c;4f10c4152bc44169865cb9aea2c0b633;7117;bc333dc250284a81867ff4f66c0034ee;33265;" ma:internalName="wpItem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bbeec68-b05e-4e2e-88e5-2ac3e13fe809" elementFormDefault="qualified">
    <xsd:import namespace="http://schemas.microsoft.com/office/2006/documentManagement/types"/>
    <xsd:import namespace="http://schemas.microsoft.com/office/infopath/2007/PartnerControls"/>
    <xsd:element name="wp_tag" ma:index="6" nillable="true" ma:displayName="Stage tag" ma:internalName="wp_tag"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0aa304-566e-4750-b11e-22b9c06e3397" elementFormDefault="qualified">
    <xsd:import namespace="http://schemas.microsoft.com/office/2006/documentManagement/types"/>
    <xsd:import namespace="http://schemas.microsoft.com/office/infopath/2007/PartnerControls"/>
    <xsd:element name="DocumentType" ma:index="7" nillable="true" ma:displayName="Documenttype" ma:internalName="DocumentType">
      <xsd:simpleType>
        <xsd:restriction base="dms:Choice">
          <xsd:enumeration value="Technical"/>
          <xsd:enumeration value="Documentation"/>
          <xsd:enumeration value="Various"/>
        </xsd:restriction>
      </xsd:simpleType>
    </xsd:element>
  </xsd:schema>
  <xsd:schema xmlns:xsd="http://www.w3.org/2001/XMLSchema" xmlns:xs="http://www.w3.org/2001/XMLSchema" xmlns:dms="http://schemas.microsoft.com/office/2006/documentManagement/types" xmlns:pc="http://schemas.microsoft.com/office/infopath/2007/PartnerControls" targetNamespace="917c8f16-5bd7-42f2-8cfd-d3d3b3319cf0" elementFormDefault="qualified">
    <xsd:import namespace="http://schemas.microsoft.com/office/2006/documentManagement/types"/>
    <xsd:import namespace="http://schemas.microsoft.com/office/infopath/2007/PartnerControls"/>
    <xsd:element name="Signature" ma:index="8" nillable="true" ma:displayName="Signature" ma:internalName="Signature">
      <xsd:simpleType>
        <xsd:restriction base="dms:Text">
          <xsd:maxLength value="255"/>
        </xsd:restriction>
      </xsd:simpleType>
    </xsd:element>
    <xsd:element name="Sign" ma:index="14" nillable="true" ma:displayName="Sign" ma:format="Dropdown" ma:internalName="Sig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004280-5cd1-4043-b658-00de4ce8b7bd" elementFormDefault="qualified">
    <xsd:import namespace="http://schemas.microsoft.com/office/2006/documentManagement/types"/>
    <xsd:import namespace="http://schemas.microsoft.com/office/infopath/2007/PartnerControls"/>
    <xsd:element name="wpParent" ma:index="9" nillable="true" ma:displayName="Customer" ma:default="EFLA verkefnaöflun" ma:internalName="wpParent" ma:readOnly="false">
      <xsd:simpleType>
        <xsd:restriction base="dms:Text"/>
      </xsd:simpleType>
    </xsd:element>
    <xsd:element name="wpProjectType" ma:index="12" nillable="true" ma:displayName="Project Category" ma:default="" ma:internalName="wpProjectType" ma:readOnly="false">
      <xsd:simpleType>
        <xsd:restriction base="dms:Text"/>
      </xsd:simpleType>
    </xsd:element>
    <xsd:element name="wpFagsvid" ma:index="13" nillable="true" ma:displayName="Service Divison" ma:default="" ma:internalName="wpFagsvid" ma:readOnly="false">
      <xsd:simpleType>
        <xsd:restriction base="dms:Text"/>
      </xsd:simpleType>
    </xsd:element>
    <xsd:element name="MediaServiceMetadata" ma:index="20" nillable="true" ma:displayName="MediaServiceMetadata" ma:hidden="true" ma:internalName="MediaServiceMetadata" ma:readOnly="true">
      <xsd:simpleType>
        <xsd:restriction base="dms:Note"/>
      </xsd:simpleType>
    </xsd:element>
    <xsd:element name="MediaServiceFastMetadata" ma:index="21" nillable="true" ma:displayName="MediaServiceFastMetadata" ma:hidden="true" ma:internalName="MediaServiceFastMetadata"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d815d55-d4f1-4917-a2d6-8f3ac7defde3" elementFormDefault="qualified">
    <xsd:import namespace="http://schemas.microsoft.com/office/2006/documentManagement/types"/>
    <xsd:import namespace="http://schemas.microsoft.com/office/infopath/2007/PartnerControls"/>
    <xsd:element name="wpProjectID" ma:index="10" nillable="true" ma:displayName="Project ID" ma:default="115072" ma:indexed="true" ma:internalName="wpProjectID" ma:readOnly="false">
      <xsd:simpleType>
        <xsd:restriction base="dms:Text"/>
      </xsd:simpleType>
    </xsd:element>
    <xsd:element name="wpProjectManager" ma:index="11" nillable="true" ma:displayName="Project Manager" ma:default="" ma:indexed="true" ma:SharePointGroup="0" ma:internalName="wpProjectManag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7018438-db95-45bc-9121-6ce8956e7197" elementFormDefault="qualified">
    <xsd:import namespace="http://schemas.microsoft.com/office/2006/documentManagement/types"/>
    <xsd:import namespace="http://schemas.microsoft.com/office/infopath/2007/PartnerControls"/>
    <xsd:element name="wpRelationSets" ma:index="15" nillable="true" ma:displayName="Relation Sets" ma:description="Contains data about an element's related content" ma:internalName="wpRelationSets" ma:readOnly="false">
      <xsd:simpleType>
        <xsd:restriction base="dms:Note"/>
      </xsd:simpleType>
    </xsd:element>
    <xsd:element name="wpHasRelatedContent" ma:index="16" nillable="true" ma:displayName="Has related content" ma:default="0" ma:description="Indicates whether an item has related content" ma:internalName="wpHasRelatedContent" ma:readOnly="fal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DocumentType xmlns="af0aa304-566e-4750-b11e-22b9c06e3397" xsi:nil="true"/>
    <wpItemLocation xmlns="14bfd2bb-3d4a-4549-9197-f3410a8da64b">1f2345ff52cd45ad946ce18cf444a98c;4f10c4152bc44169865cb9aea2c0b633;3462;bc333dc250284a81867ff4f66c0034ee;28488;</wpItemLocation>
    <wpProjectManager xmlns="3d815d55-d4f1-4917-a2d6-8f3ac7defde3">
      <UserInfo>
        <DisplayName>Stefán Þór Kristinsson</DisplayName>
        <AccountId>42</AccountId>
        <AccountType/>
      </UserInfo>
    </wpProjectManager>
    <Signature xmlns="917c8f16-5bd7-42f2-8cfd-d3d3b3319cf0" xsi:nil="true"/>
    <wpProjectID xmlns="3d815d55-d4f1-4917-a2d6-8f3ac7defde3">109525</wpProjectID>
    <wp_tag xmlns="abbeec68-b05e-4e2e-88e5-2ac3e13fe809">Verkefnavinna</wp_tag>
    <Sign xmlns="917c8f16-5bd7-42f2-8cfd-d3d3b3319cf0" xsi:nil="true"/>
    <wpRelationSets xmlns="b7018438-db95-45bc-9121-6ce8956e7197" xsi:nil="true"/>
    <wpHasRelatedContent xmlns="b7018438-db95-45bc-9121-6ce8956e7197">false</wpHasRelatedContent>
    <wpFagsvid xmlns="47004280-5cd1-4043-b658-00de4ce8b7bd">411 Umhverfismál og vottanir</wpFagsvid>
    <wpProjectType xmlns="47004280-5cd1-4043-b658-00de4ce8b7bd">D</wpProjectType>
    <wpParent xmlns="47004280-5cd1-4043-b658-00de4ce8b7bd">Reykjavíkurborg</wpParent>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3CE877-2935-4735-98F6-3BD0F072F8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bfd2bb-3d4a-4549-9197-f3410a8da64b"/>
    <ds:schemaRef ds:uri="abbeec68-b05e-4e2e-88e5-2ac3e13fe809"/>
    <ds:schemaRef ds:uri="af0aa304-566e-4750-b11e-22b9c06e3397"/>
    <ds:schemaRef ds:uri="917c8f16-5bd7-42f2-8cfd-d3d3b3319cf0"/>
    <ds:schemaRef ds:uri="47004280-5cd1-4043-b658-00de4ce8b7bd"/>
    <ds:schemaRef ds:uri="3d815d55-d4f1-4917-a2d6-8f3ac7defde3"/>
    <ds:schemaRef ds:uri="b7018438-db95-45bc-9121-6ce8956e71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E2D007-6FCC-4EA3-A6B7-722091C73ABA}">
  <ds:schemaRefs>
    <ds:schemaRef ds:uri="14bfd2bb-3d4a-4549-9197-f3410a8da64b"/>
    <ds:schemaRef ds:uri="http://purl.org/dc/dcmitype/"/>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7018438-db95-45bc-9121-6ce8956e7197"/>
    <ds:schemaRef ds:uri="917c8f16-5bd7-42f2-8cfd-d3d3b3319cf0"/>
    <ds:schemaRef ds:uri="3d815d55-d4f1-4917-a2d6-8f3ac7defde3"/>
    <ds:schemaRef ds:uri="http://purl.org/dc/terms/"/>
    <ds:schemaRef ds:uri="47004280-5cd1-4043-b658-00de4ce8b7bd"/>
    <ds:schemaRef ds:uri="af0aa304-566e-4750-b11e-22b9c06e3397"/>
    <ds:schemaRef ds:uri="abbeec68-b05e-4e2e-88e5-2ac3e13fe809"/>
    <ds:schemaRef ds:uri="http://www.w3.org/XML/1998/namespace"/>
  </ds:schemaRefs>
</ds:datastoreItem>
</file>

<file path=customXml/itemProps3.xml><?xml version="1.0" encoding="utf-8"?>
<ds:datastoreItem xmlns:ds="http://schemas.openxmlformats.org/officeDocument/2006/customXml" ds:itemID="{D837BD58-6633-432A-8939-0F763F7A9E60}">
  <ds:schemaRefs>
    <ds:schemaRef ds:uri="http://schemas.microsoft.com/sharepoint/v3/contenttype/forms"/>
  </ds:schemaRefs>
</ds:datastoreItem>
</file>

<file path=docMetadata/LabelInfo.xml><?xml version="1.0" encoding="utf-8"?>
<clbl:labelList xmlns:clbl="http://schemas.microsoft.com/office/2020/mipLabelMetadata">
  <clbl:label id="{c109489b-2484-49fe-8815-b911c43ef19f}" enabled="1" method="Standard" siteId="{6aed0be3-a6ff-4c6c-83b5-bb72bdd10088}" removed="0"/>
  <clbl:label id="{d66e9766-1bcf-4517-b42d-9f8ad270aff5}" enabled="1" method="Privileged" siteId="{2335d9ba-1c70-4058-a8ae-0dbf4f1d91c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Almennir losunarliðir</vt:lpstr>
      <vt:lpstr>Dashboard</vt:lpstr>
      <vt:lpstr>Mælaborð</vt:lpstr>
      <vt:lpstr>Samantekt</vt:lpstr>
      <vt:lpstr>Reykjavík</vt:lpstr>
      <vt:lpstr>Byggingariðnaður</vt:lpstr>
      <vt:lpstr>Notkunarflokkun 2024</vt:lpstr>
      <vt:lpstr>Götuumferð</vt:lpstr>
      <vt:lpstr>Sheet1</vt:lpstr>
      <vt:lpstr>Flug</vt:lpstr>
      <vt:lpstr>Skip</vt:lpstr>
      <vt:lpstr>Orka</vt:lpstr>
      <vt:lpstr>Úrgangur</vt:lpstr>
      <vt:lpstr>Fráveita</vt:lpstr>
      <vt:lpstr>Landbúnaður og landnotkun</vt:lpstr>
      <vt:lpstr>Sheet2</vt:lpstr>
      <vt:lpstr>Breytingar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stefan.thor.kristinsson@efla.is</dc:creator>
  <cp:keywords/>
  <dc:description/>
  <cp:lastModifiedBy>Hreinn Valgerðar Hreinsson</cp:lastModifiedBy>
  <cp:revision/>
  <dcterms:created xsi:type="dcterms:W3CDTF">2020-03-13T16:40:21Z</dcterms:created>
  <dcterms:modified xsi:type="dcterms:W3CDTF">2026-11-05T14:38:41Z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0x0101000A3A5F2CF4292D47A1FD51E34624DF7E</vt:lpwstr>
  </property>
  <property fmtid="{D5CDD505-2E9C-101B-9397-08002B2CF9AE}" pid="3" name="Order">
    <vt:r8>3600</vt:r8>
  </property>
  <property fmtid="{D5CDD505-2E9C-101B-9397-08002B2CF9AE}" pid="4" name="MediaServiceImageTags">
    <vt:lpwstr/>
  </property>
</Properties>
</file>