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efla.sharepoint.com/sites/wp_Projects57783/Documents/74 Umhverfi/"/>
    </mc:Choice>
  </mc:AlternateContent>
  <xr:revisionPtr revIDLastSave="40" documentId="8_{BFA791D0-99FC-43E4-87B7-891C39F8B287}" xr6:coauthVersionLast="47" xr6:coauthVersionMax="47" xr10:uidLastSave="{368F33C6-5442-41F2-BDBB-81DC5637EDF8}"/>
  <workbookProtection workbookAlgorithmName="SHA-512" workbookHashValue="lY7zEae7xrGtjFRQQgQi/IJLy3NdgloBjtsn6HW09I0sIjFHg5bCbmEM6V+YOL7rg3mNyfrR/R2PxAJVr6ojRQ==" workbookSaltValue="ukZEGA2RjD79A+7dQNPRfw==" workbookSpinCount="100000" lockStructure="1"/>
  <bookViews>
    <workbookView xWindow="57480" yWindow="-120" windowWidth="29040" windowHeight="15225" firstSheet="1" activeTab="1" xr2:uid="{17F151F8-AA45-4B48-AB8A-598A929750AA}"/>
  </bookViews>
  <sheets>
    <sheet name="Almennir losunarliðir" sheetId="4" state="hidden" r:id="rId1"/>
    <sheet name="Mælaborð" sheetId="2" r:id="rId2"/>
    <sheet name="Dashboard" sheetId="19" r:id="rId3"/>
    <sheet name="Reykjavík" sheetId="3" state="hidden" r:id="rId4"/>
    <sheet name="Umferð" sheetId="10" state="hidden" r:id="rId5"/>
    <sheet name="Götuumferð" sheetId="15" state="hidden" r:id="rId6"/>
    <sheet name="Orka" sheetId="9" state="hidden" r:id="rId7"/>
    <sheet name="Skip" sheetId="12" state="hidden" r:id="rId8"/>
    <sheet name="Flug" sheetId="11" state="hidden" r:id="rId9"/>
    <sheet name="Úrgangur" sheetId="16" state="hidden" r:id="rId10"/>
    <sheet name="Fráveita" sheetId="17" state="hidden" r:id="rId11"/>
    <sheet name="Landbúnaður og landnotkun" sheetId="13" state="hidden" r:id="rId12"/>
    <sheet name="Breytingar" sheetId="18" state="hidden" r:id="rId13"/>
  </sheets>
  <externalReferences>
    <externalReference r:id="rId14"/>
  </externalReferences>
  <definedNames>
    <definedName name="_xlchart.v1.0" hidden="1">Reykjavík!$A$171:$A$186</definedName>
    <definedName name="_xlchart.v1.1" hidden="1">Reykjavík!$L$171:$L$186</definedName>
    <definedName name="_xlchart.v1.2" hidden="1">[1]Reykjavík!$A$171:$A$186</definedName>
    <definedName name="_xlchart.v1.3" hidden="1">Reykjavík!$L$171:$L$186</definedName>
  </definedNames>
  <calcPr calcId="191029" iterate="1" iterateCount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" i="3" l="1"/>
  <c r="L5" i="3"/>
  <c r="AP5" i="16"/>
  <c r="AG6" i="16"/>
  <c r="W14" i="9"/>
  <c r="E26" i="9"/>
  <c r="K4" i="3"/>
  <c r="J39" i="17"/>
  <c r="J105" i="3"/>
  <c r="I43" i="17"/>
  <c r="V30" i="16"/>
  <c r="BA34" i="15"/>
  <c r="BA33" i="15"/>
  <c r="J98" i="3"/>
  <c r="I98" i="3"/>
  <c r="J99" i="3"/>
  <c r="J101" i="3" s="1"/>
  <c r="J94" i="3"/>
  <c r="J100" i="3" l="1"/>
  <c r="J76" i="3" l="1"/>
  <c r="AA25" i="16" l="1"/>
  <c r="Z25" i="16"/>
  <c r="Y25" i="16"/>
  <c r="X25" i="16"/>
  <c r="W25" i="16"/>
  <c r="V25" i="16"/>
  <c r="V4" i="16"/>
  <c r="L161" i="3"/>
  <c r="L157" i="3"/>
  <c r="L155" i="3"/>
  <c r="L154" i="3"/>
  <c r="L153" i="3"/>
  <c r="L150" i="3"/>
  <c r="L149" i="3"/>
  <c r="L147" i="3"/>
  <c r="L146" i="3"/>
  <c r="L145" i="3"/>
  <c r="L144" i="3"/>
  <c r="L143" i="3"/>
  <c r="L142" i="3"/>
  <c r="L140" i="3"/>
  <c r="L138" i="3"/>
  <c r="L129" i="3"/>
  <c r="L125" i="3"/>
  <c r="L124" i="3"/>
  <c r="L123" i="3"/>
  <c r="L122" i="3"/>
  <c r="L118" i="3"/>
  <c r="L117" i="3"/>
  <c r="L116" i="3"/>
  <c r="L115" i="3"/>
  <c r="L114" i="3"/>
  <c r="L113" i="3"/>
  <c r="L112" i="3"/>
  <c r="L111" i="3"/>
  <c r="L108" i="3"/>
  <c r="L104" i="3"/>
  <c r="L103" i="3"/>
  <c r="L102" i="3"/>
  <c r="C33" i="2"/>
  <c r="C31" i="2"/>
  <c r="C29" i="2"/>
  <c r="C28" i="2"/>
  <c r="C23" i="2"/>
  <c r="C24" i="2" s="1"/>
  <c r="C21" i="2"/>
  <c r="C19" i="2"/>
  <c r="C18" i="2"/>
  <c r="C17" i="2"/>
  <c r="C13" i="2"/>
  <c r="C12" i="2"/>
  <c r="C33" i="19"/>
  <c r="C31" i="19"/>
  <c r="C29" i="19"/>
  <c r="C28" i="19"/>
  <c r="C23" i="19"/>
  <c r="C24" i="19" s="1"/>
  <c r="C21" i="19"/>
  <c r="C22" i="19" s="1"/>
  <c r="C19" i="19"/>
  <c r="C18" i="19"/>
  <c r="C17" i="19"/>
  <c r="C15" i="19"/>
  <c r="C13" i="19"/>
  <c r="C12" i="19"/>
  <c r="L107" i="3"/>
  <c r="J102" i="3"/>
  <c r="I105" i="3"/>
  <c r="C32" i="2"/>
  <c r="J127" i="3"/>
  <c r="L127" i="3" s="1"/>
  <c r="I99" i="3"/>
  <c r="I100" i="3"/>
  <c r="J40" i="3"/>
  <c r="J41" i="3"/>
  <c r="J42" i="3" s="1"/>
  <c r="J43" i="3"/>
  <c r="J44" i="3" s="1"/>
  <c r="I40" i="3"/>
  <c r="AL31" i="16"/>
  <c r="AM31" i="16"/>
  <c r="AN31" i="16"/>
  <c r="AL32" i="16"/>
  <c r="AM32" i="16"/>
  <c r="AN32" i="16"/>
  <c r="AM24" i="16"/>
  <c r="AL24" i="16"/>
  <c r="AD25" i="16"/>
  <c r="AD24" i="16"/>
  <c r="AE24" i="16"/>
  <c r="AF24" i="16"/>
  <c r="AG24" i="16"/>
  <c r="AH24" i="16"/>
  <c r="AI24" i="16"/>
  <c r="AJ24" i="16"/>
  <c r="AK24" i="16"/>
  <c r="AN24" i="16"/>
  <c r="AE25" i="16"/>
  <c r="AF25" i="16"/>
  <c r="AG25" i="16"/>
  <c r="AH25" i="16"/>
  <c r="AI25" i="16"/>
  <c r="AJ25" i="16"/>
  <c r="AK25" i="16"/>
  <c r="AL25" i="16"/>
  <c r="AM25" i="16"/>
  <c r="AN25" i="16"/>
  <c r="AN26" i="16"/>
  <c r="AN23" i="16"/>
  <c r="AN22" i="16"/>
  <c r="AN21" i="16"/>
  <c r="AN20" i="16"/>
  <c r="AN19" i="16"/>
  <c r="AP12" i="16"/>
  <c r="AP11" i="16"/>
  <c r="AN15" i="16"/>
  <c r="AN13" i="16"/>
  <c r="AN12" i="16"/>
  <c r="AN11" i="16"/>
  <c r="AF5" i="16"/>
  <c r="AN10" i="16"/>
  <c r="AN9" i="16"/>
  <c r="F26" i="9"/>
  <c r="H26" i="9" s="1"/>
  <c r="J26" i="9"/>
  <c r="J73" i="3"/>
  <c r="H72" i="3"/>
  <c r="I73" i="3"/>
  <c r="I72" i="3"/>
  <c r="I71" i="3"/>
  <c r="I68" i="3"/>
  <c r="H73" i="3"/>
  <c r="H71" i="3"/>
  <c r="J9" i="3"/>
  <c r="J8" i="3"/>
  <c r="J7" i="3"/>
  <c r="J4" i="3"/>
  <c r="C22" i="2" l="1"/>
  <c r="C32" i="19"/>
  <c r="C15" i="2"/>
  <c r="I70" i="3"/>
  <c r="I69" i="3"/>
  <c r="J95" i="3"/>
  <c r="I95" i="3"/>
  <c r="J96" i="3" l="1"/>
  <c r="J93" i="3" s="1"/>
  <c r="AN27" i="16"/>
  <c r="AN28" i="16"/>
  <c r="AN29" i="16"/>
  <c r="P129" i="3"/>
  <c r="O129" i="3"/>
  <c r="P134" i="3"/>
  <c r="O134" i="3"/>
  <c r="F11" i="19"/>
  <c r="AN30" i="16" l="1"/>
  <c r="C27" i="19"/>
  <c r="D27" i="19" s="1"/>
  <c r="C16" i="19"/>
  <c r="D16" i="19" s="1"/>
  <c r="AP25" i="12" l="1"/>
  <c r="I102" i="3"/>
  <c r="I97" i="3"/>
  <c r="I101" i="3"/>
  <c r="J68" i="3"/>
  <c r="D100" i="16"/>
  <c r="J154" i="3"/>
  <c r="J153" i="3"/>
  <c r="J147" i="3"/>
  <c r="J140" i="3"/>
  <c r="J172" i="3"/>
  <c r="J173" i="3"/>
  <c r="J174" i="3"/>
  <c r="J176" i="3"/>
  <c r="J177" i="3"/>
  <c r="J179" i="3"/>
  <c r="J180" i="3"/>
  <c r="J142" i="3"/>
  <c r="J143" i="3"/>
  <c r="J144" i="3"/>
  <c r="J145" i="3"/>
  <c r="J146" i="3"/>
  <c r="J155" i="3"/>
  <c r="J124" i="3"/>
  <c r="J117" i="3"/>
  <c r="J149" i="3" s="1"/>
  <c r="J115" i="3"/>
  <c r="J114" i="3"/>
  <c r="J111" i="3"/>
  <c r="J108" i="3"/>
  <c r="J112" i="3"/>
  <c r="J113" i="3"/>
  <c r="J116" i="3"/>
  <c r="J118" i="3"/>
  <c r="J150" i="3" s="1"/>
  <c r="J122" i="3"/>
  <c r="J123" i="3"/>
  <c r="J128" i="3"/>
  <c r="J160" i="3" s="1"/>
  <c r="L160" i="3" s="1"/>
  <c r="J129" i="3"/>
  <c r="J183" i="3" s="1"/>
  <c r="I108" i="3"/>
  <c r="J104" i="3"/>
  <c r="I104" i="3"/>
  <c r="J103" i="3"/>
  <c r="I103" i="3"/>
  <c r="I96" i="3"/>
  <c r="I93" i="3" s="1"/>
  <c r="D95" i="3"/>
  <c r="C95" i="3"/>
  <c r="H95" i="3"/>
  <c r="I90" i="3"/>
  <c r="J78" i="3"/>
  <c r="J83" i="3"/>
  <c r="J84" i="3"/>
  <c r="J85" i="3" s="1"/>
  <c r="J86" i="3"/>
  <c r="J87" i="3"/>
  <c r="J88" i="3"/>
  <c r="J89" i="3" s="1"/>
  <c r="I86" i="3"/>
  <c r="I85" i="3"/>
  <c r="I84" i="3"/>
  <c r="I83" i="3"/>
  <c r="J80" i="3"/>
  <c r="J81" i="3"/>
  <c r="J82" i="3" s="1"/>
  <c r="I82" i="3"/>
  <c r="I80" i="3"/>
  <c r="J75" i="3"/>
  <c r="I76" i="3"/>
  <c r="I75" i="3"/>
  <c r="J74" i="3"/>
  <c r="I74" i="3"/>
  <c r="J64" i="3"/>
  <c r="J63" i="3"/>
  <c r="J62" i="3"/>
  <c r="J61" i="3"/>
  <c r="J60" i="3"/>
  <c r="J59" i="3"/>
  <c r="J58" i="3"/>
  <c r="H109" i="13"/>
  <c r="G110" i="13"/>
  <c r="H110" i="13"/>
  <c r="J57" i="3"/>
  <c r="J55" i="3" s="1"/>
  <c r="I57" i="3"/>
  <c r="I55" i="3" s="1"/>
  <c r="J56" i="3"/>
  <c r="J34" i="3"/>
  <c r="J33" i="3"/>
  <c r="J32" i="3"/>
  <c r="J31" i="3"/>
  <c r="J30" i="3"/>
  <c r="J29" i="3"/>
  <c r="J35" i="3"/>
  <c r="J36" i="3"/>
  <c r="J37" i="3"/>
  <c r="D24" i="3"/>
  <c r="J23" i="3"/>
  <c r="J22" i="3"/>
  <c r="J21" i="3"/>
  <c r="G15" i="9"/>
  <c r="J20" i="3" s="1"/>
  <c r="I20" i="3"/>
  <c r="J24" i="3"/>
  <c r="J25" i="3"/>
  <c r="J26" i="3"/>
  <c r="H14" i="3"/>
  <c r="H15" i="9"/>
  <c r="AP37" i="12"/>
  <c r="AI93" i="12"/>
  <c r="AH92" i="12"/>
  <c r="AH91" i="12"/>
  <c r="AG91" i="12"/>
  <c r="U95" i="12"/>
  <c r="T94" i="12"/>
  <c r="T91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P95" i="12"/>
  <c r="P82" i="12"/>
  <c r="P94" i="12"/>
  <c r="AG94" i="12" s="1"/>
  <c r="P81" i="12"/>
  <c r="P91" i="12"/>
  <c r="P78" i="12"/>
  <c r="F91" i="12"/>
  <c r="K91" i="12" s="1"/>
  <c r="F95" i="12"/>
  <c r="F94" i="12"/>
  <c r="AQ94" i="11"/>
  <c r="AQ83" i="11"/>
  <c r="AQ84" i="11"/>
  <c r="AQ85" i="11"/>
  <c r="AQ86" i="11"/>
  <c r="AQ87" i="11"/>
  <c r="AQ88" i="11"/>
  <c r="AQ89" i="11"/>
  <c r="AQ90" i="11"/>
  <c r="AQ91" i="11"/>
  <c r="AQ92" i="11"/>
  <c r="AQ93" i="11"/>
  <c r="AQ71" i="11"/>
  <c r="AQ82" i="11"/>
  <c r="AQ70" i="11"/>
  <c r="AQ81" i="11"/>
  <c r="AQ77" i="11"/>
  <c r="BE38" i="15"/>
  <c r="BE37" i="15"/>
  <c r="BE36" i="15"/>
  <c r="BE35" i="15"/>
  <c r="BE34" i="15"/>
  <c r="BE33" i="15"/>
  <c r="BB37" i="15"/>
  <c r="BB36" i="15"/>
  <c r="BB35" i="15"/>
  <c r="BB34" i="15"/>
  <c r="BB33" i="15"/>
  <c r="BA38" i="15"/>
  <c r="BA37" i="15"/>
  <c r="BA36" i="15"/>
  <c r="BA35" i="15"/>
  <c r="BM16" i="15"/>
  <c r="BE30" i="15"/>
  <c r="BJ11" i="15"/>
  <c r="BH11" i="15"/>
  <c r="BG11" i="15"/>
  <c r="BE12" i="15"/>
  <c r="BE13" i="15"/>
  <c r="BE14" i="15"/>
  <c r="BE15" i="15"/>
  <c r="BE16" i="15"/>
  <c r="BE17" i="15"/>
  <c r="BE18" i="15"/>
  <c r="BE19" i="15"/>
  <c r="BE20" i="15"/>
  <c r="BE21" i="15"/>
  <c r="BE22" i="15"/>
  <c r="BE23" i="15"/>
  <c r="BE24" i="15"/>
  <c r="BE25" i="15"/>
  <c r="BE26" i="15"/>
  <c r="BE27" i="15"/>
  <c r="BE28" i="15"/>
  <c r="BE11" i="15"/>
  <c r="BB15" i="15"/>
  <c r="BC16" i="15"/>
  <c r="BD17" i="15"/>
  <c r="CS14" i="15"/>
  <c r="CT15" i="15"/>
  <c r="CU15" i="15"/>
  <c r="BB18" i="15"/>
  <c r="BC18" i="15"/>
  <c r="BD18" i="15"/>
  <c r="BC12" i="15"/>
  <c r="BD12" i="15"/>
  <c r="BC13" i="15"/>
  <c r="BD13" i="15"/>
  <c r="BC14" i="15"/>
  <c r="BD14" i="15"/>
  <c r="BC15" i="15"/>
  <c r="BD15" i="15"/>
  <c r="BD16" i="15"/>
  <c r="BC17" i="15"/>
  <c r="BC19" i="15"/>
  <c r="BD19" i="15"/>
  <c r="BC20" i="15"/>
  <c r="BD20" i="15"/>
  <c r="BC21" i="15"/>
  <c r="BD21" i="15"/>
  <c r="BC22" i="15"/>
  <c r="BD22" i="15"/>
  <c r="BC23" i="15"/>
  <c r="BD23" i="15"/>
  <c r="BC24" i="15"/>
  <c r="BD24" i="15"/>
  <c r="BC25" i="15"/>
  <c r="BD25" i="15"/>
  <c r="BC26" i="15"/>
  <c r="BD26" i="15"/>
  <c r="BC27" i="15"/>
  <c r="BD27" i="15"/>
  <c r="BC28" i="15"/>
  <c r="BD28" i="15"/>
  <c r="BD11" i="15"/>
  <c r="BB12" i="15"/>
  <c r="BB13" i="15"/>
  <c r="BB14" i="15"/>
  <c r="BB16" i="15"/>
  <c r="BB17" i="15"/>
  <c r="BB19" i="15"/>
  <c r="BB20" i="15"/>
  <c r="BB21" i="15"/>
  <c r="BB22" i="15"/>
  <c r="BB23" i="15"/>
  <c r="BB24" i="15"/>
  <c r="BB25" i="15"/>
  <c r="BB26" i="15"/>
  <c r="BB27" i="15"/>
  <c r="BB28" i="15"/>
  <c r="BC11" i="15"/>
  <c r="BB11" i="15"/>
  <c r="CS22" i="15"/>
  <c r="CS18" i="15"/>
  <c r="CS12" i="15"/>
  <c r="BA11" i="15"/>
  <c r="AQ12" i="15"/>
  <c r="AQ13" i="15"/>
  <c r="AQ14" i="15"/>
  <c r="AQ15" i="15"/>
  <c r="AQ16" i="15"/>
  <c r="AQ17" i="15"/>
  <c r="AQ18" i="15"/>
  <c r="AQ19" i="15"/>
  <c r="AQ20" i="15"/>
  <c r="AQ21" i="15"/>
  <c r="AQ22" i="15"/>
  <c r="AQ23" i="15"/>
  <c r="AQ24" i="15"/>
  <c r="AQ25" i="15"/>
  <c r="AQ26" i="15"/>
  <c r="AQ27" i="15"/>
  <c r="AQ28" i="15"/>
  <c r="AQ11" i="15"/>
  <c r="CH11" i="15"/>
  <c r="AH31" i="15"/>
  <c r="AH32" i="15"/>
  <c r="AH33" i="15"/>
  <c r="AH34" i="15"/>
  <c r="AH35" i="15"/>
  <c r="AH30" i="15"/>
  <c r="AB37" i="15"/>
  <c r="DJ37" i="15"/>
  <c r="DP31" i="15" s="1"/>
  <c r="DP33" i="15"/>
  <c r="AK31" i="15"/>
  <c r="AL24" i="15"/>
  <c r="AL18" i="15"/>
  <c r="AL10" i="15"/>
  <c r="AL11" i="15"/>
  <c r="AL12" i="15"/>
  <c r="AL13" i="15"/>
  <c r="AL14" i="15"/>
  <c r="AL15" i="15"/>
  <c r="AL16" i="15"/>
  <c r="AL17" i="15"/>
  <c r="AL19" i="15"/>
  <c r="AL20" i="15"/>
  <c r="AL21" i="15"/>
  <c r="AL22" i="15"/>
  <c r="AL23" i="15"/>
  <c r="AL25" i="15"/>
  <c r="AL26" i="15"/>
  <c r="AL27" i="15"/>
  <c r="AL28" i="15"/>
  <c r="AL29" i="15"/>
  <c r="AL30" i="15"/>
  <c r="AL31" i="15"/>
  <c r="AL32" i="15"/>
  <c r="AL33" i="15"/>
  <c r="AL34" i="15"/>
  <c r="AL35" i="15"/>
  <c r="AI9" i="15"/>
  <c r="AL9" i="15"/>
  <c r="CC24" i="15"/>
  <c r="CB21" i="15"/>
  <c r="DT28" i="15"/>
  <c r="DT20" i="15"/>
  <c r="DT17" i="15"/>
  <c r="DS20" i="15"/>
  <c r="DT19" i="15"/>
  <c r="CC19" i="15"/>
  <c r="AH20" i="15"/>
  <c r="DF26" i="15"/>
  <c r="DF24" i="15"/>
  <c r="DD26" i="15"/>
  <c r="DD24" i="15"/>
  <c r="DD23" i="15"/>
  <c r="DD22" i="15"/>
  <c r="DD21" i="15"/>
  <c r="DD14" i="15"/>
  <c r="DF13" i="15"/>
  <c r="DE13" i="15"/>
  <c r="DD13" i="15"/>
  <c r="BM9" i="15"/>
  <c r="H16" i="9"/>
  <c r="AK9" i="15"/>
  <c r="F63" i="12"/>
  <c r="BO45" i="11"/>
  <c r="AQ25" i="12"/>
  <c r="AQ24" i="12"/>
  <c r="AP24" i="12"/>
  <c r="AR48" i="12"/>
  <c r="AO48" i="12"/>
  <c r="AR46" i="12"/>
  <c r="AR47" i="12"/>
  <c r="AQ48" i="12"/>
  <c r="AQ47" i="12"/>
  <c r="AP48" i="12"/>
  <c r="AP47" i="12"/>
  <c r="AO47" i="12"/>
  <c r="AO46" i="12"/>
  <c r="AO57" i="12"/>
  <c r="AO59" i="12"/>
  <c r="AG90" i="12"/>
  <c r="AL90" i="12" s="1"/>
  <c r="AD87" i="12"/>
  <c r="AI99" i="12"/>
  <c r="AK99" i="12" s="1"/>
  <c r="AF99" i="12"/>
  <c r="AE99" i="12"/>
  <c r="AD99" i="12"/>
  <c r="AI98" i="12"/>
  <c r="AK98" i="12" s="1"/>
  <c r="AG98" i="12"/>
  <c r="AL98" i="12" s="1"/>
  <c r="AF98" i="12"/>
  <c r="AE98" i="12"/>
  <c r="AD98" i="12"/>
  <c r="AI97" i="12"/>
  <c r="AK97" i="12" s="1"/>
  <c r="AG97" i="12"/>
  <c r="AL97" i="12" s="1"/>
  <c r="AF97" i="12"/>
  <c r="AE97" i="12"/>
  <c r="AD97" i="12"/>
  <c r="AI96" i="12"/>
  <c r="AK96" i="12" s="1"/>
  <c r="AG96" i="12"/>
  <c r="AL96" i="12" s="1"/>
  <c r="AF96" i="12"/>
  <c r="AE96" i="12"/>
  <c r="AD96" i="12"/>
  <c r="AI95" i="12"/>
  <c r="AK95" i="12" s="1"/>
  <c r="AF95" i="12"/>
  <c r="AE95" i="12"/>
  <c r="AD95" i="12"/>
  <c r="AI94" i="12"/>
  <c r="AK94" i="12" s="1"/>
  <c r="AF94" i="12"/>
  <c r="AE94" i="12"/>
  <c r="AD94" i="12"/>
  <c r="AK93" i="12"/>
  <c r="AG93" i="12"/>
  <c r="AL93" i="12" s="1"/>
  <c r="AF93" i="12"/>
  <c r="AE93" i="12"/>
  <c r="AD93" i="12"/>
  <c r="AI92" i="12"/>
  <c r="AK92" i="12" s="1"/>
  <c r="AG92" i="12"/>
  <c r="AL92" i="12" s="1"/>
  <c r="AF92" i="12"/>
  <c r="AE92" i="12"/>
  <c r="AD92" i="12"/>
  <c r="AI91" i="12"/>
  <c r="AK91" i="12" s="1"/>
  <c r="AF91" i="12"/>
  <c r="AE91" i="12"/>
  <c r="AD91" i="12"/>
  <c r="AI90" i="12"/>
  <c r="AK90" i="12" s="1"/>
  <c r="AF90" i="12"/>
  <c r="AE90" i="12"/>
  <c r="AD90" i="12"/>
  <c r="AI89" i="12"/>
  <c r="AK89" i="12" s="1"/>
  <c r="AG89" i="12"/>
  <c r="AL89" i="12" s="1"/>
  <c r="AF89" i="12"/>
  <c r="AE89" i="12"/>
  <c r="AD89" i="12"/>
  <c r="AI88" i="12"/>
  <c r="AK88" i="12" s="1"/>
  <c r="AG88" i="12"/>
  <c r="AL88" i="12" s="1"/>
  <c r="AF88" i="12"/>
  <c r="AE88" i="12"/>
  <c r="AD88" i="12"/>
  <c r="AJ87" i="12"/>
  <c r="AI87" i="12"/>
  <c r="AK87" i="12" s="1"/>
  <c r="AG87" i="12"/>
  <c r="AL87" i="12" s="1"/>
  <c r="AF87" i="12"/>
  <c r="AE87" i="12"/>
  <c r="O107" i="12"/>
  <c r="J92" i="12"/>
  <c r="H95" i="12"/>
  <c r="H94" i="12"/>
  <c r="H91" i="12"/>
  <c r="K98" i="12"/>
  <c r="K97" i="12"/>
  <c r="K93" i="12"/>
  <c r="K92" i="12"/>
  <c r="C95" i="12"/>
  <c r="C94" i="12"/>
  <c r="C91" i="12"/>
  <c r="U97" i="12"/>
  <c r="U92" i="12"/>
  <c r="U89" i="12"/>
  <c r="P49" i="12"/>
  <c r="P48" i="12"/>
  <c r="P14" i="12"/>
  <c r="P11" i="12"/>
  <c r="P10" i="12"/>
  <c r="R95" i="12"/>
  <c r="R94" i="12"/>
  <c r="R91" i="12"/>
  <c r="M91" i="12"/>
  <c r="M95" i="12" s="1"/>
  <c r="M99" i="12" s="1"/>
  <c r="M78" i="12"/>
  <c r="M94" i="12"/>
  <c r="M81" i="12"/>
  <c r="M82" i="12"/>
  <c r="O99" i="12"/>
  <c r="N99" i="12"/>
  <c r="E99" i="12"/>
  <c r="D99" i="12"/>
  <c r="B99" i="12"/>
  <c r="U98" i="12"/>
  <c r="T98" i="12"/>
  <c r="J98" i="12"/>
  <c r="T97" i="12"/>
  <c r="J97" i="12"/>
  <c r="U96" i="12"/>
  <c r="T96" i="12"/>
  <c r="K96" i="12"/>
  <c r="J96" i="12"/>
  <c r="K94" i="12"/>
  <c r="J94" i="12"/>
  <c r="U93" i="12"/>
  <c r="T93" i="12"/>
  <c r="J93" i="12"/>
  <c r="T92" i="12"/>
  <c r="H99" i="12"/>
  <c r="J99" i="12" s="1"/>
  <c r="C99" i="12"/>
  <c r="U90" i="12"/>
  <c r="T90" i="12"/>
  <c r="K90" i="12"/>
  <c r="J90" i="12"/>
  <c r="T89" i="12"/>
  <c r="J89" i="12"/>
  <c r="U88" i="12"/>
  <c r="T88" i="12"/>
  <c r="K88" i="12"/>
  <c r="J88" i="12"/>
  <c r="U87" i="12"/>
  <c r="T87" i="12"/>
  <c r="S87" i="12"/>
  <c r="K87" i="12"/>
  <c r="J87" i="12"/>
  <c r="I87" i="12"/>
  <c r="J109" i="3" l="1"/>
  <c r="L109" i="3" s="1"/>
  <c r="C14" i="19"/>
  <c r="C14" i="2"/>
  <c r="J126" i="3"/>
  <c r="L126" i="3" s="1"/>
  <c r="L128" i="3"/>
  <c r="J161" i="3"/>
  <c r="J182" i="3"/>
  <c r="F30" i="19"/>
  <c r="C30" i="19"/>
  <c r="D30" i="19" s="1"/>
  <c r="D11" i="19"/>
  <c r="J158" i="3"/>
  <c r="L158" i="3" s="1"/>
  <c r="J159" i="3"/>
  <c r="L159" i="3" s="1"/>
  <c r="J175" i="3"/>
  <c r="J110" i="3"/>
  <c r="J141" i="3"/>
  <c r="L141" i="3" s="1"/>
  <c r="J90" i="3"/>
  <c r="J125" i="3" s="1"/>
  <c r="J79" i="3"/>
  <c r="J65" i="3"/>
  <c r="AH89" i="12"/>
  <c r="F99" i="12"/>
  <c r="K99" i="12" s="1"/>
  <c r="AH87" i="12"/>
  <c r="AH88" i="12"/>
  <c r="AH90" i="12"/>
  <c r="AH93" i="12"/>
  <c r="AH94" i="12"/>
  <c r="J91" i="12"/>
  <c r="K89" i="12"/>
  <c r="R99" i="12"/>
  <c r="T99" i="12" s="1"/>
  <c r="U91" i="12"/>
  <c r="U94" i="12"/>
  <c r="J95" i="12"/>
  <c r="J135" i="3" l="1"/>
  <c r="L135" i="3" s="1"/>
  <c r="L110" i="3"/>
  <c r="J157" i="3"/>
  <c r="J181" i="3"/>
  <c r="J130" i="3"/>
  <c r="J166" i="3"/>
  <c r="L166" i="3" s="1"/>
  <c r="E35" i="19" s="1"/>
  <c r="J139" i="3"/>
  <c r="L139" i="3" s="1"/>
  <c r="J171" i="3"/>
  <c r="K95" i="12"/>
  <c r="AG95" i="12"/>
  <c r="G99" i="12"/>
  <c r="T95" i="12"/>
  <c r="Q99" i="12"/>
  <c r="P99" i="12"/>
  <c r="J156" i="3" l="1"/>
  <c r="L156" i="3" s="1"/>
  <c r="L130" i="3"/>
  <c r="AG99" i="12"/>
  <c r="AH95" i="12"/>
  <c r="AH98" i="12"/>
  <c r="AH99" i="12" s="1"/>
  <c r="AH96" i="12"/>
  <c r="AH97" i="12"/>
  <c r="N95" i="11"/>
  <c r="O93" i="11"/>
  <c r="S89" i="11"/>
  <c r="Q89" i="11"/>
  <c r="O89" i="11"/>
  <c r="N89" i="11"/>
  <c r="M89" i="11"/>
  <c r="L89" i="11"/>
  <c r="AB17" i="11"/>
  <c r="AC17" i="11"/>
  <c r="AD17" i="11"/>
  <c r="AE17" i="11"/>
  <c r="AB18" i="11"/>
  <c r="AC18" i="11"/>
  <c r="AD18" i="11"/>
  <c r="AE18" i="11"/>
  <c r="AB19" i="11"/>
  <c r="AC19" i="11"/>
  <c r="AD19" i="11"/>
  <c r="AE19" i="11"/>
  <c r="AB20" i="11"/>
  <c r="AC20" i="11"/>
  <c r="AD20" i="11"/>
  <c r="AE20" i="11"/>
  <c r="AB21" i="11"/>
  <c r="AC21" i="11"/>
  <c r="AD21" i="11"/>
  <c r="AE21" i="11"/>
  <c r="V17" i="11"/>
  <c r="W17" i="11"/>
  <c r="X17" i="11"/>
  <c r="Y17" i="11"/>
  <c r="V18" i="11"/>
  <c r="W18" i="11"/>
  <c r="X18" i="11"/>
  <c r="Y18" i="11"/>
  <c r="V19" i="11"/>
  <c r="W19" i="11"/>
  <c r="X19" i="11"/>
  <c r="Y19" i="11"/>
  <c r="V20" i="11"/>
  <c r="W20" i="11"/>
  <c r="X20" i="11"/>
  <c r="Y20" i="11"/>
  <c r="AB7" i="11"/>
  <c r="AC7" i="11"/>
  <c r="AD7" i="11"/>
  <c r="AE7" i="11"/>
  <c r="AB8" i="11"/>
  <c r="AC8" i="11"/>
  <c r="AD8" i="11"/>
  <c r="AE8" i="11"/>
  <c r="AB9" i="11"/>
  <c r="AC9" i="11"/>
  <c r="AD9" i="11"/>
  <c r="AE9" i="11"/>
  <c r="AB10" i="11"/>
  <c r="AC10" i="11"/>
  <c r="AD10" i="11"/>
  <c r="AE10" i="11"/>
  <c r="AB11" i="11"/>
  <c r="AC11" i="11"/>
  <c r="AD11" i="11"/>
  <c r="AE11" i="11"/>
  <c r="AB12" i="11"/>
  <c r="AC12" i="11"/>
  <c r="AD12" i="11"/>
  <c r="AE12" i="11"/>
  <c r="V7" i="11"/>
  <c r="W7" i="11"/>
  <c r="X7" i="11"/>
  <c r="Y7" i="11"/>
  <c r="V8" i="11"/>
  <c r="W8" i="11"/>
  <c r="X8" i="11"/>
  <c r="Y8" i="11"/>
  <c r="V9" i="11"/>
  <c r="W9" i="11"/>
  <c r="X9" i="11"/>
  <c r="Y9" i="11"/>
  <c r="V10" i="11"/>
  <c r="W10" i="11"/>
  <c r="X10" i="11"/>
  <c r="Y10" i="11"/>
  <c r="V11" i="11"/>
  <c r="W11" i="11"/>
  <c r="X11" i="11"/>
  <c r="Y11" i="11"/>
  <c r="V79" i="11"/>
  <c r="V80" i="11"/>
  <c r="V81" i="11"/>
  <c r="V82" i="11"/>
  <c r="V83" i="11"/>
  <c r="AP74" i="11"/>
  <c r="AQ74" i="11"/>
  <c r="AP75" i="11"/>
  <c r="AQ75" i="11"/>
  <c r="AP84" i="11"/>
  <c r="AP85" i="11"/>
  <c r="AP86" i="11"/>
  <c r="AO94" i="11"/>
  <c r="AO93" i="11"/>
  <c r="AO91" i="11"/>
  <c r="AO92" i="11" s="1"/>
  <c r="AO85" i="11"/>
  <c r="AO86" i="11" s="1"/>
  <c r="AO87" i="11" s="1"/>
  <c r="AO88" i="11" s="1"/>
  <c r="AO89" i="11" s="1"/>
  <c r="AO90" i="11" s="1"/>
  <c r="AO80" i="11"/>
  <c r="AO81" i="11" s="1"/>
  <c r="AO82" i="11" s="1"/>
  <c r="AO83" i="11" s="1"/>
  <c r="AO84" i="11" s="1"/>
  <c r="AO74" i="11"/>
  <c r="AO75" i="11" s="1"/>
  <c r="AO76" i="11" s="1"/>
  <c r="AO77" i="11" s="1"/>
  <c r="AO78" i="11" s="1"/>
  <c r="AO79" i="11" s="1"/>
  <c r="AO57" i="11"/>
  <c r="AO56" i="11"/>
  <c r="AL2" i="11"/>
  <c r="AL75" i="11"/>
  <c r="AL74" i="11"/>
  <c r="BI84" i="11"/>
  <c r="BI81" i="11"/>
  <c r="BI77" i="11"/>
  <c r="BH77" i="11"/>
  <c r="BG78" i="11"/>
  <c r="BE82" i="11"/>
  <c r="BE80" i="11"/>
  <c r="BE66" i="11"/>
  <c r="BB71" i="11"/>
  <c r="BB69" i="11"/>
  <c r="BB82" i="11"/>
  <c r="BB84" i="11"/>
  <c r="BA84" i="11"/>
  <c r="BA77" i="11"/>
  <c r="AZ77" i="11"/>
  <c r="AY85" i="11"/>
  <c r="AY84" i="11"/>
  <c r="AY86" i="11"/>
  <c r="AY75" i="11"/>
  <c r="AY83" i="11"/>
  <c r="AY72" i="11"/>
  <c r="AY80" i="11"/>
  <c r="AO61" i="12" l="1"/>
  <c r="I98" i="13"/>
  <c r="F124" i="13"/>
  <c r="F126" i="13"/>
  <c r="F113" i="13"/>
  <c r="E114" i="13"/>
  <c r="E113" i="13"/>
  <c r="F111" i="13"/>
  <c r="F94" i="13"/>
  <c r="E111" i="13"/>
  <c r="J41" i="17"/>
  <c r="J40" i="17"/>
  <c r="J42" i="17" s="1"/>
  <c r="J43" i="17" s="1"/>
  <c r="J50" i="3" s="1"/>
  <c r="I39" i="17"/>
  <c r="J13" i="17"/>
  <c r="J21" i="17" s="1"/>
  <c r="J14" i="17"/>
  <c r="J15" i="17"/>
  <c r="J20" i="17" s="1"/>
  <c r="J33" i="17" s="1"/>
  <c r="J35" i="17" s="1"/>
  <c r="J36" i="17" s="1"/>
  <c r="J49" i="3" s="1"/>
  <c r="J6" i="3"/>
  <c r="J5" i="3"/>
  <c r="V11" i="3"/>
  <c r="U11" i="3"/>
  <c r="I13" i="17"/>
  <c r="F112" i="13"/>
  <c r="F37" i="13"/>
  <c r="G31" i="13"/>
  <c r="H75" i="16"/>
  <c r="E89" i="16"/>
  <c r="G75" i="16"/>
  <c r="G88" i="16"/>
  <c r="G49" i="16"/>
  <c r="G62" i="16"/>
  <c r="G36" i="16"/>
  <c r="G23" i="16"/>
  <c r="H26" i="16"/>
  <c r="BD77" i="11"/>
  <c r="J100" i="16"/>
  <c r="C100" i="16"/>
  <c r="J99" i="16"/>
  <c r="H99" i="16"/>
  <c r="E99" i="16"/>
  <c r="J98" i="16"/>
  <c r="H98" i="16"/>
  <c r="E98" i="16"/>
  <c r="J97" i="16"/>
  <c r="H97" i="16"/>
  <c r="E97" i="16"/>
  <c r="J96" i="16"/>
  <c r="H96" i="16"/>
  <c r="E96" i="16"/>
  <c r="J95" i="16"/>
  <c r="H95" i="16"/>
  <c r="E95" i="16"/>
  <c r="J94" i="16"/>
  <c r="H94" i="16"/>
  <c r="E94" i="16"/>
  <c r="E100" i="16" s="1"/>
  <c r="J93" i="16"/>
  <c r="H93" i="16"/>
  <c r="E93" i="16"/>
  <c r="J92" i="16"/>
  <c r="H92" i="16"/>
  <c r="E92" i="16"/>
  <c r="J91" i="16"/>
  <c r="H91" i="16"/>
  <c r="E91" i="16"/>
  <c r="J90" i="16"/>
  <c r="H90" i="16"/>
  <c r="E90" i="16"/>
  <c r="J89" i="16"/>
  <c r="H89" i="16"/>
  <c r="J88" i="16"/>
  <c r="H88" i="16"/>
  <c r="E88" i="16"/>
  <c r="E27" i="16"/>
  <c r="J80" i="16"/>
  <c r="K43" i="17" l="1"/>
  <c r="J24" i="17"/>
  <c r="P28" i="15" l="1"/>
  <c r="P27" i="15"/>
  <c r="C122" i="13"/>
  <c r="C123" i="13"/>
  <c r="C127" i="13" s="1"/>
  <c r="C119" i="13"/>
  <c r="B127" i="13"/>
  <c r="K126" i="13"/>
  <c r="E126" i="13"/>
  <c r="K125" i="13"/>
  <c r="F125" i="13"/>
  <c r="E125" i="13"/>
  <c r="K124" i="13"/>
  <c r="E124" i="13"/>
  <c r="G124" i="13" s="1"/>
  <c r="L124" i="13" s="1"/>
  <c r="D123" i="13"/>
  <c r="K123" i="13" s="1"/>
  <c r="K122" i="13"/>
  <c r="F122" i="13"/>
  <c r="E122" i="13"/>
  <c r="F121" i="13"/>
  <c r="E121" i="13"/>
  <c r="F120" i="13"/>
  <c r="E120" i="13"/>
  <c r="D119" i="13"/>
  <c r="K119" i="13" s="1"/>
  <c r="F118" i="13"/>
  <c r="E118" i="13"/>
  <c r="F117" i="13"/>
  <c r="E117" i="13"/>
  <c r="G117" i="13" s="1"/>
  <c r="L117" i="13" s="1"/>
  <c r="F116" i="13"/>
  <c r="E116" i="13"/>
  <c r="D115" i="13"/>
  <c r="K115" i="13" s="1"/>
  <c r="C115" i="13"/>
  <c r="D114" i="13"/>
  <c r="F114" i="13" s="1"/>
  <c r="E112" i="13"/>
  <c r="G112" i="13" s="1"/>
  <c r="L112" i="13" s="1"/>
  <c r="J111" i="13"/>
  <c r="N110" i="13"/>
  <c r="H76" i="16"/>
  <c r="J37" i="16"/>
  <c r="K16" i="9"/>
  <c r="M17" i="9"/>
  <c r="L16" i="9"/>
  <c r="L19" i="9"/>
  <c r="L15" i="9"/>
  <c r="L17" i="9"/>
  <c r="J19" i="9"/>
  <c r="J16" i="9"/>
  <c r="I15" i="9"/>
  <c r="J15" i="9" s="1"/>
  <c r="I16" i="9"/>
  <c r="G17" i="9"/>
  <c r="G16" i="9"/>
  <c r="E15" i="9"/>
  <c r="E16" i="9"/>
  <c r="D15" i="9"/>
  <c r="F15" i="9" s="1"/>
  <c r="D16" i="9"/>
  <c r="K89" i="11"/>
  <c r="B101" i="11"/>
  <c r="AX87" i="11"/>
  <c r="AY87" i="11"/>
  <c r="BE87" i="11" s="1"/>
  <c r="BE86" i="11"/>
  <c r="BB86" i="11"/>
  <c r="BH86" i="11" s="1"/>
  <c r="BA86" i="11"/>
  <c r="BG86" i="11" s="1"/>
  <c r="AZ86" i="11"/>
  <c r="BE85" i="11"/>
  <c r="BB85" i="11"/>
  <c r="BH85" i="11" s="1"/>
  <c r="AZ85" i="11"/>
  <c r="BA85" i="11" s="1"/>
  <c r="BG85" i="11" s="1"/>
  <c r="BE84" i="11"/>
  <c r="BH84" i="11"/>
  <c r="AZ84" i="11"/>
  <c r="BE83" i="11"/>
  <c r="BB83" i="11"/>
  <c r="BH82" i="11"/>
  <c r="BA82" i="11"/>
  <c r="BG82" i="11" s="1"/>
  <c r="AZ82" i="11"/>
  <c r="BE81" i="11"/>
  <c r="BB81" i="11"/>
  <c r="BH81" i="11" s="1"/>
  <c r="AZ81" i="11"/>
  <c r="BA81" i="11" s="1"/>
  <c r="BB80" i="11"/>
  <c r="BH80" i="11" s="1"/>
  <c r="BE79" i="11"/>
  <c r="BB79" i="11"/>
  <c r="BH79" i="11" s="1"/>
  <c r="AZ79" i="11"/>
  <c r="BA79" i="11" s="1"/>
  <c r="BG79" i="11" s="1"/>
  <c r="BE78" i="11"/>
  <c r="BB78" i="11"/>
  <c r="BH78" i="11" s="1"/>
  <c r="AZ78" i="11"/>
  <c r="BA78" i="11" s="1"/>
  <c r="BE77" i="11"/>
  <c r="BB77" i="11"/>
  <c r="H92" i="11"/>
  <c r="Q92" i="11" s="1"/>
  <c r="G89" i="11"/>
  <c r="R89" i="11"/>
  <c r="M98" i="11"/>
  <c r="F101" i="11"/>
  <c r="E101" i="11"/>
  <c r="D101" i="11"/>
  <c r="C101" i="11"/>
  <c r="O100" i="11"/>
  <c r="N100" i="11"/>
  <c r="M100" i="11"/>
  <c r="L100" i="11"/>
  <c r="J100" i="11"/>
  <c r="I100" i="11"/>
  <c r="H100" i="11"/>
  <c r="G100" i="11"/>
  <c r="O99" i="11"/>
  <c r="N99" i="11"/>
  <c r="M99" i="11"/>
  <c r="L99" i="11"/>
  <c r="AP94" i="11" s="1"/>
  <c r="J99" i="11"/>
  <c r="I99" i="11"/>
  <c r="H99" i="11"/>
  <c r="G99" i="11"/>
  <c r="O98" i="11"/>
  <c r="N98" i="11"/>
  <c r="L98" i="11"/>
  <c r="AP93" i="11" s="1"/>
  <c r="J98" i="11"/>
  <c r="I98" i="11"/>
  <c r="H98" i="11"/>
  <c r="G98" i="11"/>
  <c r="O97" i="11"/>
  <c r="N97" i="11"/>
  <c r="M97" i="11"/>
  <c r="L97" i="11"/>
  <c r="AP92" i="11" s="1"/>
  <c r="J97" i="11"/>
  <c r="I97" i="11"/>
  <c r="H97" i="11"/>
  <c r="G97" i="11"/>
  <c r="O96" i="11"/>
  <c r="N96" i="11"/>
  <c r="M96" i="11"/>
  <c r="L96" i="11"/>
  <c r="AP91" i="11" s="1"/>
  <c r="J96" i="11"/>
  <c r="I96" i="11"/>
  <c r="H96" i="11"/>
  <c r="G96" i="11"/>
  <c r="O95" i="11"/>
  <c r="M95" i="11"/>
  <c r="L95" i="11"/>
  <c r="AP90" i="11" s="1"/>
  <c r="J95" i="11"/>
  <c r="I95" i="11"/>
  <c r="H95" i="11"/>
  <c r="G95" i="11"/>
  <c r="O94" i="11"/>
  <c r="N94" i="11"/>
  <c r="M94" i="11"/>
  <c r="L94" i="11"/>
  <c r="AP89" i="11" s="1"/>
  <c r="J94" i="11"/>
  <c r="I94" i="11"/>
  <c r="H94" i="11"/>
  <c r="G94" i="11"/>
  <c r="N93" i="11"/>
  <c r="M93" i="11"/>
  <c r="L93" i="11"/>
  <c r="AP88" i="11" s="1"/>
  <c r="J93" i="11"/>
  <c r="S93" i="11" s="1"/>
  <c r="I93" i="11"/>
  <c r="R93" i="11" s="1"/>
  <c r="H93" i="11"/>
  <c r="Q93" i="11" s="1"/>
  <c r="G93" i="11"/>
  <c r="P93" i="11" s="1"/>
  <c r="O92" i="11"/>
  <c r="N92" i="11"/>
  <c r="M92" i="11"/>
  <c r="L92" i="11"/>
  <c r="AP87" i="11" s="1"/>
  <c r="J92" i="11"/>
  <c r="S92" i="11" s="1"/>
  <c r="I92" i="11"/>
  <c r="R92" i="11" s="1"/>
  <c r="G92" i="11"/>
  <c r="P92" i="11" s="1"/>
  <c r="O91" i="11"/>
  <c r="N91" i="11"/>
  <c r="M91" i="11"/>
  <c r="L91" i="11"/>
  <c r="J91" i="11"/>
  <c r="S91" i="11" s="1"/>
  <c r="I91" i="11"/>
  <c r="R91" i="11" s="1"/>
  <c r="H91" i="11"/>
  <c r="Q91" i="11" s="1"/>
  <c r="G91" i="11"/>
  <c r="P91" i="11" s="1"/>
  <c r="O90" i="11"/>
  <c r="N90" i="11"/>
  <c r="M90" i="11"/>
  <c r="L90" i="11"/>
  <c r="J90" i="11"/>
  <c r="S90" i="11" s="1"/>
  <c r="I90" i="11"/>
  <c r="R90" i="11" s="1"/>
  <c r="H90" i="11"/>
  <c r="Q90" i="11" s="1"/>
  <c r="G90" i="11"/>
  <c r="P90" i="11" s="1"/>
  <c r="J89" i="11"/>
  <c r="I89" i="11"/>
  <c r="H89" i="11"/>
  <c r="P89" i="11"/>
  <c r="CB25" i="15"/>
  <c r="BZ26" i="15"/>
  <c r="BY26" i="15"/>
  <c r="AK11" i="15"/>
  <c r="AH9" i="15"/>
  <c r="AJ35" i="15"/>
  <c r="AJ34" i="15"/>
  <c r="AJ33" i="15"/>
  <c r="AJ32" i="15"/>
  <c r="AJ31" i="15"/>
  <c r="AJ30" i="15"/>
  <c r="AK29" i="15"/>
  <c r="AU28" i="15"/>
  <c r="AW28" i="15" s="1"/>
  <c r="AS28" i="15"/>
  <c r="AK28" i="15"/>
  <c r="AI28" i="15"/>
  <c r="AH28" i="15"/>
  <c r="AS27" i="15"/>
  <c r="AU27" i="15" s="1"/>
  <c r="AW27" i="15" s="1"/>
  <c r="AN27" i="15"/>
  <c r="AK27" i="15"/>
  <c r="AI27" i="15"/>
  <c r="AH27" i="15"/>
  <c r="AU26" i="15"/>
  <c r="AW26" i="15" s="1"/>
  <c r="AS26" i="15"/>
  <c r="AI26" i="15"/>
  <c r="AH26" i="15"/>
  <c r="AS25" i="15"/>
  <c r="AU25" i="15" s="1"/>
  <c r="AW25" i="15" s="1"/>
  <c r="AN25" i="15"/>
  <c r="AK25" i="15"/>
  <c r="AI25" i="15"/>
  <c r="AH25" i="15"/>
  <c r="AS24" i="15"/>
  <c r="AU24" i="15" s="1"/>
  <c r="AW24" i="15" s="1"/>
  <c r="AK24" i="15"/>
  <c r="AI24" i="15"/>
  <c r="AH24" i="15"/>
  <c r="AS23" i="15"/>
  <c r="AK23" i="15"/>
  <c r="AI23" i="15"/>
  <c r="AH23" i="15"/>
  <c r="AS22" i="15"/>
  <c r="AU22" i="15" s="1"/>
  <c r="AW22" i="15" s="1"/>
  <c r="AK22" i="15"/>
  <c r="AG22" i="15"/>
  <c r="AS21" i="15"/>
  <c r="AU21" i="15" s="1"/>
  <c r="AW21" i="15" s="1"/>
  <c r="AK21" i="15"/>
  <c r="AI21" i="15"/>
  <c r="AH21" i="15"/>
  <c r="AS20" i="15"/>
  <c r="AU20" i="15" s="1"/>
  <c r="AW20" i="15" s="1"/>
  <c r="AK20" i="15"/>
  <c r="AK34" i="15" s="1"/>
  <c r="AI20" i="15"/>
  <c r="AS19" i="15"/>
  <c r="AU19" i="15" s="1"/>
  <c r="AW19" i="15" s="1"/>
  <c r="AK19" i="15"/>
  <c r="AI19" i="15"/>
  <c r="AH19" i="15"/>
  <c r="AS18" i="15"/>
  <c r="AU18" i="15" s="1"/>
  <c r="AW18" i="15" s="1"/>
  <c r="AK18" i="15"/>
  <c r="AI18" i="15"/>
  <c r="AH18" i="15"/>
  <c r="AS17" i="15"/>
  <c r="AU17" i="15" s="1"/>
  <c r="AW17" i="15" s="1"/>
  <c r="AK17" i="15"/>
  <c r="AI17" i="15"/>
  <c r="AH17" i="15"/>
  <c r="AS16" i="15"/>
  <c r="AK16" i="15"/>
  <c r="AI16" i="15"/>
  <c r="AH16" i="15"/>
  <c r="AS15" i="15"/>
  <c r="AK15" i="15"/>
  <c r="AG15" i="15"/>
  <c r="AS14" i="15"/>
  <c r="AI14" i="15"/>
  <c r="AH14" i="15"/>
  <c r="AS13" i="15"/>
  <c r="AK13" i="15"/>
  <c r="AK33" i="15" s="1"/>
  <c r="AI13" i="15"/>
  <c r="AH13" i="15"/>
  <c r="AU12" i="15"/>
  <c r="AW12" i="15" s="1"/>
  <c r="AS12" i="15"/>
  <c r="AK12" i="15"/>
  <c r="AI12" i="15"/>
  <c r="AH12" i="15"/>
  <c r="AS11" i="15"/>
  <c r="AU11" i="15" s="1"/>
  <c r="AW11" i="15" s="1"/>
  <c r="AI11" i="15"/>
  <c r="AH11" i="15"/>
  <c r="AK10" i="15"/>
  <c r="AI10" i="15"/>
  <c r="AH10" i="15"/>
  <c r="K15" i="9" l="1"/>
  <c r="Y13" i="11"/>
  <c r="X13" i="11"/>
  <c r="V85" i="11"/>
  <c r="W13" i="11"/>
  <c r="V13" i="11"/>
  <c r="G121" i="13"/>
  <c r="L121" i="13" s="1"/>
  <c r="F119" i="13"/>
  <c r="G118" i="13"/>
  <c r="L118" i="13" s="1"/>
  <c r="G126" i="13"/>
  <c r="L126" i="13" s="1"/>
  <c r="G125" i="13"/>
  <c r="L125" i="13" s="1"/>
  <c r="F123" i="13"/>
  <c r="G122" i="13"/>
  <c r="L122" i="13" s="1"/>
  <c r="G120" i="13"/>
  <c r="L120" i="13" s="1"/>
  <c r="E119" i="13"/>
  <c r="G119" i="13" s="1"/>
  <c r="E115" i="13"/>
  <c r="F115" i="13"/>
  <c r="G114" i="13"/>
  <c r="L114" i="13" s="1"/>
  <c r="G116" i="13"/>
  <c r="E123" i="13"/>
  <c r="G113" i="13"/>
  <c r="I115" i="13"/>
  <c r="I119" i="13" s="1"/>
  <c r="I123" i="13" s="1"/>
  <c r="G111" i="13"/>
  <c r="H112" i="13" s="1"/>
  <c r="U15" i="9"/>
  <c r="U16" i="9" s="1"/>
  <c r="U19" i="9" s="1"/>
  <c r="U20" i="9" s="1"/>
  <c r="BC86" i="11"/>
  <c r="BG84" i="11"/>
  <c r="BA87" i="11"/>
  <c r="BG87" i="11" s="1"/>
  <c r="BC85" i="11"/>
  <c r="BI85" i="11" s="1"/>
  <c r="BC84" i="11"/>
  <c r="BC80" i="11"/>
  <c r="BI80" i="11" s="1"/>
  <c r="BC79" i="11"/>
  <c r="BI79" i="11" s="1"/>
  <c r="BC78" i="11"/>
  <c r="BI78" i="11" s="1"/>
  <c r="BA80" i="11"/>
  <c r="BG80" i="11" s="1"/>
  <c r="BC77" i="11"/>
  <c r="BG77" i="11"/>
  <c r="BC82" i="11"/>
  <c r="BI82" i="11" s="1"/>
  <c r="BC81" i="11"/>
  <c r="BA83" i="11"/>
  <c r="BG81" i="11"/>
  <c r="BB87" i="11"/>
  <c r="BH87" i="11" s="1"/>
  <c r="H101" i="11"/>
  <c r="I101" i="11"/>
  <c r="G101" i="11"/>
  <c r="J101" i="11"/>
  <c r="AK30" i="15"/>
  <c r="AJ36" i="15"/>
  <c r="AK35" i="15"/>
  <c r="AU13" i="15"/>
  <c r="AW13" i="15" s="1"/>
  <c r="AU14" i="15"/>
  <c r="AW14" i="15" s="1"/>
  <c r="AU15" i="15"/>
  <c r="AW15" i="15" s="1"/>
  <c r="AU16" i="15"/>
  <c r="AW16" i="15" s="1"/>
  <c r="AK32" i="15"/>
  <c r="AK36" i="15" s="1"/>
  <c r="AU23" i="15"/>
  <c r="AW23" i="15" s="1"/>
  <c r="S101" i="11" l="1"/>
  <c r="AD22" i="11" s="1"/>
  <c r="AD13" i="11"/>
  <c r="R101" i="11"/>
  <c r="AC22" i="11" s="1"/>
  <c r="AC13" i="11"/>
  <c r="Q101" i="11"/>
  <c r="AB22" i="11" s="1"/>
  <c r="AB13" i="11"/>
  <c r="P101" i="11"/>
  <c r="AE22" i="11" s="1"/>
  <c r="AE13" i="11"/>
  <c r="F127" i="13"/>
  <c r="G123" i="13"/>
  <c r="H124" i="13" s="1"/>
  <c r="H122" i="13"/>
  <c r="G115" i="13"/>
  <c r="H126" i="13" s="1"/>
  <c r="H127" i="13" s="1"/>
  <c r="I124" i="13"/>
  <c r="I125" i="13" s="1"/>
  <c r="I126" i="13" s="1"/>
  <c r="E127" i="13"/>
  <c r="H113" i="13"/>
  <c r="L113" i="13"/>
  <c r="H123" i="13"/>
  <c r="L123" i="13"/>
  <c r="L116" i="13"/>
  <c r="L119" i="13"/>
  <c r="H121" i="13"/>
  <c r="H111" i="13"/>
  <c r="H114" i="13"/>
  <c r="L111" i="13"/>
  <c r="BI86" i="11"/>
  <c r="BC87" i="11"/>
  <c r="BI87" i="11" s="1"/>
  <c r="BC83" i="11"/>
  <c r="BI83" i="11" s="1"/>
  <c r="BG83" i="11"/>
  <c r="G98" i="13"/>
  <c r="H125" i="13" l="1"/>
  <c r="G127" i="13"/>
  <c r="L127" i="13" s="1"/>
  <c r="H119" i="13"/>
  <c r="H120" i="13" s="1"/>
  <c r="H118" i="13"/>
  <c r="H115" i="13"/>
  <c r="H116" i="13"/>
  <c r="L115" i="13"/>
  <c r="H117" i="13"/>
  <c r="I127" i="13"/>
  <c r="K127" i="13" s="1"/>
  <c r="BM77" i="11"/>
  <c r="BQ70" i="11"/>
  <c r="BQ69" i="11"/>
  <c r="C165" i="3" l="1"/>
  <c r="G95" i="3"/>
  <c r="F95" i="3"/>
  <c r="E95" i="3"/>
  <c r="C96" i="3"/>
  <c r="F99" i="3"/>
  <c r="F101" i="3" s="1"/>
  <c r="C142" i="3"/>
  <c r="B182" i="3"/>
  <c r="A182" i="3"/>
  <c r="B175" i="3"/>
  <c r="A175" i="3"/>
  <c r="C186" i="3"/>
  <c r="C148" i="3"/>
  <c r="N98" i="3"/>
  <c r="O98" i="3"/>
  <c r="C99" i="3" s="1"/>
  <c r="P98" i="3"/>
  <c r="Q98" i="3"/>
  <c r="E99" i="3" s="1"/>
  <c r="R98" i="3"/>
  <c r="D99" i="3" s="1"/>
  <c r="C98" i="3"/>
  <c r="G99" i="3" s="1"/>
  <c r="D98" i="3"/>
  <c r="H99" i="3" s="1"/>
  <c r="E98" i="3"/>
  <c r="F98" i="3"/>
  <c r="G98" i="3"/>
  <c r="H98" i="3"/>
  <c r="BF81" i="10"/>
  <c r="BF82" i="10"/>
  <c r="BF83" i="10"/>
  <c r="BF84" i="10"/>
  <c r="BF85" i="10"/>
  <c r="BF86" i="10"/>
  <c r="BF87" i="10"/>
  <c r="BF88" i="10"/>
  <c r="BE70" i="10"/>
  <c r="BF70" i="10"/>
  <c r="BE71" i="10"/>
  <c r="BF71" i="10"/>
  <c r="BE72" i="10"/>
  <c r="BF72" i="10"/>
  <c r="BE73" i="10"/>
  <c r="BF73" i="10"/>
  <c r="BE68" i="10"/>
  <c r="BF69" i="10"/>
  <c r="BE69" i="10"/>
  <c r="BF68" i="10"/>
  <c r="BE67" i="10"/>
  <c r="BE66" i="10"/>
  <c r="H96" i="3"/>
  <c r="H93" i="3" s="1"/>
  <c r="H100" i="3" l="1"/>
  <c r="H101" i="3"/>
  <c r="H127" i="3" s="1"/>
  <c r="E100" i="3"/>
  <c r="E128" i="3" s="1"/>
  <c r="E101" i="3"/>
  <c r="D100" i="3"/>
  <c r="D101" i="3"/>
  <c r="D127" i="3" s="1"/>
  <c r="D11" i="2"/>
  <c r="G100" i="3"/>
  <c r="G101" i="3"/>
  <c r="C100" i="3"/>
  <c r="C101" i="3"/>
  <c r="C127" i="3" s="1"/>
  <c r="C175" i="3" s="1"/>
  <c r="F100" i="3"/>
  <c r="F128" i="3" s="1"/>
  <c r="D128" i="3"/>
  <c r="C128" i="3"/>
  <c r="E127" i="3"/>
  <c r="H128" i="3"/>
  <c r="G128" i="3"/>
  <c r="G127" i="3"/>
  <c r="F127" i="3"/>
  <c r="I127" i="3" l="1"/>
  <c r="I126" i="3" s="1"/>
  <c r="I128" i="3"/>
  <c r="I182" i="3" s="1"/>
  <c r="L175" i="3"/>
  <c r="H160" i="3"/>
  <c r="H182" i="3"/>
  <c r="H126" i="3"/>
  <c r="H158" i="3" s="1"/>
  <c r="H175" i="3"/>
  <c r="G175" i="3"/>
  <c r="G160" i="3"/>
  <c r="G182" i="3"/>
  <c r="F126" i="3"/>
  <c r="F158" i="3" s="1"/>
  <c r="F175" i="3"/>
  <c r="F160" i="3"/>
  <c r="F182" i="3"/>
  <c r="E126" i="3"/>
  <c r="E158" i="3" s="1"/>
  <c r="E175" i="3"/>
  <c r="E160" i="3"/>
  <c r="E182" i="3"/>
  <c r="D126" i="3"/>
  <c r="D175" i="3"/>
  <c r="D160" i="3"/>
  <c r="D182" i="3"/>
  <c r="C160" i="3"/>
  <c r="C182" i="3"/>
  <c r="L182" i="3"/>
  <c r="G126" i="3"/>
  <c r="C159" i="3"/>
  <c r="C126" i="3"/>
  <c r="I175" i="3" l="1"/>
  <c r="D158" i="3"/>
  <c r="I160" i="3"/>
  <c r="C158" i="3"/>
  <c r="I158" i="3"/>
  <c r="G158" i="3"/>
  <c r="F16" i="9" l="1"/>
  <c r="T14" i="9"/>
  <c r="T15" i="9" s="1"/>
  <c r="T16" i="9" s="1"/>
  <c r="T6" i="9"/>
  <c r="T19" i="9" s="1"/>
  <c r="T7" i="9" l="1"/>
  <c r="T20" i="9" s="1"/>
  <c r="T8" i="9" l="1"/>
  <c r="H104" i="3"/>
  <c r="H103" i="3"/>
  <c r="I78" i="3"/>
  <c r="G71" i="3"/>
  <c r="I64" i="3"/>
  <c r="I63" i="3"/>
  <c r="I62" i="3"/>
  <c r="I61" i="3"/>
  <c r="I60" i="3"/>
  <c r="I59" i="3"/>
  <c r="I58" i="3"/>
  <c r="C42" i="17"/>
  <c r="C43" i="17" s="1"/>
  <c r="I65" i="3" l="1"/>
  <c r="I21" i="17"/>
  <c r="D45" i="3"/>
  <c r="I45" i="3"/>
  <c r="H45" i="3"/>
  <c r="G45" i="3"/>
  <c r="F45" i="3"/>
  <c r="E45" i="3"/>
  <c r="I24" i="17" l="1"/>
  <c r="AM15" i="16"/>
  <c r="I43" i="3" s="1"/>
  <c r="AL15" i="16"/>
  <c r="BG8" i="10"/>
  <c r="BH8" i="10"/>
  <c r="BG9" i="10"/>
  <c r="BH9" i="10"/>
  <c r="BG10" i="10"/>
  <c r="BH10" i="10"/>
  <c r="BG11" i="10"/>
  <c r="BH11" i="10"/>
  <c r="BG12" i="10"/>
  <c r="BH12" i="10"/>
  <c r="BG13" i="10"/>
  <c r="BH13" i="10"/>
  <c r="BG14" i="10"/>
  <c r="BH14" i="10"/>
  <c r="BG15" i="10"/>
  <c r="BH15" i="10"/>
  <c r="BG16" i="10"/>
  <c r="BH16" i="10"/>
  <c r="BG17" i="10"/>
  <c r="BH17" i="10"/>
  <c r="BG18" i="10"/>
  <c r="BH18" i="10"/>
  <c r="BG19" i="10"/>
  <c r="BH19" i="10"/>
  <c r="BG20" i="10"/>
  <c r="BH20" i="10"/>
  <c r="BG21" i="10"/>
  <c r="BH21" i="10"/>
  <c r="BG22" i="10"/>
  <c r="BH22" i="10"/>
  <c r="BG23" i="10"/>
  <c r="BH23" i="10"/>
  <c r="BG24" i="10"/>
  <c r="BH24" i="10"/>
  <c r="BG25" i="10"/>
  <c r="BH25" i="10"/>
  <c r="BF67" i="10"/>
  <c r="BE74" i="10"/>
  <c r="BF74" i="10"/>
  <c r="BE75" i="10"/>
  <c r="BF75" i="10"/>
  <c r="BE76" i="10"/>
  <c r="BF76" i="10"/>
  <c r="BE77" i="10"/>
  <c r="BF77" i="10"/>
  <c r="BE78" i="10"/>
  <c r="BF78" i="10"/>
  <c r="BE79" i="10"/>
  <c r="BF79" i="10"/>
  <c r="BE80" i="10"/>
  <c r="BF80" i="10"/>
  <c r="BE81" i="10"/>
  <c r="BE82" i="10"/>
  <c r="BE83" i="10"/>
  <c r="BE84" i="10"/>
  <c r="BE85" i="10"/>
  <c r="BE86" i="10"/>
  <c r="BE87" i="10"/>
  <c r="BE88" i="10"/>
  <c r="BF66" i="10"/>
  <c r="H52" i="4"/>
  <c r="H53" i="4"/>
  <c r="H54" i="4"/>
  <c r="H55" i="4"/>
  <c r="H57" i="4"/>
  <c r="H59" i="4"/>
  <c r="H60" i="4"/>
  <c r="H61" i="4"/>
  <c r="H62" i="4"/>
  <c r="H44" i="4"/>
  <c r="H37" i="4"/>
  <c r="J26" i="13"/>
  <c r="J43" i="13"/>
  <c r="J60" i="13"/>
  <c r="J77" i="13"/>
  <c r="J94" i="13"/>
  <c r="C108" i="13"/>
  <c r="C110" i="13"/>
  <c r="B110" i="13"/>
  <c r="K109" i="13"/>
  <c r="F109" i="13"/>
  <c r="E109" i="13"/>
  <c r="G109" i="13" s="1"/>
  <c r="L109" i="13" s="1"/>
  <c r="K108" i="13"/>
  <c r="F108" i="13"/>
  <c r="E108" i="13"/>
  <c r="K107" i="13"/>
  <c r="F107" i="13"/>
  <c r="E107" i="13"/>
  <c r="G107" i="13" s="1"/>
  <c r="L107" i="13" s="1"/>
  <c r="K106" i="13"/>
  <c r="D106" i="13"/>
  <c r="C106" i="13"/>
  <c r="K105" i="13"/>
  <c r="F105" i="13"/>
  <c r="E105" i="13"/>
  <c r="G105" i="13" s="1"/>
  <c r="G104" i="13"/>
  <c r="L104" i="13" s="1"/>
  <c r="F104" i="13"/>
  <c r="E104" i="13"/>
  <c r="F103" i="13"/>
  <c r="F106" i="13" s="1"/>
  <c r="E103" i="13"/>
  <c r="E106" i="13" s="1"/>
  <c r="K102" i="13"/>
  <c r="D102" i="13"/>
  <c r="C102" i="13"/>
  <c r="F101" i="13"/>
  <c r="E101" i="13"/>
  <c r="G101" i="13" s="1"/>
  <c r="G100" i="13"/>
  <c r="L100" i="13" s="1"/>
  <c r="F100" i="13"/>
  <c r="E100" i="13"/>
  <c r="F99" i="13"/>
  <c r="F102" i="13" s="1"/>
  <c r="E99" i="13"/>
  <c r="G99" i="13" s="1"/>
  <c r="C98" i="13"/>
  <c r="D97" i="13"/>
  <c r="F97" i="13" s="1"/>
  <c r="D96" i="13"/>
  <c r="F96" i="13" s="1"/>
  <c r="F95" i="13"/>
  <c r="E95" i="13"/>
  <c r="G95" i="13" s="1"/>
  <c r="F98" i="13"/>
  <c r="E94" i="13"/>
  <c r="I56" i="3"/>
  <c r="S16" i="16"/>
  <c r="S55" i="16"/>
  <c r="D87" i="16"/>
  <c r="AM9" i="16" s="1"/>
  <c r="O80" i="16"/>
  <c r="V23" i="16"/>
  <c r="V17" i="16"/>
  <c r="I34" i="3"/>
  <c r="AO58" i="12"/>
  <c r="AR36" i="12"/>
  <c r="AP46" i="12"/>
  <c r="AQ46" i="12"/>
  <c r="AO36" i="12"/>
  <c r="BH24" i="12"/>
  <c r="BG24" i="12"/>
  <c r="BF24" i="12"/>
  <c r="BD24" i="12"/>
  <c r="BE24" i="12"/>
  <c r="BC23" i="12"/>
  <c r="BC24" i="12"/>
  <c r="AZ19" i="12"/>
  <c r="AZ20" i="12"/>
  <c r="AZ21" i="12"/>
  <c r="AZ22" i="12"/>
  <c r="AZ23" i="12"/>
  <c r="AZ24" i="12"/>
  <c r="AY18" i="12"/>
  <c r="AZ18" i="12"/>
  <c r="AY24" i="12"/>
  <c r="AV19" i="12"/>
  <c r="AV20" i="12"/>
  <c r="AV21" i="12"/>
  <c r="AV22" i="12"/>
  <c r="AV23" i="12"/>
  <c r="AV24" i="12"/>
  <c r="AV18" i="12"/>
  <c r="AG74" i="12"/>
  <c r="AG75" i="12"/>
  <c r="AG76" i="12"/>
  <c r="AG77" i="12"/>
  <c r="AG79" i="12"/>
  <c r="AG80" i="12"/>
  <c r="AG83" i="12"/>
  <c r="AG84" i="12"/>
  <c r="AG85" i="12"/>
  <c r="J58" i="12"/>
  <c r="J84" i="12"/>
  <c r="F81" i="12"/>
  <c r="F78" i="12"/>
  <c r="T76" i="12"/>
  <c r="AG78" i="12"/>
  <c r="AL91" i="12" s="1"/>
  <c r="AO38" i="12" s="1"/>
  <c r="AE74" i="12"/>
  <c r="O109" i="12"/>
  <c r="O112" i="12"/>
  <c r="O115" i="12"/>
  <c r="O116" i="12"/>
  <c r="O117" i="12"/>
  <c r="I122" i="3"/>
  <c r="J87" i="16"/>
  <c r="C87" i="16"/>
  <c r="H100" i="16" s="1"/>
  <c r="J86" i="16"/>
  <c r="H86" i="16"/>
  <c r="E86" i="16"/>
  <c r="I99" i="16" s="1"/>
  <c r="J85" i="16"/>
  <c r="H85" i="16"/>
  <c r="E85" i="16"/>
  <c r="I98" i="16" s="1"/>
  <c r="J84" i="16"/>
  <c r="H84" i="16"/>
  <c r="E84" i="16"/>
  <c r="I97" i="16" s="1"/>
  <c r="J83" i="16"/>
  <c r="H83" i="16"/>
  <c r="E83" i="16"/>
  <c r="I96" i="16" s="1"/>
  <c r="J82" i="16"/>
  <c r="H82" i="16"/>
  <c r="E82" i="16"/>
  <c r="I95" i="16" s="1"/>
  <c r="J81" i="16"/>
  <c r="H81" i="16"/>
  <c r="E81" i="16"/>
  <c r="I94" i="16" s="1"/>
  <c r="H80" i="16"/>
  <c r="E80" i="16"/>
  <c r="I93" i="16" s="1"/>
  <c r="J79" i="16"/>
  <c r="H79" i="16"/>
  <c r="E79" i="16"/>
  <c r="I92" i="16" s="1"/>
  <c r="J78" i="16"/>
  <c r="H78" i="16"/>
  <c r="E78" i="16"/>
  <c r="I91" i="16" s="1"/>
  <c r="J77" i="16"/>
  <c r="H77" i="16"/>
  <c r="E77" i="16"/>
  <c r="I90" i="16" s="1"/>
  <c r="J76" i="16"/>
  <c r="E76" i="16"/>
  <c r="I89" i="16" s="1"/>
  <c r="J75" i="16"/>
  <c r="E75" i="16"/>
  <c r="I88" i="16" s="1"/>
  <c r="I36" i="3"/>
  <c r="I37" i="3"/>
  <c r="I115" i="3" s="1"/>
  <c r="H37" i="3"/>
  <c r="G37" i="3"/>
  <c r="F37" i="3"/>
  <c r="E37" i="3"/>
  <c r="D37" i="3"/>
  <c r="H36" i="3"/>
  <c r="G36" i="3"/>
  <c r="F36" i="3"/>
  <c r="E36" i="3"/>
  <c r="D36" i="3"/>
  <c r="CB9" i="15"/>
  <c r="CB23" i="15"/>
  <c r="DS23" i="15"/>
  <c r="DP23" i="15"/>
  <c r="BY9" i="15"/>
  <c r="BX22" i="15"/>
  <c r="BX15" i="15"/>
  <c r="DO15" i="15"/>
  <c r="CA35" i="15"/>
  <c r="CA34" i="15"/>
  <c r="CA33" i="15"/>
  <c r="CA32" i="15"/>
  <c r="CA31" i="15"/>
  <c r="CA30" i="15"/>
  <c r="CB29" i="15"/>
  <c r="CJ28" i="15"/>
  <c r="CL28" i="15" s="1"/>
  <c r="CN28" i="15" s="1"/>
  <c r="CB28" i="15"/>
  <c r="BZ28" i="15"/>
  <c r="BY28" i="15"/>
  <c r="CL27" i="15"/>
  <c r="CN27" i="15" s="1"/>
  <c r="CJ27" i="15"/>
  <c r="CE27" i="15"/>
  <c r="CB27" i="15"/>
  <c r="BZ27" i="15"/>
  <c r="BY27" i="15"/>
  <c r="CJ26" i="15"/>
  <c r="CL26" i="15" s="1"/>
  <c r="CN26" i="15" s="1"/>
  <c r="CJ25" i="15"/>
  <c r="CL25" i="15" s="1"/>
  <c r="CN25" i="15" s="1"/>
  <c r="CE25" i="15"/>
  <c r="BZ25" i="15"/>
  <c r="BY25" i="15"/>
  <c r="CJ24" i="15"/>
  <c r="CL24" i="15" s="1"/>
  <c r="CN24" i="15" s="1"/>
  <c r="CB24" i="15"/>
  <c r="BZ24" i="15"/>
  <c r="BY24" i="15"/>
  <c r="CJ23" i="15"/>
  <c r="BZ23" i="15"/>
  <c r="BY23" i="15"/>
  <c r="CJ22" i="15"/>
  <c r="CL22" i="15" s="1"/>
  <c r="CN22" i="15" s="1"/>
  <c r="CB22" i="15"/>
  <c r="CJ21" i="15"/>
  <c r="CL21" i="15" s="1"/>
  <c r="CN21" i="15" s="1"/>
  <c r="BZ21" i="15"/>
  <c r="BY21" i="15"/>
  <c r="CJ20" i="15"/>
  <c r="CL20" i="15" s="1"/>
  <c r="CN20" i="15" s="1"/>
  <c r="CB20" i="15"/>
  <c r="CB34" i="15" s="1"/>
  <c r="BZ20" i="15"/>
  <c r="BY20" i="15"/>
  <c r="CJ19" i="15"/>
  <c r="CB19" i="15"/>
  <c r="BZ19" i="15"/>
  <c r="BY19" i="15"/>
  <c r="CJ18" i="15"/>
  <c r="CL18" i="15" s="1"/>
  <c r="CN18" i="15" s="1"/>
  <c r="CB18" i="15"/>
  <c r="BZ18" i="15"/>
  <c r="BY18" i="15"/>
  <c r="CJ17" i="15"/>
  <c r="CB17" i="15"/>
  <c r="BZ17" i="15"/>
  <c r="BY17" i="15"/>
  <c r="CJ16" i="15"/>
  <c r="CL16" i="15" s="1"/>
  <c r="CN16" i="15" s="1"/>
  <c r="CB16" i="15"/>
  <c r="BZ16" i="15"/>
  <c r="BY16" i="15"/>
  <c r="CJ15" i="15"/>
  <c r="CL15" i="15" s="1"/>
  <c r="CN15" i="15" s="1"/>
  <c r="CB15" i="15"/>
  <c r="CB35" i="15" s="1"/>
  <c r="CJ14" i="15"/>
  <c r="BZ14" i="15"/>
  <c r="BY14" i="15"/>
  <c r="CJ13" i="15"/>
  <c r="CL13" i="15" s="1"/>
  <c r="CN13" i="15" s="1"/>
  <c r="CB13" i="15"/>
  <c r="BZ13" i="15"/>
  <c r="BY13" i="15"/>
  <c r="CJ12" i="15"/>
  <c r="CL12" i="15" s="1"/>
  <c r="CN12" i="15" s="1"/>
  <c r="CB12" i="15"/>
  <c r="BZ12" i="15"/>
  <c r="BY12" i="15"/>
  <c r="CJ11" i="15"/>
  <c r="CL11" i="15" s="1"/>
  <c r="CN11" i="15" s="1"/>
  <c r="CB11" i="15"/>
  <c r="CB31" i="15" s="1"/>
  <c r="BZ11" i="15"/>
  <c r="BY11" i="15"/>
  <c r="CB10" i="15"/>
  <c r="BZ10" i="15"/>
  <c r="BY10" i="15"/>
  <c r="BZ9" i="15"/>
  <c r="AI85" i="12"/>
  <c r="AF85" i="12"/>
  <c r="AE85" i="12"/>
  <c r="AD85" i="12"/>
  <c r="AI84" i="12"/>
  <c r="AF84" i="12"/>
  <c r="AE84" i="12"/>
  <c r="AD84" i="12"/>
  <c r="AI83" i="12"/>
  <c r="AF83" i="12"/>
  <c r="AE83" i="12"/>
  <c r="AD83" i="12"/>
  <c r="AF81" i="12"/>
  <c r="AI80" i="12"/>
  <c r="AF80" i="12"/>
  <c r="AE80" i="12"/>
  <c r="AD80" i="12"/>
  <c r="AI79" i="12"/>
  <c r="AF79" i="12"/>
  <c r="AE79" i="12"/>
  <c r="AD79" i="12"/>
  <c r="AI77" i="12"/>
  <c r="AF77" i="12"/>
  <c r="AE77" i="12"/>
  <c r="AD77" i="12"/>
  <c r="AI76" i="12"/>
  <c r="AF76" i="12"/>
  <c r="AE76" i="12"/>
  <c r="AD76" i="12"/>
  <c r="AI75" i="12"/>
  <c r="AF75" i="12"/>
  <c r="AE75" i="12"/>
  <c r="AD75" i="12"/>
  <c r="AJ74" i="12"/>
  <c r="AI74" i="12"/>
  <c r="AD74" i="12"/>
  <c r="B86" i="12"/>
  <c r="T85" i="12"/>
  <c r="J85" i="12"/>
  <c r="T84" i="12"/>
  <c r="T83" i="12"/>
  <c r="J83" i="12"/>
  <c r="R81" i="12"/>
  <c r="H81" i="12"/>
  <c r="E86" i="12"/>
  <c r="D86" i="12"/>
  <c r="C81" i="12"/>
  <c r="T80" i="12"/>
  <c r="J80" i="12"/>
  <c r="T79" i="12"/>
  <c r="J79" i="12"/>
  <c r="R78" i="12"/>
  <c r="H78" i="12"/>
  <c r="AE78" i="12"/>
  <c r="C78" i="12"/>
  <c r="T77" i="12"/>
  <c r="J77" i="12"/>
  <c r="J76" i="12"/>
  <c r="T75" i="12"/>
  <c r="J75" i="12"/>
  <c r="T74" i="12"/>
  <c r="S74" i="12"/>
  <c r="J74" i="12"/>
  <c r="I74" i="12"/>
  <c r="G74" i="12"/>
  <c r="AY73" i="11"/>
  <c r="BA76" i="11"/>
  <c r="AY76" i="11"/>
  <c r="AZ67" i="11"/>
  <c r="BA67" i="11" s="1"/>
  <c r="BG67" i="11" s="1"/>
  <c r="AZ66" i="11"/>
  <c r="BA66" i="11" s="1"/>
  <c r="AX76" i="11"/>
  <c r="AZ75" i="11"/>
  <c r="BE75" i="11"/>
  <c r="BE74" i="11"/>
  <c r="AZ74" i="11"/>
  <c r="BA74" i="11" s="1"/>
  <c r="BG74" i="11" s="1"/>
  <c r="AY74" i="11"/>
  <c r="AZ73" i="11"/>
  <c r="BE73" i="11"/>
  <c r="BE72" i="11"/>
  <c r="BE71" i="11"/>
  <c r="BH71" i="11"/>
  <c r="AZ71" i="11"/>
  <c r="BA71" i="11" s="1"/>
  <c r="BG71" i="11" s="1"/>
  <c r="BE70" i="11"/>
  <c r="BB70" i="11"/>
  <c r="BH70" i="11" s="1"/>
  <c r="AZ70" i="11"/>
  <c r="BA70" i="11" s="1"/>
  <c r="BH69" i="11"/>
  <c r="AY69" i="11"/>
  <c r="BE69" i="11" s="1"/>
  <c r="BE68" i="11"/>
  <c r="BB68" i="11"/>
  <c r="BH68" i="11" s="1"/>
  <c r="AZ68" i="11"/>
  <c r="BA68" i="11" s="1"/>
  <c r="BG68" i="11" s="1"/>
  <c r="BE67" i="11"/>
  <c r="BB67" i="11"/>
  <c r="BH67" i="11" s="1"/>
  <c r="BD66" i="11"/>
  <c r="BB66" i="11"/>
  <c r="BH66" i="11" s="1"/>
  <c r="I24" i="3"/>
  <c r="I25" i="3"/>
  <c r="F27" i="9"/>
  <c r="H27" i="9" s="1"/>
  <c r="I27" i="9"/>
  <c r="J27" i="9" s="1"/>
  <c r="I26" i="3" s="1"/>
  <c r="C11" i="19" s="1"/>
  <c r="E11" i="19" s="1"/>
  <c r="E87" i="16" l="1"/>
  <c r="I100" i="16" s="1"/>
  <c r="E34" i="19"/>
  <c r="CB32" i="15"/>
  <c r="I21" i="3"/>
  <c r="I23" i="3"/>
  <c r="I109" i="3"/>
  <c r="I141" i="3" s="1"/>
  <c r="H51" i="4"/>
  <c r="CB30" i="15"/>
  <c r="I147" i="3"/>
  <c r="I177" i="3"/>
  <c r="I123" i="3"/>
  <c r="I124" i="3" s="1"/>
  <c r="I159" i="3"/>
  <c r="I154" i="3"/>
  <c r="I179" i="3"/>
  <c r="G108" i="13"/>
  <c r="L108" i="13" s="1"/>
  <c r="L95" i="13"/>
  <c r="F110" i="13"/>
  <c r="L99" i="13"/>
  <c r="G106" i="13"/>
  <c r="L101" i="13"/>
  <c r="L105" i="13"/>
  <c r="D98" i="13"/>
  <c r="G94" i="13"/>
  <c r="E102" i="13"/>
  <c r="E97" i="13"/>
  <c r="G97" i="13" s="1"/>
  <c r="L97" i="13" s="1"/>
  <c r="G103" i="13"/>
  <c r="L103" i="13" s="1"/>
  <c r="E96" i="13"/>
  <c r="G96" i="13" s="1"/>
  <c r="AG81" i="12"/>
  <c r="AL94" i="12" s="1"/>
  <c r="AP38" i="12" s="1"/>
  <c r="P86" i="12"/>
  <c r="U99" i="12" s="1"/>
  <c r="F82" i="12"/>
  <c r="F86" i="12" s="1"/>
  <c r="AD81" i="12"/>
  <c r="G76" i="12"/>
  <c r="AE81" i="12"/>
  <c r="AI81" i="12"/>
  <c r="AI78" i="12"/>
  <c r="AF78" i="12"/>
  <c r="AF74" i="12"/>
  <c r="Q77" i="12"/>
  <c r="AD78" i="12"/>
  <c r="CB33" i="15"/>
  <c r="CA36" i="15"/>
  <c r="CL14" i="15"/>
  <c r="CN14" i="15" s="1"/>
  <c r="CL17" i="15"/>
  <c r="CN17" i="15" s="1"/>
  <c r="CL23" i="15"/>
  <c r="CN23" i="15" s="1"/>
  <c r="CL19" i="15"/>
  <c r="CN19" i="15" s="1"/>
  <c r="G80" i="12"/>
  <c r="G78" i="12"/>
  <c r="G79" i="12"/>
  <c r="G81" i="12"/>
  <c r="C82" i="12"/>
  <c r="M86" i="12"/>
  <c r="G75" i="12"/>
  <c r="G77" i="12"/>
  <c r="Q74" i="12"/>
  <c r="H82" i="12"/>
  <c r="R82" i="12"/>
  <c r="BA73" i="11"/>
  <c r="BC73" i="11" s="1"/>
  <c r="BI73" i="11" s="1"/>
  <c r="BB72" i="11"/>
  <c r="BA75" i="11"/>
  <c r="BG75" i="11" s="1"/>
  <c r="BA72" i="11"/>
  <c r="BG70" i="11"/>
  <c r="BC71" i="11"/>
  <c r="BI71" i="11" s="1"/>
  <c r="BC70" i="11"/>
  <c r="BI70" i="11" s="1"/>
  <c r="BC67" i="11"/>
  <c r="BI67" i="11" s="1"/>
  <c r="BC68" i="11"/>
  <c r="BI68" i="11" s="1"/>
  <c r="BC69" i="11"/>
  <c r="BI69" i="11" s="1"/>
  <c r="BB73" i="11"/>
  <c r="BH73" i="11" s="1"/>
  <c r="BB75" i="11"/>
  <c r="BB74" i="11"/>
  <c r="BH74" i="11" s="1"/>
  <c r="BE76" i="11"/>
  <c r="BG66" i="11"/>
  <c r="BC74" i="11"/>
  <c r="BI74" i="11" s="1"/>
  <c r="BG73" i="11"/>
  <c r="BA69" i="11"/>
  <c r="BG69" i="11" s="1"/>
  <c r="BC66" i="11"/>
  <c r="BI66" i="11" s="1"/>
  <c r="D7" i="3"/>
  <c r="E7" i="3"/>
  <c r="F7" i="3"/>
  <c r="G7" i="3"/>
  <c r="H7" i="3"/>
  <c r="I7" i="3"/>
  <c r="C7" i="3"/>
  <c r="M18" i="4"/>
  <c r="H4" i="4"/>
  <c r="H11" i="4"/>
  <c r="D5" i="3"/>
  <c r="E5" i="3"/>
  <c r="F5" i="3"/>
  <c r="G5" i="3"/>
  <c r="H5" i="3"/>
  <c r="I5" i="3"/>
  <c r="I14" i="17" s="1"/>
  <c r="C5" i="3"/>
  <c r="P11" i="3"/>
  <c r="Q11" i="3"/>
  <c r="R11" i="3"/>
  <c r="S11" i="3"/>
  <c r="T11" i="3"/>
  <c r="O11" i="3"/>
  <c r="I155" i="3" l="1"/>
  <c r="CB36" i="15"/>
  <c r="BH72" i="11"/>
  <c r="BH83" i="11"/>
  <c r="I22" i="3"/>
  <c r="I6" i="3"/>
  <c r="AM19" i="16"/>
  <c r="I8" i="3"/>
  <c r="I15" i="17"/>
  <c r="AM26" i="16"/>
  <c r="I46" i="3"/>
  <c r="I44" i="3"/>
  <c r="I180" i="3"/>
  <c r="I9" i="3"/>
  <c r="I153" i="3"/>
  <c r="K98" i="13"/>
  <c r="I102" i="13"/>
  <c r="I106" i="13" s="1"/>
  <c r="H106" i="13"/>
  <c r="H107" i="13"/>
  <c r="H108" i="13"/>
  <c r="L106" i="13"/>
  <c r="H96" i="13"/>
  <c r="L96" i="13"/>
  <c r="H105" i="13"/>
  <c r="E98" i="13"/>
  <c r="G102" i="13"/>
  <c r="E110" i="13"/>
  <c r="L110" i="13" s="1"/>
  <c r="H97" i="13"/>
  <c r="L94" i="13"/>
  <c r="H94" i="13"/>
  <c r="H95" i="13"/>
  <c r="AG82" i="12"/>
  <c r="AI82" i="12"/>
  <c r="AD82" i="12"/>
  <c r="AH80" i="12"/>
  <c r="Q81" i="12"/>
  <c r="Q79" i="12"/>
  <c r="Q78" i="12"/>
  <c r="AH75" i="12"/>
  <c r="AH76" i="12"/>
  <c r="Q80" i="12"/>
  <c r="Q75" i="12"/>
  <c r="Q76" i="12"/>
  <c r="AH74" i="12"/>
  <c r="N86" i="12"/>
  <c r="AE86" i="12" s="1"/>
  <c r="AE82" i="12"/>
  <c r="AH77" i="12"/>
  <c r="O86" i="12"/>
  <c r="AF86" i="12" s="1"/>
  <c r="AF82" i="12"/>
  <c r="R86" i="12"/>
  <c r="C86" i="12"/>
  <c r="H86" i="12"/>
  <c r="BC75" i="11"/>
  <c r="BG76" i="11"/>
  <c r="BH75" i="11"/>
  <c r="BB76" i="11"/>
  <c r="BH76" i="11" s="1"/>
  <c r="BC72" i="11"/>
  <c r="BI72" i="11" s="1"/>
  <c r="BG72" i="11"/>
  <c r="BO72" i="11"/>
  <c r="BO71" i="11"/>
  <c r="BO70" i="11"/>
  <c r="BO69" i="11"/>
  <c r="BA65" i="11"/>
  <c r="BA62" i="11"/>
  <c r="BS12" i="11"/>
  <c r="BS13" i="11"/>
  <c r="AY64" i="11"/>
  <c r="AY63" i="11"/>
  <c r="AY62" i="11"/>
  <c r="EH22" i="15"/>
  <c r="EG22" i="15"/>
  <c r="EH21" i="15"/>
  <c r="EG21" i="15"/>
  <c r="EH20" i="15"/>
  <c r="EG20" i="15"/>
  <c r="EH19" i="15"/>
  <c r="EG19" i="15"/>
  <c r="EG11" i="15"/>
  <c r="EH17" i="15"/>
  <c r="EG17" i="15"/>
  <c r="EH16" i="15"/>
  <c r="EG16" i="15"/>
  <c r="EH15" i="15"/>
  <c r="EG15" i="15"/>
  <c r="EH14" i="15"/>
  <c r="EG14" i="15"/>
  <c r="I118" i="3" l="1"/>
  <c r="AG86" i="12"/>
  <c r="AL95" i="12"/>
  <c r="AQ38" i="12" s="1"/>
  <c r="AL82" i="12"/>
  <c r="AQ37" i="12" s="1"/>
  <c r="I20" i="17"/>
  <c r="I33" i="17" s="1"/>
  <c r="I35" i="17" s="1"/>
  <c r="I36" i="17" s="1"/>
  <c r="I49" i="3" s="1"/>
  <c r="C11" i="2"/>
  <c r="I140" i="3"/>
  <c r="I110" i="3"/>
  <c r="K110" i="3" s="1"/>
  <c r="AQ15" i="16"/>
  <c r="AQ16" i="16" s="1"/>
  <c r="AQ18" i="16"/>
  <c r="AQ19" i="16" s="1"/>
  <c r="V26" i="16"/>
  <c r="L102" i="13"/>
  <c r="H102" i="13"/>
  <c r="H103" i="13" s="1"/>
  <c r="H104" i="13"/>
  <c r="H98" i="13"/>
  <c r="L98" i="13"/>
  <c r="H101" i="13"/>
  <c r="H99" i="13"/>
  <c r="H100" i="13"/>
  <c r="I107" i="13"/>
  <c r="I108" i="13" s="1"/>
  <c r="I109" i="13" s="1"/>
  <c r="I110" i="13" s="1"/>
  <c r="K110" i="13" s="1"/>
  <c r="AI86" i="12"/>
  <c r="AH78" i="12"/>
  <c r="AH81" i="12"/>
  <c r="AH79" i="12"/>
  <c r="AH82" i="12"/>
  <c r="AD86" i="12"/>
  <c r="Q84" i="12"/>
  <c r="Q85" i="12"/>
  <c r="Q86" i="12" s="1"/>
  <c r="Q83" i="12"/>
  <c r="Q82" i="12"/>
  <c r="G82" i="12"/>
  <c r="G85" i="12"/>
  <c r="G86" i="12" s="1"/>
  <c r="G84" i="12"/>
  <c r="G83" i="12"/>
  <c r="BC76" i="11"/>
  <c r="BI76" i="11" s="1"/>
  <c r="BI75" i="11"/>
  <c r="BR69" i="11"/>
  <c r="BS69" i="11" s="1"/>
  <c r="E11" i="2" l="1"/>
  <c r="E34" i="2" s="1"/>
  <c r="I47" i="3"/>
  <c r="J45" i="3"/>
  <c r="J46" i="3" s="1"/>
  <c r="I150" i="3"/>
  <c r="AO60" i="12"/>
  <c r="AL99" i="12"/>
  <c r="AR38" i="12" s="1"/>
  <c r="I35" i="3"/>
  <c r="I171" i="3"/>
  <c r="L171" i="3"/>
  <c r="I139" i="3"/>
  <c r="I135" i="3"/>
  <c r="F30" i="2"/>
  <c r="I129" i="3"/>
  <c r="AH85" i="12"/>
  <c r="AH86" i="12" s="1"/>
  <c r="AH84" i="12"/>
  <c r="AH83" i="12"/>
  <c r="F96" i="3"/>
  <c r="G72" i="3"/>
  <c r="I119" i="3" l="1"/>
  <c r="I151" i="3" s="1"/>
  <c r="I114" i="3"/>
  <c r="I166" i="3"/>
  <c r="I183" i="3"/>
  <c r="I161" i="3"/>
  <c r="L170" i="3"/>
  <c r="B171" i="3"/>
  <c r="C171" i="3"/>
  <c r="B172" i="3"/>
  <c r="C172" i="3"/>
  <c r="B173" i="3"/>
  <c r="C173" i="3"/>
  <c r="B174" i="3"/>
  <c r="C174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3" i="3"/>
  <c r="C183" i="3"/>
  <c r="B184" i="3"/>
  <c r="C184" i="3"/>
  <c r="B185" i="3"/>
  <c r="C185" i="3"/>
  <c r="B186" i="3"/>
  <c r="A186" i="3"/>
  <c r="A185" i="3"/>
  <c r="A184" i="3"/>
  <c r="A183" i="3"/>
  <c r="A179" i="3"/>
  <c r="A180" i="3"/>
  <c r="A181" i="3"/>
  <c r="A178" i="3"/>
  <c r="A173" i="3"/>
  <c r="A174" i="3"/>
  <c r="A176" i="3"/>
  <c r="A177" i="3"/>
  <c r="A172" i="3"/>
  <c r="A171" i="3"/>
  <c r="I136" i="3" l="1"/>
  <c r="I167" i="3" s="1"/>
  <c r="I176" i="3"/>
  <c r="I146" i="3"/>
  <c r="P112" i="3"/>
  <c r="O112" i="3"/>
  <c r="P107" i="3"/>
  <c r="O107" i="3"/>
  <c r="C118" i="3"/>
  <c r="C119" i="3"/>
  <c r="G96" i="3"/>
  <c r="G93" i="3" s="1"/>
  <c r="E96" i="3"/>
  <c r="D96" i="3"/>
  <c r="C93" i="3" l="1"/>
  <c r="D93" i="3"/>
  <c r="E93" i="3"/>
  <c r="F93" i="3"/>
  <c r="F43" i="3" l="1"/>
  <c r="G43" i="3"/>
  <c r="D43" i="3"/>
  <c r="E43" i="3"/>
  <c r="C43" i="3"/>
  <c r="H43" i="3"/>
  <c r="D74" i="16"/>
  <c r="AL9" i="16" s="1"/>
  <c r="I87" i="3"/>
  <c r="I88" i="3"/>
  <c r="I89" i="3" s="1"/>
  <c r="C71" i="3"/>
  <c r="C72" i="3" s="1"/>
  <c r="D71" i="3"/>
  <c r="D72" i="3" s="1"/>
  <c r="E71" i="3"/>
  <c r="E72" i="3" s="1"/>
  <c r="F71" i="3"/>
  <c r="F72" i="3" s="1"/>
  <c r="H78" i="3"/>
  <c r="H76" i="3" s="1"/>
  <c r="G78" i="3"/>
  <c r="G76" i="3" s="1"/>
  <c r="F78" i="3"/>
  <c r="F76" i="3" s="1"/>
  <c r="E78" i="3"/>
  <c r="E76" i="3" s="1"/>
  <c r="D78" i="3"/>
  <c r="D76" i="3" s="1"/>
  <c r="C78" i="3"/>
  <c r="C76" i="3" s="1"/>
  <c r="N23" i="17"/>
  <c r="D42" i="17"/>
  <c r="D43" i="17" s="1"/>
  <c r="D50" i="3" s="1"/>
  <c r="E42" i="17"/>
  <c r="E43" i="17" s="1"/>
  <c r="E50" i="3" s="1"/>
  <c r="F42" i="17"/>
  <c r="F43" i="17" s="1"/>
  <c r="F50" i="3" s="1"/>
  <c r="G42" i="17"/>
  <c r="G43" i="17" s="1"/>
  <c r="G50" i="3" s="1"/>
  <c r="C50" i="3"/>
  <c r="J25" i="17" l="1"/>
  <c r="J26" i="17" s="1"/>
  <c r="J48" i="3" s="1"/>
  <c r="J51" i="3" s="1"/>
  <c r="I25" i="17"/>
  <c r="I26" i="17" s="1"/>
  <c r="I48" i="3" s="1"/>
  <c r="C41" i="17"/>
  <c r="D15" i="17"/>
  <c r="D20" i="17" s="1"/>
  <c r="D33" i="17" s="1"/>
  <c r="E15" i="17"/>
  <c r="E20" i="17" s="1"/>
  <c r="E33" i="17" s="1"/>
  <c r="F15" i="17"/>
  <c r="F20" i="17" s="1"/>
  <c r="F33" i="17" s="1"/>
  <c r="G15" i="17"/>
  <c r="G20" i="17" s="1"/>
  <c r="G33" i="17" s="1"/>
  <c r="H15" i="17"/>
  <c r="H20" i="17" s="1"/>
  <c r="C15" i="17"/>
  <c r="C20" i="17" s="1"/>
  <c r="C33" i="17" s="1"/>
  <c r="C26" i="19" l="1"/>
  <c r="C26" i="2"/>
  <c r="J120" i="3"/>
  <c r="H33" i="17"/>
  <c r="D41" i="17"/>
  <c r="E41" i="17"/>
  <c r="H41" i="17" s="1"/>
  <c r="F41" i="17"/>
  <c r="G41" i="17"/>
  <c r="L120" i="3" l="1"/>
  <c r="J152" i="3"/>
  <c r="L152" i="3" s="1"/>
  <c r="I41" i="17"/>
  <c r="I40" i="17" s="1"/>
  <c r="I42" i="17" s="1"/>
  <c r="H40" i="17"/>
  <c r="H42" i="17" s="1"/>
  <c r="H43" i="17" s="1"/>
  <c r="H50" i="3" s="1"/>
  <c r="G40" i="3"/>
  <c r="F40" i="3"/>
  <c r="E40" i="3"/>
  <c r="C40" i="3"/>
  <c r="AE6" i="16"/>
  <c r="AE5" i="16"/>
  <c r="D22" i="16"/>
  <c r="AH9" i="16" s="1"/>
  <c r="D48" i="16"/>
  <c r="H49" i="16"/>
  <c r="D61" i="16"/>
  <c r="J74" i="16"/>
  <c r="C74" i="16"/>
  <c r="H87" i="16" s="1"/>
  <c r="J73" i="16"/>
  <c r="H73" i="16"/>
  <c r="E73" i="16"/>
  <c r="I86" i="16" s="1"/>
  <c r="J72" i="16"/>
  <c r="H72" i="16"/>
  <c r="E72" i="16"/>
  <c r="I85" i="16" s="1"/>
  <c r="J71" i="16"/>
  <c r="H71" i="16"/>
  <c r="E71" i="16"/>
  <c r="I84" i="16" s="1"/>
  <c r="J70" i="16"/>
  <c r="H70" i="16"/>
  <c r="E70" i="16"/>
  <c r="I83" i="16" s="1"/>
  <c r="J69" i="16"/>
  <c r="H69" i="16"/>
  <c r="E69" i="16"/>
  <c r="I82" i="16" s="1"/>
  <c r="J68" i="16"/>
  <c r="H68" i="16"/>
  <c r="E68" i="16"/>
  <c r="I81" i="16" s="1"/>
  <c r="J67" i="16"/>
  <c r="H67" i="16"/>
  <c r="E67" i="16"/>
  <c r="I80" i="16" s="1"/>
  <c r="J66" i="16"/>
  <c r="H66" i="16"/>
  <c r="E66" i="16"/>
  <c r="I79" i="16" s="1"/>
  <c r="J65" i="16"/>
  <c r="H65" i="16"/>
  <c r="E65" i="16"/>
  <c r="I78" i="16" s="1"/>
  <c r="J64" i="16"/>
  <c r="H64" i="16"/>
  <c r="E64" i="16"/>
  <c r="I77" i="16" s="1"/>
  <c r="J63" i="16"/>
  <c r="H63" i="16"/>
  <c r="E63" i="16"/>
  <c r="I76" i="16" s="1"/>
  <c r="J62" i="16"/>
  <c r="H62" i="16"/>
  <c r="E62" i="16"/>
  <c r="I75" i="16" s="1"/>
  <c r="I50" i="3" l="1"/>
  <c r="I51" i="3" s="1"/>
  <c r="D40" i="3"/>
  <c r="H40" i="3"/>
  <c r="E74" i="16"/>
  <c r="I87" i="16" s="1"/>
  <c r="AL10" i="16" l="1"/>
  <c r="AM10" i="16"/>
  <c r="I120" i="3"/>
  <c r="AL11" i="16"/>
  <c r="AL12" i="16"/>
  <c r="AP13" i="16" s="1"/>
  <c r="AL13" i="16"/>
  <c r="AK5" i="16"/>
  <c r="AJ10" i="16"/>
  <c r="AK6" i="16"/>
  <c r="AG5" i="16"/>
  <c r="AM12" i="16" l="1"/>
  <c r="AM11" i="16"/>
  <c r="AM20" i="16"/>
  <c r="AM27" i="16"/>
  <c r="I152" i="3"/>
  <c r="H41" i="3"/>
  <c r="AJ11" i="16"/>
  <c r="AJ12" i="16"/>
  <c r="AM28" i="16" l="1"/>
  <c r="AM21" i="16"/>
  <c r="AM22" i="16"/>
  <c r="AM29" i="16"/>
  <c r="AM13" i="16"/>
  <c r="AR13" i="16"/>
  <c r="AJ13" i="16"/>
  <c r="F41" i="3" s="1"/>
  <c r="I41" i="3" l="1"/>
  <c r="AM30" i="16"/>
  <c r="AM23" i="16"/>
  <c r="P25" i="16"/>
  <c r="O25" i="16"/>
  <c r="N25" i="16"/>
  <c r="M24" i="16"/>
  <c r="M23" i="16"/>
  <c r="M25" i="16" s="1"/>
  <c r="Q13" i="17"/>
  <c r="P13" i="17"/>
  <c r="O13" i="17"/>
  <c r="Q12" i="17"/>
  <c r="P12" i="17"/>
  <c r="O12" i="17"/>
  <c r="I42" i="3" l="1"/>
  <c r="S26" i="16"/>
  <c r="S12" i="16"/>
  <c r="S11" i="16"/>
  <c r="I117" i="3" l="1"/>
  <c r="I52" i="3"/>
  <c r="I121" i="3" s="1"/>
  <c r="J61" i="16"/>
  <c r="C61" i="16"/>
  <c r="H74" i="16" s="1"/>
  <c r="J60" i="16"/>
  <c r="H60" i="16"/>
  <c r="E60" i="16"/>
  <c r="I73" i="16" s="1"/>
  <c r="J59" i="16"/>
  <c r="H59" i="16"/>
  <c r="E59" i="16"/>
  <c r="J58" i="16"/>
  <c r="H58" i="16"/>
  <c r="E58" i="16"/>
  <c r="I71" i="16" s="1"/>
  <c r="J57" i="16"/>
  <c r="H57" i="16"/>
  <c r="E57" i="16"/>
  <c r="I70" i="16" s="1"/>
  <c r="J56" i="16"/>
  <c r="H56" i="16"/>
  <c r="E56" i="16"/>
  <c r="I69" i="16" s="1"/>
  <c r="J55" i="16"/>
  <c r="H55" i="16"/>
  <c r="E55" i="16"/>
  <c r="S54" i="16"/>
  <c r="J54" i="16"/>
  <c r="H54" i="16"/>
  <c r="E54" i="16"/>
  <c r="I67" i="16" s="1"/>
  <c r="S53" i="16"/>
  <c r="J53" i="16"/>
  <c r="H53" i="16"/>
  <c r="E53" i="16"/>
  <c r="I66" i="16" s="1"/>
  <c r="S52" i="16"/>
  <c r="J52" i="16"/>
  <c r="H52" i="16"/>
  <c r="E52" i="16"/>
  <c r="I65" i="16" s="1"/>
  <c r="S51" i="16"/>
  <c r="J51" i="16"/>
  <c r="H51" i="16"/>
  <c r="E51" i="16"/>
  <c r="I64" i="16" s="1"/>
  <c r="S50" i="16"/>
  <c r="J50" i="16"/>
  <c r="H50" i="16"/>
  <c r="E50" i="16"/>
  <c r="I63" i="16" s="1"/>
  <c r="S49" i="16"/>
  <c r="J49" i="16"/>
  <c r="E49" i="16"/>
  <c r="I62" i="16" s="1"/>
  <c r="S48" i="16"/>
  <c r="J48" i="16"/>
  <c r="C48" i="16"/>
  <c r="S47" i="16"/>
  <c r="J47" i="16"/>
  <c r="H47" i="16"/>
  <c r="E47" i="16"/>
  <c r="I60" i="16" s="1"/>
  <c r="S46" i="16"/>
  <c r="J46" i="16"/>
  <c r="H46" i="16"/>
  <c r="E46" i="16"/>
  <c r="S45" i="16"/>
  <c r="J45" i="16"/>
  <c r="H45" i="16"/>
  <c r="E45" i="16"/>
  <c r="S44" i="16"/>
  <c r="J44" i="16"/>
  <c r="H44" i="16"/>
  <c r="E44" i="16"/>
  <c r="S43" i="16"/>
  <c r="J43" i="16"/>
  <c r="H43" i="16"/>
  <c r="E43" i="16"/>
  <c r="S42" i="16"/>
  <c r="J42" i="16"/>
  <c r="H42" i="16"/>
  <c r="E42" i="16"/>
  <c r="E48" i="16" s="1"/>
  <c r="S41" i="16"/>
  <c r="J41" i="16"/>
  <c r="H41" i="16"/>
  <c r="E41" i="16"/>
  <c r="S40" i="16"/>
  <c r="J40" i="16"/>
  <c r="H40" i="16"/>
  <c r="E40" i="16"/>
  <c r="S39" i="16"/>
  <c r="J39" i="16"/>
  <c r="H39" i="16"/>
  <c r="E39" i="16"/>
  <c r="S38" i="16"/>
  <c r="J38" i="16"/>
  <c r="H38" i="16"/>
  <c r="E38" i="16"/>
  <c r="S37" i="16"/>
  <c r="H37" i="16"/>
  <c r="E37" i="16"/>
  <c r="I50" i="16" s="1"/>
  <c r="S36" i="16"/>
  <c r="J36" i="16"/>
  <c r="H36" i="16"/>
  <c r="E36" i="16"/>
  <c r="S35" i="16"/>
  <c r="J35" i="16"/>
  <c r="C35" i="16"/>
  <c r="S34" i="16"/>
  <c r="J34" i="16"/>
  <c r="H34" i="16"/>
  <c r="E34" i="16"/>
  <c r="S33" i="16"/>
  <c r="J33" i="16"/>
  <c r="H33" i="16"/>
  <c r="E33" i="16"/>
  <c r="S32" i="16"/>
  <c r="J32" i="16"/>
  <c r="H32" i="16"/>
  <c r="E32" i="16"/>
  <c r="S31" i="16"/>
  <c r="J31" i="16"/>
  <c r="H31" i="16"/>
  <c r="E31" i="16"/>
  <c r="S30" i="16"/>
  <c r="J30" i="16"/>
  <c r="H30" i="16"/>
  <c r="E30" i="16"/>
  <c r="S29" i="16"/>
  <c r="J29" i="16"/>
  <c r="H29" i="16"/>
  <c r="E29" i="16"/>
  <c r="I29" i="16" s="1"/>
  <c r="S28" i="16"/>
  <c r="J28" i="16"/>
  <c r="H28" i="16"/>
  <c r="E28" i="16"/>
  <c r="S27" i="16"/>
  <c r="J27" i="16"/>
  <c r="H27" i="16"/>
  <c r="J26" i="16"/>
  <c r="E26" i="16"/>
  <c r="S25" i="16"/>
  <c r="J25" i="16"/>
  <c r="H25" i="16"/>
  <c r="E25" i="16"/>
  <c r="S24" i="16"/>
  <c r="J24" i="16"/>
  <c r="H24" i="16"/>
  <c r="E24" i="16"/>
  <c r="S23" i="16"/>
  <c r="J23" i="16"/>
  <c r="H23" i="16"/>
  <c r="E23" i="16"/>
  <c r="S22" i="16"/>
  <c r="C22" i="16"/>
  <c r="S21" i="16"/>
  <c r="E21" i="16"/>
  <c r="S20" i="16"/>
  <c r="E20" i="16"/>
  <c r="S19" i="16"/>
  <c r="E19" i="16"/>
  <c r="S18" i="16"/>
  <c r="E18" i="16"/>
  <c r="S17" i="16"/>
  <c r="E17" i="16"/>
  <c r="E22" i="16" s="1"/>
  <c r="E16" i="16"/>
  <c r="S15" i="16"/>
  <c r="E15" i="16"/>
  <c r="S14" i="16"/>
  <c r="E14" i="16"/>
  <c r="S13" i="16"/>
  <c r="E13" i="16"/>
  <c r="E12" i="16"/>
  <c r="E11" i="16"/>
  <c r="E10" i="16"/>
  <c r="R9" i="16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S82" i="10"/>
  <c r="Y17" i="13"/>
  <c r="F84" i="13" s="1"/>
  <c r="Y16" i="13"/>
  <c r="Y19" i="13"/>
  <c r="C79" i="13"/>
  <c r="C80" i="13"/>
  <c r="C81" i="13" s="1"/>
  <c r="D80" i="13"/>
  <c r="D79" i="13"/>
  <c r="E79" i="13" s="1"/>
  <c r="D62" i="13"/>
  <c r="D63" i="13"/>
  <c r="E63" i="13" s="1"/>
  <c r="C63" i="13"/>
  <c r="C64" i="13" s="1"/>
  <c r="C62" i="13"/>
  <c r="D46" i="13"/>
  <c r="E46" i="13" s="1"/>
  <c r="D45" i="13"/>
  <c r="D47" i="13" s="1"/>
  <c r="I47" i="13" s="1"/>
  <c r="C46" i="13"/>
  <c r="C45" i="13"/>
  <c r="D28" i="13"/>
  <c r="D29" i="13"/>
  <c r="C29" i="13"/>
  <c r="C30" i="13" s="1"/>
  <c r="C28" i="13"/>
  <c r="C12" i="13"/>
  <c r="C11" i="13"/>
  <c r="C13" i="13" s="1"/>
  <c r="D12" i="13"/>
  <c r="E12" i="13" s="1"/>
  <c r="D11" i="13"/>
  <c r="K88" i="13"/>
  <c r="H57" i="3"/>
  <c r="G57" i="3"/>
  <c r="F57" i="3"/>
  <c r="E57" i="3"/>
  <c r="D57" i="3"/>
  <c r="E56" i="3"/>
  <c r="F56" i="3"/>
  <c r="G56" i="3"/>
  <c r="H56" i="3"/>
  <c r="H55" i="3" s="1"/>
  <c r="D56" i="3"/>
  <c r="K92" i="13"/>
  <c r="K91" i="13"/>
  <c r="K90" i="13"/>
  <c r="K75" i="13"/>
  <c r="K74" i="13"/>
  <c r="K73" i="13"/>
  <c r="K58" i="13"/>
  <c r="K57" i="13"/>
  <c r="K56" i="13"/>
  <c r="E77" i="13"/>
  <c r="E92" i="13"/>
  <c r="E91" i="13"/>
  <c r="E90" i="13"/>
  <c r="E88" i="13"/>
  <c r="E87" i="13"/>
  <c r="F86" i="13"/>
  <c r="G86" i="13" s="1"/>
  <c r="E86" i="13"/>
  <c r="E84" i="13"/>
  <c r="G84" i="13" s="1"/>
  <c r="E83" i="13"/>
  <c r="E82" i="13"/>
  <c r="E85" i="13" s="1"/>
  <c r="E78" i="13"/>
  <c r="E75" i="13"/>
  <c r="E74" i="13"/>
  <c r="E73" i="13"/>
  <c r="E71" i="13"/>
  <c r="E70" i="13"/>
  <c r="F69" i="13"/>
  <c r="E69" i="13"/>
  <c r="E72" i="13" s="1"/>
  <c r="E67" i="13"/>
  <c r="E66" i="13"/>
  <c r="E65" i="13"/>
  <c r="E62" i="13"/>
  <c r="E61" i="13"/>
  <c r="E60" i="13"/>
  <c r="E58" i="13"/>
  <c r="E57" i="13"/>
  <c r="E56" i="13"/>
  <c r="E54" i="13"/>
  <c r="E53" i="13"/>
  <c r="F52" i="13"/>
  <c r="G52" i="13" s="1"/>
  <c r="E52" i="13"/>
  <c r="E50" i="13"/>
  <c r="E49" i="13"/>
  <c r="E48" i="13"/>
  <c r="E44" i="13"/>
  <c r="E43" i="13"/>
  <c r="E24" i="13"/>
  <c r="E23" i="13"/>
  <c r="E22" i="13"/>
  <c r="E20" i="13"/>
  <c r="E19" i="13"/>
  <c r="F18" i="13"/>
  <c r="G18" i="13" s="1"/>
  <c r="E18" i="13"/>
  <c r="E16" i="13"/>
  <c r="E15" i="13"/>
  <c r="E14" i="13"/>
  <c r="E11" i="13"/>
  <c r="E10" i="13"/>
  <c r="E9" i="13"/>
  <c r="K41" i="13"/>
  <c r="K40" i="13"/>
  <c r="K39" i="13"/>
  <c r="Y40" i="13"/>
  <c r="E41" i="13"/>
  <c r="E40" i="13"/>
  <c r="E39" i="13"/>
  <c r="E37" i="13"/>
  <c r="E36" i="13"/>
  <c r="F35" i="13"/>
  <c r="E35" i="13"/>
  <c r="E33" i="13"/>
  <c r="E32" i="13"/>
  <c r="E31" i="13"/>
  <c r="E27" i="13"/>
  <c r="E26" i="13"/>
  <c r="E28" i="13"/>
  <c r="P50" i="13"/>
  <c r="P49" i="13"/>
  <c r="D68" i="13"/>
  <c r="C68" i="13"/>
  <c r="D51" i="13"/>
  <c r="C51" i="13"/>
  <c r="D34" i="13"/>
  <c r="C34" i="13"/>
  <c r="D17" i="13"/>
  <c r="C17" i="13"/>
  <c r="D85" i="13"/>
  <c r="K85" i="13" s="1"/>
  <c r="C85" i="13"/>
  <c r="D89" i="13"/>
  <c r="C89" i="13"/>
  <c r="C93" i="13" s="1"/>
  <c r="D72" i="13"/>
  <c r="C72" i="13"/>
  <c r="C76" i="13" s="1"/>
  <c r="D55" i="13"/>
  <c r="C55" i="13"/>
  <c r="C59" i="13" s="1"/>
  <c r="D38" i="13"/>
  <c r="C38" i="13"/>
  <c r="C21" i="13"/>
  <c r="D21" i="13"/>
  <c r="B93" i="13"/>
  <c r="B76" i="13"/>
  <c r="B59" i="13"/>
  <c r="GY23" i="15"/>
  <c r="GQ35" i="15"/>
  <c r="GP35" i="15"/>
  <c r="GS35" i="15" s="1"/>
  <c r="GO35" i="15"/>
  <c r="GQ34" i="15"/>
  <c r="GP34" i="15"/>
  <c r="GS34" i="15" s="1"/>
  <c r="GO34" i="15"/>
  <c r="GQ33" i="15"/>
  <c r="GP33" i="15"/>
  <c r="GS33" i="15" s="1"/>
  <c r="GO33" i="15"/>
  <c r="GQ32" i="15"/>
  <c r="GP32" i="15"/>
  <c r="GS32" i="15" s="1"/>
  <c r="GO32" i="15"/>
  <c r="GQ31" i="15"/>
  <c r="GP31" i="15"/>
  <c r="GS31" i="15" s="1"/>
  <c r="GO31" i="15"/>
  <c r="GQ30" i="15"/>
  <c r="GP30" i="15"/>
  <c r="GS30" i="15" s="1"/>
  <c r="GO30" i="15"/>
  <c r="GP29" i="15"/>
  <c r="HN28" i="15"/>
  <c r="HM28" i="15"/>
  <c r="HG28" i="15"/>
  <c r="GY28" i="15"/>
  <c r="GW28" i="15"/>
  <c r="GV28" i="15"/>
  <c r="HN27" i="15"/>
  <c r="HM27" i="15"/>
  <c r="HG27" i="15"/>
  <c r="HB27" i="15"/>
  <c r="GY27" i="15"/>
  <c r="GW27" i="15"/>
  <c r="GV27" i="15"/>
  <c r="HN26" i="15"/>
  <c r="HM26" i="15"/>
  <c r="HG26" i="15"/>
  <c r="HI26" i="15" s="1"/>
  <c r="HK26" i="15" s="1"/>
  <c r="GY26" i="15"/>
  <c r="GW26" i="15"/>
  <c r="GV26" i="15"/>
  <c r="HN25" i="15"/>
  <c r="HM25" i="15"/>
  <c r="HG25" i="15"/>
  <c r="HI25" i="15" s="1"/>
  <c r="HK25" i="15" s="1"/>
  <c r="HB25" i="15"/>
  <c r="GY25" i="15"/>
  <c r="GW25" i="15"/>
  <c r="GV25" i="15"/>
  <c r="HN24" i="15"/>
  <c r="HM24" i="15"/>
  <c r="HG24" i="15"/>
  <c r="HI24" i="15" s="1"/>
  <c r="HK24" i="15" s="1"/>
  <c r="GY24" i="15"/>
  <c r="GW24" i="15"/>
  <c r="GV24" i="15"/>
  <c r="HN23" i="15"/>
  <c r="HM23" i="15"/>
  <c r="HG23" i="15"/>
  <c r="HI23" i="15" s="1"/>
  <c r="HK23" i="15" s="1"/>
  <c r="GW23" i="15"/>
  <c r="GV23" i="15"/>
  <c r="HN22" i="15"/>
  <c r="HM22" i="15"/>
  <c r="HG22" i="15"/>
  <c r="HI22" i="15" s="1"/>
  <c r="HK22" i="15" s="1"/>
  <c r="GY22" i="15"/>
  <c r="HN21" i="15"/>
  <c r="HM21" i="15"/>
  <c r="HG21" i="15"/>
  <c r="GY21" i="15"/>
  <c r="GW21" i="15"/>
  <c r="GV21" i="15"/>
  <c r="HN20" i="15"/>
  <c r="HM20" i="15"/>
  <c r="HG20" i="15"/>
  <c r="HI20" i="15" s="1"/>
  <c r="HK20" i="15" s="1"/>
  <c r="GY20" i="15"/>
  <c r="GW20" i="15"/>
  <c r="GV20" i="15"/>
  <c r="HN19" i="15"/>
  <c r="HM19" i="15"/>
  <c r="HG19" i="15"/>
  <c r="HI19" i="15" s="1"/>
  <c r="HK19" i="15" s="1"/>
  <c r="GY19" i="15"/>
  <c r="GW19" i="15"/>
  <c r="GV19" i="15"/>
  <c r="HN18" i="15"/>
  <c r="HM18" i="15"/>
  <c r="HG18" i="15"/>
  <c r="GY18" i="15"/>
  <c r="GW18" i="15"/>
  <c r="GV18" i="15"/>
  <c r="HN17" i="15"/>
  <c r="HM17" i="15"/>
  <c r="HG17" i="15"/>
  <c r="HI17" i="15" s="1"/>
  <c r="HK17" i="15" s="1"/>
  <c r="GY17" i="15"/>
  <c r="GW17" i="15"/>
  <c r="GV17" i="15"/>
  <c r="HN16" i="15"/>
  <c r="HM16" i="15"/>
  <c r="HG16" i="15"/>
  <c r="GY16" i="15"/>
  <c r="GW16" i="15"/>
  <c r="GV16" i="15"/>
  <c r="HN15" i="15"/>
  <c r="HM15" i="15"/>
  <c r="HG15" i="15"/>
  <c r="HI15" i="15" s="1"/>
  <c r="HK15" i="15" s="1"/>
  <c r="GY15" i="15"/>
  <c r="GU15" i="15"/>
  <c r="HN14" i="15"/>
  <c r="HM14" i="15"/>
  <c r="HG14" i="15"/>
  <c r="GY14" i="15"/>
  <c r="GW14" i="15"/>
  <c r="GV14" i="15"/>
  <c r="HN13" i="15"/>
  <c r="HM13" i="15"/>
  <c r="HG13" i="15"/>
  <c r="HI13" i="15" s="1"/>
  <c r="HK13" i="15" s="1"/>
  <c r="GY13" i="15"/>
  <c r="GW13" i="15"/>
  <c r="GV13" i="15"/>
  <c r="HN12" i="15"/>
  <c r="HM12" i="15"/>
  <c r="HG12" i="15"/>
  <c r="GY12" i="15"/>
  <c r="GW12" i="15"/>
  <c r="GV12" i="15"/>
  <c r="HN11" i="15"/>
  <c r="HM11" i="15"/>
  <c r="HG11" i="15"/>
  <c r="GY11" i="15"/>
  <c r="GW11" i="15"/>
  <c r="GV11" i="15"/>
  <c r="GY10" i="15"/>
  <c r="GW10" i="15"/>
  <c r="GV10" i="15"/>
  <c r="GY9" i="15"/>
  <c r="GW9" i="15"/>
  <c r="GV9" i="15"/>
  <c r="FI26" i="15"/>
  <c r="FI24" i="15"/>
  <c r="FI25" i="15"/>
  <c r="FI27" i="15"/>
  <c r="FI28" i="15"/>
  <c r="FI23" i="15"/>
  <c r="FG23" i="15"/>
  <c r="FF23" i="15"/>
  <c r="AE20" i="10"/>
  <c r="DR30" i="15"/>
  <c r="FI9" i="15"/>
  <c r="FX28" i="15"/>
  <c r="FW28" i="15"/>
  <c r="FQ28" i="15"/>
  <c r="FX27" i="15"/>
  <c r="FW27" i="15"/>
  <c r="FQ27" i="15"/>
  <c r="FS27" i="15" s="1"/>
  <c r="FU27" i="15" s="1"/>
  <c r="FL27" i="15"/>
  <c r="FX26" i="15"/>
  <c r="FW26" i="15"/>
  <c r="FQ26" i="15"/>
  <c r="FS26" i="15" s="1"/>
  <c r="FU26" i="15" s="1"/>
  <c r="FX25" i="15"/>
  <c r="FW25" i="15"/>
  <c r="FQ25" i="15"/>
  <c r="FL25" i="15"/>
  <c r="FX24" i="15"/>
  <c r="FW24" i="15"/>
  <c r="FQ24" i="15"/>
  <c r="FS24" i="15" s="1"/>
  <c r="FU24" i="15" s="1"/>
  <c r="FX23" i="15"/>
  <c r="FW23" i="15"/>
  <c r="FQ23" i="15"/>
  <c r="FS23" i="15" s="1"/>
  <c r="FU23" i="15" s="1"/>
  <c r="FX22" i="15"/>
  <c r="FW22" i="15"/>
  <c r="FQ22" i="15"/>
  <c r="FI22" i="15"/>
  <c r="FX21" i="15"/>
  <c r="FW21" i="15"/>
  <c r="FQ21" i="15"/>
  <c r="FI21" i="15"/>
  <c r="FX20" i="15"/>
  <c r="FW20" i="15"/>
  <c r="FQ20" i="15"/>
  <c r="FS20" i="15" s="1"/>
  <c r="FU20" i="15" s="1"/>
  <c r="FI20" i="15"/>
  <c r="FX19" i="15"/>
  <c r="FW19" i="15"/>
  <c r="FQ19" i="15"/>
  <c r="FS19" i="15" s="1"/>
  <c r="FU19" i="15" s="1"/>
  <c r="FI19" i="15"/>
  <c r="FX18" i="15"/>
  <c r="FW18" i="15"/>
  <c r="FQ18" i="15"/>
  <c r="FS18" i="15" s="1"/>
  <c r="FU18" i="15" s="1"/>
  <c r="FI18" i="15"/>
  <c r="FX17" i="15"/>
  <c r="FW17" i="15"/>
  <c r="FQ17" i="15"/>
  <c r="FI17" i="15"/>
  <c r="FX16" i="15"/>
  <c r="FW16" i="15"/>
  <c r="FQ16" i="15"/>
  <c r="FS16" i="15" s="1"/>
  <c r="FU16" i="15" s="1"/>
  <c r="FI16" i="15"/>
  <c r="FX15" i="15"/>
  <c r="FW15" i="15"/>
  <c r="FQ15" i="15"/>
  <c r="FS15" i="15" s="1"/>
  <c r="FU15" i="15" s="1"/>
  <c r="FI15" i="15"/>
  <c r="FX14" i="15"/>
  <c r="FW14" i="15"/>
  <c r="FQ14" i="15"/>
  <c r="FS14" i="15" s="1"/>
  <c r="FU14" i="15" s="1"/>
  <c r="FI14" i="15"/>
  <c r="FX13" i="15"/>
  <c r="FW13" i="15"/>
  <c r="FQ13" i="15"/>
  <c r="FI13" i="15"/>
  <c r="FX12" i="15"/>
  <c r="FW12" i="15"/>
  <c r="FQ12" i="15"/>
  <c r="FS12" i="15" s="1"/>
  <c r="FU12" i="15" s="1"/>
  <c r="FI12" i="15"/>
  <c r="FX11" i="15"/>
  <c r="FW11" i="15"/>
  <c r="FQ11" i="15"/>
  <c r="FS11" i="15" s="1"/>
  <c r="FU11" i="15" s="1"/>
  <c r="FI11" i="15"/>
  <c r="FI10" i="15"/>
  <c r="FG9" i="15"/>
  <c r="FF26" i="15"/>
  <c r="FF25" i="15"/>
  <c r="FF24" i="15"/>
  <c r="FF27" i="15"/>
  <c r="FF28" i="15"/>
  <c r="FG24" i="15"/>
  <c r="FG25" i="15"/>
  <c r="FG26" i="15"/>
  <c r="FG27" i="15"/>
  <c r="FG28" i="15"/>
  <c r="FF9" i="15"/>
  <c r="FA35" i="15"/>
  <c r="EZ35" i="15"/>
  <c r="FC35" i="15" s="1"/>
  <c r="EY35" i="15"/>
  <c r="FA34" i="15"/>
  <c r="EZ34" i="15"/>
  <c r="FC34" i="15" s="1"/>
  <c r="EY34" i="15"/>
  <c r="FA33" i="15"/>
  <c r="EZ33" i="15"/>
  <c r="FC33" i="15" s="1"/>
  <c r="EY33" i="15"/>
  <c r="FA32" i="15"/>
  <c r="EZ32" i="15"/>
  <c r="FC32" i="15" s="1"/>
  <c r="EY32" i="15"/>
  <c r="FA31" i="15"/>
  <c r="EZ31" i="15"/>
  <c r="FC31" i="15" s="1"/>
  <c r="EY31" i="15"/>
  <c r="FA30" i="15"/>
  <c r="EZ30" i="15"/>
  <c r="FC30" i="15" s="1"/>
  <c r="EY30" i="15"/>
  <c r="EZ29" i="15"/>
  <c r="FE28" i="15" s="1"/>
  <c r="FG21" i="15"/>
  <c r="FF21" i="15"/>
  <c r="FG20" i="15"/>
  <c r="FF20" i="15"/>
  <c r="FG19" i="15"/>
  <c r="FF19" i="15"/>
  <c r="FG18" i="15"/>
  <c r="FF18" i="15"/>
  <c r="FG17" i="15"/>
  <c r="FF17" i="15"/>
  <c r="FG16" i="15"/>
  <c r="FF16" i="15"/>
  <c r="FE15" i="15"/>
  <c r="FG14" i="15"/>
  <c r="FF14" i="15"/>
  <c r="FG13" i="15"/>
  <c r="FF13" i="15"/>
  <c r="FG12" i="15"/>
  <c r="FF12" i="15"/>
  <c r="FG11" i="15"/>
  <c r="FF11" i="15"/>
  <c r="FG10" i="15"/>
  <c r="FF10" i="15"/>
  <c r="V25" i="15"/>
  <c r="W25" i="15" s="1"/>
  <c r="X25" i="15" s="1"/>
  <c r="S18" i="15"/>
  <c r="T18" i="15" s="1"/>
  <c r="U18" i="15" s="1"/>
  <c r="P26" i="15"/>
  <c r="P25" i="15"/>
  <c r="P23" i="15"/>
  <c r="D192" i="15"/>
  <c r="J192" i="15" s="1"/>
  <c r="E192" i="15"/>
  <c r="L192" i="15" s="1"/>
  <c r="F192" i="15"/>
  <c r="M192" i="15" s="1"/>
  <c r="P24" i="15" s="1"/>
  <c r="G192" i="15"/>
  <c r="C192" i="15"/>
  <c r="I192" i="15" s="1"/>
  <c r="N179" i="15"/>
  <c r="P22" i="15"/>
  <c r="P21" i="15"/>
  <c r="P20" i="15"/>
  <c r="P19" i="15"/>
  <c r="Q19" i="15" s="1"/>
  <c r="R18" i="15"/>
  <c r="I33" i="16" l="1"/>
  <c r="I178" i="3"/>
  <c r="I148" i="3"/>
  <c r="I149" i="3"/>
  <c r="I52" i="16"/>
  <c r="GK9" i="15"/>
  <c r="G29" i="3" s="1"/>
  <c r="E17" i="13"/>
  <c r="K68" i="13"/>
  <c r="D13" i="13"/>
  <c r="I13" i="13" s="1"/>
  <c r="C47" i="13"/>
  <c r="H123" i="3"/>
  <c r="H180" i="3" s="1"/>
  <c r="F16" i="13"/>
  <c r="G16" i="13" s="1"/>
  <c r="F33" i="13"/>
  <c r="K55" i="13"/>
  <c r="F50" i="13"/>
  <c r="GU25" i="15"/>
  <c r="I51" i="13"/>
  <c r="I55" i="13" s="1"/>
  <c r="I56" i="13" s="1"/>
  <c r="F67" i="13"/>
  <c r="G67" i="13" s="1"/>
  <c r="K34" i="13"/>
  <c r="I27" i="16"/>
  <c r="I31" i="16"/>
  <c r="E51" i="13"/>
  <c r="D81" i="13"/>
  <c r="I81" i="13" s="1"/>
  <c r="I85" i="13" s="1"/>
  <c r="I89" i="13" s="1"/>
  <c r="V26" i="15"/>
  <c r="V27" i="15" s="1"/>
  <c r="K72" i="13"/>
  <c r="K38" i="13"/>
  <c r="K89" i="13"/>
  <c r="K51" i="13"/>
  <c r="D30" i="13"/>
  <c r="D64" i="13"/>
  <c r="I64" i="13" s="1"/>
  <c r="I68" i="13" s="1"/>
  <c r="I72" i="13" s="1"/>
  <c r="I40" i="16"/>
  <c r="I42" i="16"/>
  <c r="E45" i="13"/>
  <c r="E89" i="13"/>
  <c r="F55" i="3"/>
  <c r="F123" i="3" s="1"/>
  <c r="F180" i="3" s="1"/>
  <c r="I25" i="16"/>
  <c r="H48" i="16"/>
  <c r="I23" i="16"/>
  <c r="I59" i="16"/>
  <c r="I72" i="16"/>
  <c r="E61" i="16"/>
  <c r="I74" i="16" s="1"/>
  <c r="I68" i="16"/>
  <c r="H35" i="16"/>
  <c r="I36" i="16"/>
  <c r="I38" i="16"/>
  <c r="H61" i="16"/>
  <c r="E35" i="16"/>
  <c r="I35" i="16" s="1"/>
  <c r="I43" i="16"/>
  <c r="I44" i="16"/>
  <c r="I46" i="16"/>
  <c r="I57" i="16"/>
  <c r="I45" i="16"/>
  <c r="I24" i="16"/>
  <c r="I26" i="16"/>
  <c r="I28" i="16"/>
  <c r="I30" i="16"/>
  <c r="I32" i="16"/>
  <c r="I34" i="16"/>
  <c r="I41" i="16"/>
  <c r="I49" i="16"/>
  <c r="I51" i="16"/>
  <c r="I53" i="16"/>
  <c r="I55" i="16"/>
  <c r="I54" i="16"/>
  <c r="I56" i="16"/>
  <c r="I58" i="16"/>
  <c r="I37" i="16"/>
  <c r="I39" i="16"/>
  <c r="I47" i="16"/>
  <c r="K64" i="13"/>
  <c r="I17" i="13"/>
  <c r="I21" i="13" s="1"/>
  <c r="I22" i="13" s="1"/>
  <c r="I23" i="13" s="1"/>
  <c r="I24" i="13" s="1"/>
  <c r="E29" i="13"/>
  <c r="E30" i="13" s="1"/>
  <c r="G35" i="13"/>
  <c r="L35" i="13" s="1"/>
  <c r="G69" i="13"/>
  <c r="L69" i="13" s="1"/>
  <c r="G33" i="13"/>
  <c r="E21" i="13"/>
  <c r="G50" i="13"/>
  <c r="E68" i="13"/>
  <c r="E55" i="13"/>
  <c r="D55" i="3"/>
  <c r="D123" i="3" s="1"/>
  <c r="D180" i="3" s="1"/>
  <c r="E55" i="3"/>
  <c r="E123" i="3" s="1"/>
  <c r="E180" i="3" s="1"/>
  <c r="G55" i="3"/>
  <c r="G123" i="3" s="1"/>
  <c r="G180" i="3" s="1"/>
  <c r="E80" i="13"/>
  <c r="E81" i="13" s="1"/>
  <c r="K47" i="13"/>
  <c r="I30" i="13"/>
  <c r="I34" i="13" s="1"/>
  <c r="I38" i="13" s="1"/>
  <c r="I39" i="13" s="1"/>
  <c r="I40" i="13" s="1"/>
  <c r="I41" i="13" s="1"/>
  <c r="K30" i="13"/>
  <c r="E64" i="13"/>
  <c r="E47" i="13"/>
  <c r="E13" i="13"/>
  <c r="E25" i="13" s="1"/>
  <c r="E34" i="13"/>
  <c r="E38" i="13"/>
  <c r="FI34" i="15"/>
  <c r="FI31" i="15"/>
  <c r="V24" i="15"/>
  <c r="V23" i="15" s="1"/>
  <c r="FI32" i="15"/>
  <c r="FO15" i="15"/>
  <c r="GH15" i="15" s="1"/>
  <c r="FO16" i="15"/>
  <c r="GH16" i="15" s="1"/>
  <c r="FO17" i="15"/>
  <c r="GH17" i="15" s="1"/>
  <c r="FO14" i="15"/>
  <c r="FO18" i="15"/>
  <c r="GH18" i="15" s="1"/>
  <c r="FI33" i="15"/>
  <c r="K192" i="15"/>
  <c r="GU24" i="15"/>
  <c r="FE23" i="15"/>
  <c r="FE26" i="15"/>
  <c r="GU28" i="15"/>
  <c r="GU27" i="15"/>
  <c r="GU26" i="15"/>
  <c r="GU23" i="15"/>
  <c r="FE27" i="15"/>
  <c r="FI29" i="15"/>
  <c r="FE25" i="15"/>
  <c r="FI37" i="15"/>
  <c r="GY33" i="15"/>
  <c r="FE24" i="15"/>
  <c r="FI30" i="15"/>
  <c r="HI16" i="15"/>
  <c r="HK16" i="15" s="1"/>
  <c r="GY32" i="15"/>
  <c r="HI11" i="15"/>
  <c r="HK11" i="15" s="1"/>
  <c r="HI14" i="15"/>
  <c r="HK14" i="15" s="1"/>
  <c r="HI12" i="15"/>
  <c r="HK12" i="15" s="1"/>
  <c r="HI18" i="15"/>
  <c r="HK18" i="15" s="1"/>
  <c r="HI27" i="15"/>
  <c r="HK27" i="15" s="1"/>
  <c r="GY30" i="15"/>
  <c r="GY37" i="15"/>
  <c r="GY29" i="15"/>
  <c r="GY31" i="15"/>
  <c r="HI21" i="15"/>
  <c r="HK21" i="15" s="1"/>
  <c r="HI28" i="15"/>
  <c r="HK28" i="15" s="1"/>
  <c r="GY34" i="15"/>
  <c r="FS21" i="15"/>
  <c r="FU21" i="15" s="1"/>
  <c r="FS25" i="15"/>
  <c r="FU25" i="15" s="1"/>
  <c r="FS13" i="15"/>
  <c r="FU13" i="15" s="1"/>
  <c r="FS17" i="15"/>
  <c r="FU17" i="15" s="1"/>
  <c r="FS28" i="15"/>
  <c r="FU28" i="15" s="1"/>
  <c r="FS22" i="15"/>
  <c r="FU22" i="15" s="1"/>
  <c r="R19" i="15"/>
  <c r="Q20" i="15"/>
  <c r="S19" i="15"/>
  <c r="T19" i="15" s="1"/>
  <c r="U19" i="15" s="1"/>
  <c r="W27" i="15" l="1"/>
  <c r="X27" i="15" s="1"/>
  <c r="DD9" i="15" s="1"/>
  <c r="V28" i="15"/>
  <c r="W28" i="15" s="1"/>
  <c r="X28" i="15" s="1"/>
  <c r="W26" i="15"/>
  <c r="X26" i="15" s="1"/>
  <c r="EU9" i="15" s="1"/>
  <c r="L86" i="13"/>
  <c r="E93" i="13"/>
  <c r="L33" i="13"/>
  <c r="L180" i="3"/>
  <c r="E59" i="13"/>
  <c r="GE16" i="15"/>
  <c r="GF16" i="15" s="1"/>
  <c r="K81" i="13"/>
  <c r="E76" i="13"/>
  <c r="E42" i="13"/>
  <c r="I48" i="16"/>
  <c r="I61" i="16"/>
  <c r="L67" i="13"/>
  <c r="L50" i="13"/>
  <c r="L52" i="13"/>
  <c r="L84" i="13"/>
  <c r="I90" i="13"/>
  <c r="I91" i="13" s="1"/>
  <c r="I92" i="13" s="1"/>
  <c r="I73" i="13"/>
  <c r="I57" i="13"/>
  <c r="I25" i="13"/>
  <c r="W24" i="15"/>
  <c r="X24" i="15" s="1"/>
  <c r="IA9" i="15" s="1"/>
  <c r="HE18" i="15" s="1"/>
  <c r="HO18" i="15" s="1"/>
  <c r="FI36" i="15"/>
  <c r="FY16" i="15"/>
  <c r="V22" i="15"/>
  <c r="W23" i="15"/>
  <c r="X23" i="15" s="1"/>
  <c r="GY36" i="15"/>
  <c r="GE18" i="15"/>
  <c r="GF18" i="15" s="1"/>
  <c r="FY18" i="15"/>
  <c r="FY15" i="15"/>
  <c r="GE15" i="15"/>
  <c r="GF15" i="15" s="1"/>
  <c r="GE17" i="15"/>
  <c r="GF17" i="15" s="1"/>
  <c r="FY17" i="15"/>
  <c r="Q21" i="15"/>
  <c r="S20" i="15"/>
  <c r="T20" i="15" s="1"/>
  <c r="U20" i="15" s="1"/>
  <c r="R20" i="15"/>
  <c r="I29" i="3" l="1"/>
  <c r="CH16" i="15"/>
  <c r="H29" i="3"/>
  <c r="HE17" i="15"/>
  <c r="HX17" i="15" s="1"/>
  <c r="HE16" i="15"/>
  <c r="HO16" i="15" s="1"/>
  <c r="HP16" i="15" s="1"/>
  <c r="IF9" i="15"/>
  <c r="F29" i="3"/>
  <c r="HE15" i="15"/>
  <c r="HX15" i="15" s="1"/>
  <c r="HE14" i="15"/>
  <c r="HX14" i="15" s="1"/>
  <c r="I93" i="13"/>
  <c r="I74" i="13"/>
  <c r="I58" i="13"/>
  <c r="I59" i="13" s="1"/>
  <c r="HR18" i="15"/>
  <c r="HQ18" i="15"/>
  <c r="HP18" i="15"/>
  <c r="FZ16" i="15"/>
  <c r="GB16" i="15"/>
  <c r="GA16" i="15"/>
  <c r="GA15" i="15"/>
  <c r="GB15" i="15"/>
  <c r="FZ15" i="15"/>
  <c r="GA17" i="15"/>
  <c r="GB17" i="15"/>
  <c r="FZ17" i="15"/>
  <c r="GA18" i="15"/>
  <c r="FZ18" i="15"/>
  <c r="GB18" i="15"/>
  <c r="FJ14" i="15"/>
  <c r="FJ28" i="15"/>
  <c r="GZ17" i="15"/>
  <c r="HD20" i="15" s="1"/>
  <c r="HE20" i="15" s="1"/>
  <c r="GZ25" i="15"/>
  <c r="FJ31" i="15"/>
  <c r="FJ20" i="15"/>
  <c r="FN26" i="15" s="1"/>
  <c r="FO26" i="15" s="1"/>
  <c r="GZ19" i="15"/>
  <c r="HD22" i="15" s="1"/>
  <c r="HE22" i="15" s="1"/>
  <c r="FJ27" i="15"/>
  <c r="GZ26" i="15"/>
  <c r="GZ16" i="15"/>
  <c r="HD12" i="15" s="1"/>
  <c r="HE12" i="15" s="1"/>
  <c r="FJ19" i="15"/>
  <c r="FN22" i="15" s="1"/>
  <c r="FO22" i="15" s="1"/>
  <c r="FJ22" i="15"/>
  <c r="FJ10" i="15"/>
  <c r="FJ24" i="15"/>
  <c r="GZ23" i="15"/>
  <c r="HD13" i="15" s="1"/>
  <c r="HE13" i="15" s="1"/>
  <c r="FJ25" i="15"/>
  <c r="FJ16" i="15"/>
  <c r="FN12" i="15" s="1"/>
  <c r="FO12" i="15" s="1"/>
  <c r="GZ21" i="15"/>
  <c r="HD28" i="15" s="1"/>
  <c r="GZ10" i="15"/>
  <c r="HD19" i="15" s="1"/>
  <c r="HE19" i="15" s="1"/>
  <c r="GZ12" i="15"/>
  <c r="HD21" i="15" s="1"/>
  <c r="FJ15" i="15"/>
  <c r="FJ18" i="15"/>
  <c r="FN24" i="15" s="1"/>
  <c r="FO24" i="15" s="1"/>
  <c r="FJ17" i="15"/>
  <c r="FN20" i="15" s="1"/>
  <c r="FO20" i="15" s="1"/>
  <c r="GZ14" i="15"/>
  <c r="FJ23" i="15"/>
  <c r="FN13" i="15" s="1"/>
  <c r="FO13" i="15" s="1"/>
  <c r="GZ22" i="15"/>
  <c r="FJ12" i="15"/>
  <c r="FN21" i="15" s="1"/>
  <c r="FO21" i="15" s="1"/>
  <c r="GZ18" i="15"/>
  <c r="HD24" i="15" s="1"/>
  <c r="HE24" i="15" s="1"/>
  <c r="GZ15" i="15"/>
  <c r="GZ11" i="15"/>
  <c r="HD23" i="15" s="1"/>
  <c r="HE23" i="15" s="1"/>
  <c r="FJ9" i="15"/>
  <c r="FN11" i="15" s="1"/>
  <c r="FO11" i="15" s="1"/>
  <c r="FJ13" i="15"/>
  <c r="FJ34" i="15"/>
  <c r="FJ32" i="15"/>
  <c r="FJ21" i="15"/>
  <c r="FN28" i="15" s="1"/>
  <c r="GZ28" i="15"/>
  <c r="GZ27" i="15"/>
  <c r="GZ20" i="15"/>
  <c r="HD26" i="15" s="1"/>
  <c r="HE26" i="15" s="1"/>
  <c r="GZ24" i="15"/>
  <c r="GZ13" i="15"/>
  <c r="GZ9" i="15"/>
  <c r="HD11" i="15" s="1"/>
  <c r="FJ26" i="15"/>
  <c r="FJ11" i="15"/>
  <c r="FN23" i="15" s="1"/>
  <c r="FO23" i="15" s="1"/>
  <c r="HO14" i="15"/>
  <c r="FJ33" i="15"/>
  <c r="HX18" i="15"/>
  <c r="HU18" i="15"/>
  <c r="HV18" i="15" s="1"/>
  <c r="HX16" i="15"/>
  <c r="GZ32" i="15"/>
  <c r="V21" i="15"/>
  <c r="W22" i="15"/>
  <c r="X22" i="15" s="1"/>
  <c r="GZ30" i="15"/>
  <c r="GZ31" i="15"/>
  <c r="GZ29" i="15"/>
  <c r="GZ33" i="15"/>
  <c r="FJ30" i="15"/>
  <c r="FJ29" i="15"/>
  <c r="GZ34" i="15"/>
  <c r="GH14" i="15"/>
  <c r="FY14" i="15"/>
  <c r="GE14" i="15"/>
  <c r="GF14" i="15" s="1"/>
  <c r="R21" i="15"/>
  <c r="Q22" i="15"/>
  <c r="S21" i="15"/>
  <c r="T21" i="15" s="1"/>
  <c r="U21" i="15" s="1"/>
  <c r="HU16" i="15" l="1"/>
  <c r="HV16" i="15" s="1"/>
  <c r="HR16" i="15"/>
  <c r="HU17" i="15"/>
  <c r="HV17" i="15" s="1"/>
  <c r="BJ16" i="15"/>
  <c r="BG16" i="15"/>
  <c r="BH16" i="15" s="1"/>
  <c r="BA16" i="15"/>
  <c r="HU15" i="15"/>
  <c r="HV15" i="15" s="1"/>
  <c r="HO15" i="15"/>
  <c r="HR15" i="15" s="1"/>
  <c r="DA16" i="15"/>
  <c r="CX16" i="15"/>
  <c r="CY16" i="15" s="1"/>
  <c r="CR16" i="15"/>
  <c r="HO17" i="15"/>
  <c r="HQ17" i="15" s="1"/>
  <c r="HQ16" i="15"/>
  <c r="HU14" i="15"/>
  <c r="HV14" i="15" s="1"/>
  <c r="IK9" i="15"/>
  <c r="D29" i="3" s="1"/>
  <c r="E29" i="3"/>
  <c r="I75" i="13"/>
  <c r="HR14" i="15"/>
  <c r="HQ14" i="15"/>
  <c r="HP14" i="15"/>
  <c r="GA14" i="15"/>
  <c r="FZ14" i="15"/>
  <c r="GB14" i="15"/>
  <c r="V20" i="15"/>
  <c r="W21" i="15"/>
  <c r="X21" i="15" s="1"/>
  <c r="C29" i="3" s="1"/>
  <c r="HO23" i="15"/>
  <c r="HU23" i="15"/>
  <c r="HV23" i="15" s="1"/>
  <c r="HX23" i="15"/>
  <c r="HX12" i="15"/>
  <c r="HU12" i="15"/>
  <c r="HV12" i="15" s="1"/>
  <c r="HO12" i="15"/>
  <c r="FN19" i="15"/>
  <c r="FO19" i="15" s="1"/>
  <c r="HD27" i="15"/>
  <c r="HD25" i="15"/>
  <c r="FN25" i="15"/>
  <c r="FO25" i="15" s="1"/>
  <c r="FN27" i="15"/>
  <c r="HO24" i="15"/>
  <c r="HX24" i="15"/>
  <c r="HU24" i="15"/>
  <c r="HV24" i="15" s="1"/>
  <c r="HE21" i="15"/>
  <c r="HU26" i="15"/>
  <c r="HV26" i="15" s="1"/>
  <c r="HO26" i="15"/>
  <c r="HX26" i="15"/>
  <c r="GH24" i="15"/>
  <c r="GE24" i="15"/>
  <c r="GF24" i="15" s="1"/>
  <c r="FY24" i="15"/>
  <c r="HE28" i="15"/>
  <c r="HX28" i="15" s="1"/>
  <c r="GE26" i="15"/>
  <c r="GF26" i="15" s="1"/>
  <c r="FY26" i="15"/>
  <c r="GH26" i="15"/>
  <c r="HE11" i="15"/>
  <c r="GH13" i="15"/>
  <c r="FY13" i="15"/>
  <c r="GE13" i="15"/>
  <c r="GF13" i="15" s="1"/>
  <c r="GH12" i="15"/>
  <c r="GE12" i="15"/>
  <c r="GF12" i="15" s="1"/>
  <c r="FY12" i="15"/>
  <c r="GE23" i="15"/>
  <c r="GF23" i="15" s="1"/>
  <c r="GH23" i="15"/>
  <c r="FY23" i="15"/>
  <c r="FO28" i="15"/>
  <c r="GH28" i="15" s="1"/>
  <c r="GE11" i="15"/>
  <c r="GF11" i="15" s="1"/>
  <c r="GH11" i="15"/>
  <c r="FY11" i="15"/>
  <c r="GH21" i="15"/>
  <c r="FY21" i="15"/>
  <c r="GE21" i="15"/>
  <c r="GF21" i="15" s="1"/>
  <c r="GE20" i="15"/>
  <c r="GF20" i="15" s="1"/>
  <c r="GH20" i="15"/>
  <c r="FY20" i="15"/>
  <c r="HO19" i="15"/>
  <c r="HX19" i="15"/>
  <c r="HU19" i="15"/>
  <c r="HV19" i="15" s="1"/>
  <c r="HU13" i="15"/>
  <c r="HV13" i="15" s="1"/>
  <c r="HO13" i="15"/>
  <c r="HX13" i="15"/>
  <c r="GH22" i="15"/>
  <c r="GE22" i="15"/>
  <c r="GF22" i="15" s="1"/>
  <c r="FY22" i="15"/>
  <c r="HU22" i="15"/>
  <c r="HV22" i="15" s="1"/>
  <c r="HO22" i="15"/>
  <c r="HX22" i="15"/>
  <c r="HU20" i="15"/>
  <c r="HV20" i="15" s="1"/>
  <c r="HO20" i="15"/>
  <c r="HX20" i="15"/>
  <c r="Q23" i="15"/>
  <c r="S22" i="15"/>
  <c r="T22" i="15" s="1"/>
  <c r="U22" i="15" s="1"/>
  <c r="R22" i="15"/>
  <c r="HQ15" i="15" l="1"/>
  <c r="CT16" i="15"/>
  <c r="CU16" i="15"/>
  <c r="CS16" i="15"/>
  <c r="HP15" i="15"/>
  <c r="HP17" i="15"/>
  <c r="HR17" i="15"/>
  <c r="GM16" i="15"/>
  <c r="GM13" i="15"/>
  <c r="GL16" i="15"/>
  <c r="I76" i="13"/>
  <c r="HR12" i="15"/>
  <c r="HP12" i="15"/>
  <c r="HQ12" i="15"/>
  <c r="HR22" i="15"/>
  <c r="HQ22" i="15"/>
  <c r="HP22" i="15"/>
  <c r="HR26" i="15"/>
  <c r="HQ26" i="15"/>
  <c r="HP26" i="15"/>
  <c r="HP23" i="15"/>
  <c r="HQ23" i="15"/>
  <c r="HR23" i="15"/>
  <c r="HR20" i="15"/>
  <c r="HP20" i="15"/>
  <c r="HQ20" i="15"/>
  <c r="HR24" i="15"/>
  <c r="HP24" i="15"/>
  <c r="HQ24" i="15"/>
  <c r="HQ13" i="15"/>
  <c r="HR13" i="15"/>
  <c r="HP13" i="15"/>
  <c r="HP19" i="15"/>
  <c r="HQ19" i="15"/>
  <c r="HR19" i="15"/>
  <c r="FZ22" i="15"/>
  <c r="GA22" i="15"/>
  <c r="GB22" i="15"/>
  <c r="FZ20" i="15"/>
  <c r="GB20" i="15"/>
  <c r="GA20" i="15"/>
  <c r="GA21" i="15"/>
  <c r="GB21" i="15"/>
  <c r="FZ21" i="15"/>
  <c r="FZ12" i="15"/>
  <c r="GB12" i="15"/>
  <c r="GA12" i="15"/>
  <c r="GA13" i="15"/>
  <c r="GB13" i="15"/>
  <c r="FZ13" i="15"/>
  <c r="GA26" i="15"/>
  <c r="FZ26" i="15"/>
  <c r="GB26" i="15"/>
  <c r="FZ24" i="15"/>
  <c r="GA24" i="15"/>
  <c r="GB24" i="15"/>
  <c r="GA11" i="15"/>
  <c r="GB11" i="15"/>
  <c r="FZ11" i="15"/>
  <c r="GA23" i="15"/>
  <c r="GB23" i="15"/>
  <c r="FZ23" i="15"/>
  <c r="GL15" i="15"/>
  <c r="IB16" i="15"/>
  <c r="IG16" i="15" s="1"/>
  <c r="IL16" i="15" s="1"/>
  <c r="IC14" i="15"/>
  <c r="IH14" i="15" s="1"/>
  <c r="IM14" i="15" s="1"/>
  <c r="GL13" i="15"/>
  <c r="GL21" i="15" s="1"/>
  <c r="HO21" i="15"/>
  <c r="HU21" i="15"/>
  <c r="HV21" i="15" s="1"/>
  <c r="IB15" i="15" s="1"/>
  <c r="IG15" i="15" s="1"/>
  <c r="IL15" i="15" s="1"/>
  <c r="HE27" i="15"/>
  <c r="HX21" i="15"/>
  <c r="HU11" i="15"/>
  <c r="HO11" i="15"/>
  <c r="GH25" i="15"/>
  <c r="GM17" i="15" s="1"/>
  <c r="FY25" i="15"/>
  <c r="GE25" i="15"/>
  <c r="GF25" i="15" s="1"/>
  <c r="GL17" i="15" s="1"/>
  <c r="GE19" i="15"/>
  <c r="GF19" i="15" s="1"/>
  <c r="GL14" i="15" s="1"/>
  <c r="GL22" i="15" s="1"/>
  <c r="GH19" i="15"/>
  <c r="GM14" i="15" s="1"/>
  <c r="GM22" i="15" s="1"/>
  <c r="FO27" i="15"/>
  <c r="IB14" i="15"/>
  <c r="GM15" i="15"/>
  <c r="FY28" i="15"/>
  <c r="GE28" i="15"/>
  <c r="GF28" i="15" s="1"/>
  <c r="HX11" i="15"/>
  <c r="IC13" i="15" s="1"/>
  <c r="IH13" i="15" s="1"/>
  <c r="IM13" i="15" s="1"/>
  <c r="IM21" i="15" s="1"/>
  <c r="HU28" i="15"/>
  <c r="HV28" i="15" s="1"/>
  <c r="HO28" i="15"/>
  <c r="HE25" i="15"/>
  <c r="FY19" i="15"/>
  <c r="IC16" i="15"/>
  <c r="IH16" i="15" s="1"/>
  <c r="IM16" i="15" s="1"/>
  <c r="V19" i="15"/>
  <c r="W20" i="15"/>
  <c r="X20" i="15" s="1"/>
  <c r="GM21" i="15"/>
  <c r="R23" i="15"/>
  <c r="Q24" i="15"/>
  <c r="S23" i="15"/>
  <c r="T23" i="15" s="1"/>
  <c r="U23" i="15" s="1"/>
  <c r="CV16" i="15" l="1"/>
  <c r="IB22" i="15"/>
  <c r="IG14" i="15"/>
  <c r="IL14" i="15" s="1"/>
  <c r="IL22" i="15" s="1"/>
  <c r="IM22" i="15"/>
  <c r="K93" i="13"/>
  <c r="K76" i="13"/>
  <c r="HQ11" i="15"/>
  <c r="HR11" i="15"/>
  <c r="HP11" i="15"/>
  <c r="HR28" i="15"/>
  <c r="HP28" i="15"/>
  <c r="HQ28" i="15"/>
  <c r="HQ21" i="15"/>
  <c r="HR21" i="15"/>
  <c r="HP21" i="15"/>
  <c r="IC22" i="15"/>
  <c r="IC15" i="15"/>
  <c r="IH15" i="15" s="1"/>
  <c r="IM15" i="15" s="1"/>
  <c r="FZ28" i="15"/>
  <c r="GB28" i="15"/>
  <c r="GA28" i="15"/>
  <c r="GA25" i="15"/>
  <c r="GB25" i="15"/>
  <c r="FZ25" i="15"/>
  <c r="GC11" i="15"/>
  <c r="GA19" i="15"/>
  <c r="GB19" i="15"/>
  <c r="FZ19" i="15"/>
  <c r="IC21" i="15"/>
  <c r="FY27" i="15"/>
  <c r="GE27" i="15"/>
  <c r="HU27" i="15"/>
  <c r="HV27" i="15" s="1"/>
  <c r="IB18" i="15" s="1"/>
  <c r="IG18" i="15" s="1"/>
  <c r="IL18" i="15" s="1"/>
  <c r="HO27" i="15"/>
  <c r="W19" i="15"/>
  <c r="X19" i="15" s="1"/>
  <c r="V18" i="15"/>
  <c r="HX25" i="15"/>
  <c r="HU25" i="15"/>
  <c r="HV25" i="15" s="1"/>
  <c r="IB17" i="15" s="1"/>
  <c r="IG17" i="15" s="1"/>
  <c r="IL17" i="15" s="1"/>
  <c r="HO25" i="15"/>
  <c r="GH27" i="15"/>
  <c r="GM18" i="15" s="1"/>
  <c r="GM19" i="15" s="1"/>
  <c r="HV11" i="15"/>
  <c r="HX27" i="15"/>
  <c r="Q25" i="15"/>
  <c r="Q30" i="15" s="1"/>
  <c r="S24" i="15"/>
  <c r="T24" i="15" s="1"/>
  <c r="U24" i="15" s="1"/>
  <c r="R24" i="15"/>
  <c r="IL23" i="15" l="1"/>
  <c r="IC18" i="15"/>
  <c r="IH18" i="15" s="1"/>
  <c r="IM18" i="15" s="1"/>
  <c r="HP27" i="15"/>
  <c r="HQ27" i="15"/>
  <c r="HR27" i="15"/>
  <c r="IC17" i="15"/>
  <c r="IH17" i="15" s="1"/>
  <c r="IM17" i="15" s="1"/>
  <c r="IM19" i="15" s="1"/>
  <c r="HO30" i="15"/>
  <c r="HQ25" i="15"/>
  <c r="HR25" i="15"/>
  <c r="HP25" i="15"/>
  <c r="FY30" i="15"/>
  <c r="GA27" i="15"/>
  <c r="GB27" i="15"/>
  <c r="FZ27" i="15"/>
  <c r="GM23" i="15"/>
  <c r="GM24" i="15" s="1"/>
  <c r="GH30" i="15"/>
  <c r="IB23" i="15"/>
  <c r="HV30" i="15"/>
  <c r="IB13" i="15"/>
  <c r="IG13" i="15" s="1"/>
  <c r="GF27" i="15"/>
  <c r="GE30" i="15"/>
  <c r="HX30" i="15"/>
  <c r="Q26" i="15"/>
  <c r="Q27" i="15" s="1"/>
  <c r="HU30" i="15"/>
  <c r="W18" i="15"/>
  <c r="V30" i="15"/>
  <c r="R25" i="15"/>
  <c r="R30" i="15" s="1"/>
  <c r="S25" i="15"/>
  <c r="S30" i="15" s="1"/>
  <c r="Q28" i="15" l="1"/>
  <c r="S27" i="15"/>
  <c r="T27" i="15" s="1"/>
  <c r="U27" i="15" s="1"/>
  <c r="R27" i="15"/>
  <c r="R26" i="15"/>
  <c r="IG21" i="15"/>
  <c r="IL13" i="15"/>
  <c r="IC23" i="15"/>
  <c r="IC24" i="15" s="1"/>
  <c r="GM26" i="15" s="1"/>
  <c r="IM23" i="15"/>
  <c r="IM24" i="15" s="1"/>
  <c r="IH21" i="15"/>
  <c r="IC19" i="15"/>
  <c r="S26" i="15"/>
  <c r="T26" i="15" s="1"/>
  <c r="U26" i="15" s="1"/>
  <c r="GL18" i="15"/>
  <c r="GF30" i="15"/>
  <c r="T25" i="15"/>
  <c r="IB19" i="15"/>
  <c r="IB21" i="15"/>
  <c r="IB24" i="15" s="1"/>
  <c r="X18" i="15"/>
  <c r="X30" i="15" s="1"/>
  <c r="W30" i="15"/>
  <c r="R28" i="15" l="1"/>
  <c r="S28" i="15"/>
  <c r="T28" i="15" s="1"/>
  <c r="U28" i="15" s="1"/>
  <c r="IL21" i="15"/>
  <c r="IL24" i="15" s="1"/>
  <c r="IL19" i="15"/>
  <c r="IH22" i="15"/>
  <c r="U25" i="15"/>
  <c r="U30" i="15" s="1"/>
  <c r="T30" i="15"/>
  <c r="GL23" i="15"/>
  <c r="GL24" i="15" s="1"/>
  <c r="GL26" i="15" s="1"/>
  <c r="GL19" i="15"/>
  <c r="W74" i="10" l="1"/>
  <c r="W72" i="10" s="1"/>
  <c r="V83" i="10"/>
  <c r="X83" i="10" s="1"/>
  <c r="V82" i="10"/>
  <c r="X82" i="10" s="1"/>
  <c r="U61" i="10"/>
  <c r="V61" i="10" s="1"/>
  <c r="W61" i="10" s="1"/>
  <c r="BM40" i="10"/>
  <c r="EA14" i="15"/>
  <c r="EC14" i="15" s="1"/>
  <c r="EE14" i="15" s="1"/>
  <c r="EA15" i="15"/>
  <c r="EC15" i="15" s="1"/>
  <c r="EE15" i="15" s="1"/>
  <c r="EA16" i="15"/>
  <c r="EC16" i="15" s="1"/>
  <c r="EE16" i="15" s="1"/>
  <c r="EA17" i="15"/>
  <c r="EC17" i="15" s="1"/>
  <c r="EE17" i="15" s="1"/>
  <c r="DV27" i="15"/>
  <c r="DV25" i="15"/>
  <c r="DY16" i="15"/>
  <c r="ER16" i="15" s="1"/>
  <c r="EH28" i="15"/>
  <c r="EG28" i="15"/>
  <c r="EA28" i="15"/>
  <c r="EC28" i="15" s="1"/>
  <c r="EE28" i="15" s="1"/>
  <c r="EH27" i="15"/>
  <c r="EG27" i="15"/>
  <c r="EA27" i="15"/>
  <c r="EC27" i="15" s="1"/>
  <c r="EE27" i="15" s="1"/>
  <c r="EH26" i="15"/>
  <c r="EG26" i="15"/>
  <c r="EA26" i="15"/>
  <c r="EC26" i="15" s="1"/>
  <c r="EE26" i="15" s="1"/>
  <c r="EH25" i="15"/>
  <c r="EG25" i="15"/>
  <c r="EA25" i="15"/>
  <c r="EC25" i="15" s="1"/>
  <c r="EE25" i="15" s="1"/>
  <c r="EH24" i="15"/>
  <c r="EG24" i="15"/>
  <c r="EA24" i="15"/>
  <c r="EC24" i="15" s="1"/>
  <c r="EE24" i="15" s="1"/>
  <c r="EH23" i="15"/>
  <c r="EG23" i="15"/>
  <c r="EA23" i="15"/>
  <c r="EC23" i="15" s="1"/>
  <c r="EE23" i="15" s="1"/>
  <c r="EA22" i="15"/>
  <c r="EC22" i="15" s="1"/>
  <c r="EE22" i="15" s="1"/>
  <c r="EA21" i="15"/>
  <c r="EC21" i="15" s="1"/>
  <c r="EE21" i="15" s="1"/>
  <c r="EA20" i="15"/>
  <c r="EC20" i="15" s="1"/>
  <c r="EE20" i="15" s="1"/>
  <c r="EA19" i="15"/>
  <c r="EC19" i="15" s="1"/>
  <c r="EE19" i="15" s="1"/>
  <c r="EH18" i="15"/>
  <c r="EG18" i="15"/>
  <c r="EA18" i="15"/>
  <c r="EC18" i="15" s="1"/>
  <c r="EE18" i="15" s="1"/>
  <c r="EA13" i="15"/>
  <c r="EC13" i="15" s="1"/>
  <c r="EE13" i="15" s="1"/>
  <c r="EH12" i="15"/>
  <c r="EG12" i="15"/>
  <c r="EA12" i="15"/>
  <c r="EC12" i="15" s="1"/>
  <c r="EE12" i="15" s="1"/>
  <c r="EH11" i="15"/>
  <c r="EA11" i="15"/>
  <c r="DS10" i="15"/>
  <c r="DS11" i="15"/>
  <c r="DS12" i="15"/>
  <c r="DS13" i="15"/>
  <c r="DS15" i="15"/>
  <c r="DS16" i="15"/>
  <c r="DS17" i="15"/>
  <c r="DS18" i="15"/>
  <c r="DS19" i="15"/>
  <c r="DS34" i="15"/>
  <c r="DS21" i="15"/>
  <c r="DS22" i="15"/>
  <c r="DS24" i="15"/>
  <c r="DS25" i="15"/>
  <c r="DS27" i="15"/>
  <c r="DS28" i="15"/>
  <c r="DS29" i="15"/>
  <c r="DS9" i="15"/>
  <c r="DO22" i="15"/>
  <c r="AN20" i="10"/>
  <c r="AG20" i="10"/>
  <c r="DR31" i="15"/>
  <c r="DR32" i="15"/>
  <c r="DR33" i="15"/>
  <c r="DR34" i="15"/>
  <c r="DR35" i="15"/>
  <c r="DQ24" i="15"/>
  <c r="DQ25" i="15"/>
  <c r="DQ26" i="15"/>
  <c r="DQ27" i="15"/>
  <c r="DQ28" i="15"/>
  <c r="DQ23" i="15"/>
  <c r="DP24" i="15"/>
  <c r="DP25" i="15"/>
  <c r="DP26" i="15"/>
  <c r="DP27" i="15"/>
  <c r="DP28" i="15"/>
  <c r="DP21" i="15"/>
  <c r="DQ17" i="15"/>
  <c r="DQ18" i="15"/>
  <c r="DQ19" i="15"/>
  <c r="DQ20" i="15"/>
  <c r="DQ21" i="15"/>
  <c r="DQ16" i="15"/>
  <c r="DP17" i="15"/>
  <c r="DP18" i="15"/>
  <c r="DP19" i="15"/>
  <c r="DP20" i="15"/>
  <c r="DP16" i="15"/>
  <c r="AN6" i="10"/>
  <c r="AE6" i="10"/>
  <c r="DQ9" i="15"/>
  <c r="DQ10" i="15"/>
  <c r="DQ11" i="15"/>
  <c r="DQ12" i="15"/>
  <c r="DQ13" i="15"/>
  <c r="DQ14" i="15"/>
  <c r="DP10" i="15"/>
  <c r="DP11" i="15"/>
  <c r="DP12" i="15"/>
  <c r="DP13" i="15"/>
  <c r="DP14" i="15"/>
  <c r="DP9" i="15"/>
  <c r="AC12" i="10"/>
  <c r="AD6" i="10"/>
  <c r="AG6" i="10" s="1"/>
  <c r="Y74" i="10"/>
  <c r="Y73" i="10"/>
  <c r="X76" i="10"/>
  <c r="AG78" i="10"/>
  <c r="AG77" i="10"/>
  <c r="T61" i="10"/>
  <c r="DP35" i="15" l="1"/>
  <c r="DP30" i="15"/>
  <c r="DP32" i="15"/>
  <c r="BY35" i="15"/>
  <c r="BY34" i="15"/>
  <c r="BY33" i="15"/>
  <c r="BY31" i="15"/>
  <c r="BY32" i="15"/>
  <c r="BY30" i="15"/>
  <c r="DS30" i="15"/>
  <c r="DS32" i="15"/>
  <c r="DS31" i="15"/>
  <c r="DS35" i="15"/>
  <c r="DS33" i="15"/>
  <c r="EC11" i="15"/>
  <c r="EE11" i="15" s="1"/>
  <c r="DR36" i="15"/>
  <c r="DP34" i="15"/>
  <c r="EI16" i="15"/>
  <c r="EO16" i="15"/>
  <c r="EP16" i="15" s="1"/>
  <c r="X26" i="10"/>
  <c r="AD20" i="10" s="1"/>
  <c r="P97" i="15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DS36" i="15" l="1"/>
  <c r="CC26" i="15" s="1"/>
  <c r="DT12" i="15"/>
  <c r="DX21" i="15" s="1"/>
  <c r="DY21" i="15" s="1"/>
  <c r="EO21" i="15" s="1"/>
  <c r="EP21" i="15" s="1"/>
  <c r="DT32" i="15"/>
  <c r="DT16" i="15"/>
  <c r="DX12" i="15" s="1"/>
  <c r="DY12" i="15" s="1"/>
  <c r="EI12" i="15" s="1"/>
  <c r="DT15" i="15"/>
  <c r="DX22" i="15"/>
  <c r="DY22" i="15" s="1"/>
  <c r="EO22" i="15" s="1"/>
  <c r="EP22" i="15" s="1"/>
  <c r="DT10" i="15"/>
  <c r="DX19" i="15" s="1"/>
  <c r="DY19" i="15" s="1"/>
  <c r="EO19" i="15" s="1"/>
  <c r="EP19" i="15" s="1"/>
  <c r="DT35" i="15"/>
  <c r="DT21" i="15"/>
  <c r="DX28" i="15" s="1"/>
  <c r="DY28" i="15" s="1"/>
  <c r="EI28" i="15" s="1"/>
  <c r="DT26" i="15"/>
  <c r="DT24" i="15"/>
  <c r="DX14" i="15" s="1"/>
  <c r="DY14" i="15" s="1"/>
  <c r="EI14" i="15" s="1"/>
  <c r="DT18" i="15"/>
  <c r="DX24" i="15" s="1"/>
  <c r="DY24" i="15" s="1"/>
  <c r="EI24" i="15" s="1"/>
  <c r="DT25" i="15"/>
  <c r="DX15" i="15" s="1"/>
  <c r="DY15" i="15" s="1"/>
  <c r="EI15" i="15" s="1"/>
  <c r="DT33" i="15"/>
  <c r="EL16" i="15"/>
  <c r="EJ16" i="15"/>
  <c r="EK16" i="15"/>
  <c r="P116" i="15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P225" i="15" s="1"/>
  <c r="P226" i="15" s="1"/>
  <c r="P227" i="15" s="1"/>
  <c r="P228" i="15" s="1"/>
  <c r="P229" i="15" s="1"/>
  <c r="P230" i="15" s="1"/>
  <c r="DT29" i="15"/>
  <c r="DT30" i="15"/>
  <c r="BE22" i="11"/>
  <c r="AZ64" i="11"/>
  <c r="BA64" i="11" s="1"/>
  <c r="AZ63" i="11"/>
  <c r="BA63" i="11" s="1"/>
  <c r="AZ62" i="11"/>
  <c r="AZ60" i="11"/>
  <c r="BA60" i="11" s="1"/>
  <c r="AZ59" i="11"/>
  <c r="BA59" i="11" s="1"/>
  <c r="AZ57" i="11"/>
  <c r="BA57" i="11" s="1"/>
  <c r="AZ56" i="11"/>
  <c r="BA56" i="11" s="1"/>
  <c r="AZ55" i="11"/>
  <c r="BA55" i="11" s="1"/>
  <c r="AZ53" i="11"/>
  <c r="BA53" i="11" s="1"/>
  <c r="AZ52" i="11"/>
  <c r="BA52" i="11" s="1"/>
  <c r="AZ51" i="11"/>
  <c r="BA51" i="11" s="1"/>
  <c r="AZ49" i="11"/>
  <c r="BA49" i="11" s="1"/>
  <c r="AZ48" i="11"/>
  <c r="BA48" i="11" s="1"/>
  <c r="AZ46" i="11"/>
  <c r="BA46" i="11" s="1"/>
  <c r="AZ45" i="11"/>
  <c r="BA45" i="11" s="1"/>
  <c r="AZ44" i="11"/>
  <c r="BA44" i="11" s="1"/>
  <c r="AZ42" i="11"/>
  <c r="BA42" i="11" s="1"/>
  <c r="AZ41" i="11"/>
  <c r="BA41" i="11" s="1"/>
  <c r="AZ40" i="11"/>
  <c r="BA40" i="11" s="1"/>
  <c r="AZ38" i="11"/>
  <c r="BA38" i="11" s="1"/>
  <c r="AZ37" i="11"/>
  <c r="BA37" i="11" s="1"/>
  <c r="AZ35" i="11"/>
  <c r="BA35" i="11" s="1"/>
  <c r="AZ34" i="11"/>
  <c r="BA34" i="11" s="1"/>
  <c r="AZ33" i="11"/>
  <c r="BA33" i="11" s="1"/>
  <c r="AZ31" i="11"/>
  <c r="BA31" i="11" s="1"/>
  <c r="AZ30" i="11"/>
  <c r="BA30" i="11" s="1"/>
  <c r="AZ29" i="11"/>
  <c r="BA29" i="11" s="1"/>
  <c r="AZ27" i="11"/>
  <c r="BA27" i="11" s="1"/>
  <c r="AZ26" i="11"/>
  <c r="BA26" i="11" s="1"/>
  <c r="AZ24" i="11"/>
  <c r="BA24" i="11" s="1"/>
  <c r="AZ23" i="11"/>
  <c r="BA23" i="11" s="1"/>
  <c r="AZ22" i="11"/>
  <c r="BA22" i="11" s="1"/>
  <c r="AZ20" i="11"/>
  <c r="BA20" i="11" s="1"/>
  <c r="AZ19" i="11"/>
  <c r="BA19" i="11" s="1"/>
  <c r="AZ18" i="11"/>
  <c r="BA18" i="11" s="1"/>
  <c r="AZ16" i="11"/>
  <c r="BA16" i="11" s="1"/>
  <c r="AZ15" i="11"/>
  <c r="BA15" i="11" s="1"/>
  <c r="AZ13" i="11"/>
  <c r="BA13" i="11" s="1"/>
  <c r="AZ12" i="11"/>
  <c r="BA12" i="11" s="1"/>
  <c r="AZ11" i="11"/>
  <c r="BA11" i="11" s="1"/>
  <c r="BB11" i="11"/>
  <c r="BQ13" i="11"/>
  <c r="BQ12" i="11"/>
  <c r="BO47" i="11"/>
  <c r="BP47" i="11" s="1"/>
  <c r="BQ47" i="11" s="1"/>
  <c r="AX65" i="11"/>
  <c r="BO46" i="11"/>
  <c r="BP46" i="11" s="1"/>
  <c r="BP45" i="11"/>
  <c r="BQ49" i="11" s="1"/>
  <c r="BB62" i="11"/>
  <c r="AY61" i="11"/>
  <c r="BE60" i="11"/>
  <c r="BB60" i="11"/>
  <c r="BH60" i="11" s="1"/>
  <c r="BE59" i="11"/>
  <c r="BB59" i="11"/>
  <c r="BB58" i="11"/>
  <c r="AY58" i="11"/>
  <c r="BE57" i="11"/>
  <c r="BB57" i="11"/>
  <c r="BE56" i="11"/>
  <c r="BB56" i="11"/>
  <c r="BH56" i="11" s="1"/>
  <c r="BE55" i="11"/>
  <c r="BD55" i="11"/>
  <c r="BB55" i="11"/>
  <c r="AX54" i="11"/>
  <c r="AY53" i="11"/>
  <c r="AY52" i="11"/>
  <c r="AY51" i="11"/>
  <c r="AY50" i="11"/>
  <c r="BE49" i="11"/>
  <c r="BB49" i="11"/>
  <c r="BE48" i="11"/>
  <c r="BB48" i="11"/>
  <c r="BB47" i="11"/>
  <c r="AY47" i="11"/>
  <c r="BE46" i="11"/>
  <c r="BB46" i="11"/>
  <c r="BH46" i="11" s="1"/>
  <c r="BE45" i="11"/>
  <c r="BB45" i="11"/>
  <c r="BE44" i="11"/>
  <c r="BD44" i="11"/>
  <c r="BB44" i="11"/>
  <c r="AX43" i="11"/>
  <c r="AY42" i="11"/>
  <c r="AY41" i="11"/>
  <c r="AY40" i="11"/>
  <c r="BB40" i="11" s="1"/>
  <c r="AY39" i="11"/>
  <c r="BB39" i="11" s="1"/>
  <c r="BE38" i="11"/>
  <c r="BB38" i="11"/>
  <c r="BE37" i="11"/>
  <c r="BB37" i="11"/>
  <c r="BB36" i="11"/>
  <c r="BH36" i="11" s="1"/>
  <c r="AY36" i="11"/>
  <c r="BE35" i="11"/>
  <c r="BB35" i="11"/>
  <c r="BE34" i="11"/>
  <c r="BB34" i="11"/>
  <c r="BE33" i="11"/>
  <c r="BD33" i="11"/>
  <c r="BB33" i="11"/>
  <c r="AX32" i="11"/>
  <c r="AY31" i="11"/>
  <c r="AY30" i="11"/>
  <c r="AY29" i="11"/>
  <c r="BB29" i="11" s="1"/>
  <c r="AY28" i="11"/>
  <c r="BE27" i="11"/>
  <c r="BB27" i="11"/>
  <c r="BE26" i="11"/>
  <c r="BB26" i="11"/>
  <c r="BH26" i="11" s="1"/>
  <c r="BB25" i="11"/>
  <c r="AY25" i="11"/>
  <c r="BE24" i="11"/>
  <c r="BB24" i="11"/>
  <c r="BE23" i="11"/>
  <c r="BB23" i="11"/>
  <c r="BH23" i="11" s="1"/>
  <c r="BD22" i="11"/>
  <c r="BB22" i="11"/>
  <c r="BH22" i="11" s="1"/>
  <c r="AX21" i="11"/>
  <c r="AY20" i="11"/>
  <c r="AY19" i="11"/>
  <c r="AY18" i="11"/>
  <c r="BB18" i="11" s="1"/>
  <c r="AY17" i="11"/>
  <c r="BB17" i="11" s="1"/>
  <c r="BB16" i="11"/>
  <c r="BB15" i="11"/>
  <c r="BB14" i="11"/>
  <c r="AY14" i="11"/>
  <c r="BB13" i="11"/>
  <c r="BB12" i="11"/>
  <c r="P231" i="15" l="1"/>
  <c r="P232" i="15" s="1"/>
  <c r="CC23" i="15"/>
  <c r="AP11" i="15"/>
  <c r="AP12" i="15"/>
  <c r="DT9" i="15"/>
  <c r="DX11" i="15" s="1"/>
  <c r="DY11" i="15" s="1"/>
  <c r="EO11" i="15" s="1"/>
  <c r="EP11" i="15" s="1"/>
  <c r="DT22" i="15"/>
  <c r="DT11" i="15"/>
  <c r="DX23" i="15" s="1"/>
  <c r="DY23" i="15" s="1"/>
  <c r="EO23" i="15" s="1"/>
  <c r="EP23" i="15" s="1"/>
  <c r="DT23" i="15"/>
  <c r="DX13" i="15" s="1"/>
  <c r="DY13" i="15" s="1"/>
  <c r="EI13" i="15" s="1"/>
  <c r="DT31" i="15"/>
  <c r="DX20" i="15"/>
  <c r="DY20" i="15" s="1"/>
  <c r="CC29" i="15"/>
  <c r="CC22" i="15"/>
  <c r="CC20" i="15"/>
  <c r="CG26" i="15" s="1"/>
  <c r="CH26" i="15" s="1"/>
  <c r="CC12" i="15"/>
  <c r="CG21" i="15" s="1"/>
  <c r="CH21" i="15" s="1"/>
  <c r="CC10" i="15"/>
  <c r="CG19" i="15" s="1"/>
  <c r="CH19" i="15" s="1"/>
  <c r="CC28" i="15"/>
  <c r="CG18" i="15" s="1"/>
  <c r="CH18" i="15" s="1"/>
  <c r="CC14" i="15"/>
  <c r="CC9" i="15"/>
  <c r="CC16" i="15"/>
  <c r="CG14" i="15"/>
  <c r="CH14" i="15" s="1"/>
  <c r="CC18" i="15"/>
  <c r="CG24" i="15" s="1"/>
  <c r="CH24" i="15" s="1"/>
  <c r="CC21" i="15"/>
  <c r="CG28" i="15" s="1"/>
  <c r="CH28" i="15" s="1"/>
  <c r="CC15" i="15"/>
  <c r="CC13" i="15"/>
  <c r="CC34" i="15"/>
  <c r="CG22" i="15"/>
  <c r="CH22" i="15" s="1"/>
  <c r="CC17" i="15"/>
  <c r="CG20" i="15" s="1"/>
  <c r="CH20" i="15" s="1"/>
  <c r="CG13" i="15"/>
  <c r="CH13" i="15" s="1"/>
  <c r="CC35" i="15"/>
  <c r="CC27" i="15"/>
  <c r="CG17" i="15" s="1"/>
  <c r="CH17" i="15" s="1"/>
  <c r="CC33" i="15"/>
  <c r="CC31" i="15"/>
  <c r="CC30" i="15"/>
  <c r="CC25" i="15"/>
  <c r="CG15" i="15" s="1"/>
  <c r="CH15" i="15" s="1"/>
  <c r="CC32" i="15"/>
  <c r="CC11" i="15"/>
  <c r="CG23" i="15" s="1"/>
  <c r="CH23" i="15" s="1"/>
  <c r="DT34" i="15"/>
  <c r="DX18" i="15"/>
  <c r="DY18" i="15" s="1"/>
  <c r="ER18" i="15" s="1"/>
  <c r="DT27" i="15"/>
  <c r="DX17" i="15" s="1"/>
  <c r="DY17" i="15" s="1"/>
  <c r="ER17" i="15" s="1"/>
  <c r="DX26" i="15"/>
  <c r="DY26" i="15" s="1"/>
  <c r="EO26" i="15" s="1"/>
  <c r="EP26" i="15" s="1"/>
  <c r="DT14" i="15"/>
  <c r="DT13" i="15"/>
  <c r="DX27" i="15" s="1"/>
  <c r="DY27" i="15" s="1"/>
  <c r="ER27" i="15" s="1"/>
  <c r="EI38" i="15"/>
  <c r="EM16" i="15"/>
  <c r="BH29" i="11"/>
  <c r="BH34" i="11"/>
  <c r="BH35" i="11"/>
  <c r="BH45" i="11"/>
  <c r="BH49" i="11"/>
  <c r="BH59" i="11"/>
  <c r="BH38" i="11"/>
  <c r="BH40" i="11"/>
  <c r="BH57" i="11"/>
  <c r="BH37" i="11"/>
  <c r="BH27" i="11"/>
  <c r="BH44" i="11"/>
  <c r="BH47" i="11"/>
  <c r="BH48" i="11"/>
  <c r="ER21" i="15"/>
  <c r="BH33" i="11"/>
  <c r="BH24" i="11"/>
  <c r="BH55" i="11"/>
  <c r="BH58" i="11"/>
  <c r="EI21" i="15"/>
  <c r="BH25" i="11"/>
  <c r="BG52" i="11"/>
  <c r="ER12" i="15"/>
  <c r="EO12" i="15"/>
  <c r="EP12" i="15" s="1"/>
  <c r="HS16" i="15"/>
  <c r="GC16" i="15"/>
  <c r="HS28" i="15"/>
  <c r="EL28" i="15"/>
  <c r="EV15" i="15"/>
  <c r="EK28" i="15"/>
  <c r="EJ28" i="15"/>
  <c r="EO15" i="15"/>
  <c r="EP15" i="15" s="1"/>
  <c r="ER15" i="15"/>
  <c r="EO24" i="15"/>
  <c r="EP24" i="15" s="1"/>
  <c r="ER24" i="15"/>
  <c r="EI19" i="15"/>
  <c r="ER19" i="15"/>
  <c r="EO14" i="15"/>
  <c r="EP14" i="15" s="1"/>
  <c r="ER14" i="15"/>
  <c r="EO28" i="15"/>
  <c r="EP28" i="15" s="1"/>
  <c r="ER28" i="15"/>
  <c r="EI22" i="15"/>
  <c r="ER22" i="15"/>
  <c r="EL14" i="15"/>
  <c r="EK14" i="15"/>
  <c r="EJ14" i="15"/>
  <c r="EJ15" i="15"/>
  <c r="EK15" i="15"/>
  <c r="EL15" i="15"/>
  <c r="EL24" i="15"/>
  <c r="EJ24" i="15"/>
  <c r="EK24" i="15"/>
  <c r="EL12" i="15"/>
  <c r="EJ12" i="15"/>
  <c r="EK12" i="15"/>
  <c r="BE28" i="11"/>
  <c r="BE36" i="11"/>
  <c r="BE50" i="11"/>
  <c r="BE42" i="11"/>
  <c r="BG63" i="11"/>
  <c r="BC59" i="11"/>
  <c r="BC15" i="11"/>
  <c r="BC37" i="11"/>
  <c r="BC48" i="11"/>
  <c r="BC11" i="11"/>
  <c r="BC26" i="11"/>
  <c r="BE62" i="11"/>
  <c r="BB50" i="11"/>
  <c r="BH50" i="11" s="1"/>
  <c r="BB51" i="11"/>
  <c r="BH51" i="11" s="1"/>
  <c r="BC18" i="11"/>
  <c r="BB28" i="11"/>
  <c r="BH28" i="11" s="1"/>
  <c r="BE25" i="11"/>
  <c r="BE29" i="11"/>
  <c r="BE39" i="11"/>
  <c r="BE51" i="11"/>
  <c r="BE61" i="11"/>
  <c r="BE40" i="11"/>
  <c r="BE31" i="11"/>
  <c r="BB61" i="11"/>
  <c r="BG31" i="11"/>
  <c r="BG41" i="11"/>
  <c r="BE47" i="11"/>
  <c r="BE53" i="11"/>
  <c r="BE58" i="11"/>
  <c r="BQ45" i="11"/>
  <c r="BE63" i="11"/>
  <c r="BB64" i="11"/>
  <c r="BB63" i="11"/>
  <c r="AY21" i="11"/>
  <c r="BE30" i="11"/>
  <c r="BB31" i="11"/>
  <c r="BB30" i="11"/>
  <c r="AY32" i="11"/>
  <c r="BE41" i="11"/>
  <c r="BB42" i="11"/>
  <c r="BB41" i="11"/>
  <c r="AY43" i="11"/>
  <c r="BE52" i="11"/>
  <c r="AY54" i="11"/>
  <c r="BB53" i="11"/>
  <c r="BB52" i="11"/>
  <c r="BE64" i="11"/>
  <c r="BQ50" i="11"/>
  <c r="BQ46" i="11"/>
  <c r="BB19" i="11"/>
  <c r="BB20" i="11"/>
  <c r="BB21" i="11" s="1"/>
  <c r="AY65" i="11"/>
  <c r="BQ51" i="11"/>
  <c r="EI23" i="15" l="1"/>
  <c r="P233" i="15"/>
  <c r="P234" i="15" s="1"/>
  <c r="P235" i="15" s="1"/>
  <c r="P236" i="15" s="1"/>
  <c r="P237" i="15" s="1"/>
  <c r="P238" i="15" s="1"/>
  <c r="P239" i="15" s="1"/>
  <c r="P240" i="15" s="1"/>
  <c r="P241" i="15" s="1"/>
  <c r="P242" i="15" s="1"/>
  <c r="P243" i="15" s="1"/>
  <c r="P244" i="15" s="1"/>
  <c r="AP20" i="15"/>
  <c r="EI27" i="15"/>
  <c r="EK27" i="15" s="1"/>
  <c r="AP21" i="15"/>
  <c r="AP22" i="15"/>
  <c r="AP15" i="15"/>
  <c r="AP24" i="15"/>
  <c r="AP17" i="15"/>
  <c r="AP19" i="15"/>
  <c r="AP26" i="15"/>
  <c r="AP18" i="15"/>
  <c r="AP13" i="15"/>
  <c r="AP14" i="15"/>
  <c r="BJ14" i="15" s="1"/>
  <c r="AP23" i="15"/>
  <c r="AP28" i="15"/>
  <c r="AP27" i="15"/>
  <c r="AP25" i="15"/>
  <c r="EO13" i="15"/>
  <c r="EP13" i="15" s="1"/>
  <c r="BJ12" i="15"/>
  <c r="BA12" i="15"/>
  <c r="BG12" i="15"/>
  <c r="BH12" i="15" s="1"/>
  <c r="ER13" i="15"/>
  <c r="ER23" i="15"/>
  <c r="EW16" i="15" s="1"/>
  <c r="CG12" i="15"/>
  <c r="CH12" i="15" s="1"/>
  <c r="CG11" i="15"/>
  <c r="EO27" i="15"/>
  <c r="EP27" i="15" s="1"/>
  <c r="EW18" i="15"/>
  <c r="DX25" i="15"/>
  <c r="DY25" i="15" s="1"/>
  <c r="ER25" i="15" s="1"/>
  <c r="EW17" i="15" s="1"/>
  <c r="EI11" i="15"/>
  <c r="ER11" i="15"/>
  <c r="EI26" i="15"/>
  <c r="EJ26" i="15" s="1"/>
  <c r="EJ36" i="15" s="1"/>
  <c r="ER26" i="15"/>
  <c r="EI18" i="15"/>
  <c r="EL21" i="15"/>
  <c r="CX18" i="15"/>
  <c r="CY18" i="15" s="1"/>
  <c r="DA18" i="15"/>
  <c r="CR18" i="15"/>
  <c r="DA17" i="15"/>
  <c r="CX17" i="15"/>
  <c r="CY17" i="15" s="1"/>
  <c r="CR17" i="15"/>
  <c r="DA28" i="15"/>
  <c r="CX28" i="15"/>
  <c r="CY28" i="15" s="1"/>
  <c r="CR28" i="15"/>
  <c r="DA19" i="15"/>
  <c r="CX19" i="15"/>
  <c r="CY19" i="15" s="1"/>
  <c r="CR19" i="15"/>
  <c r="CX24" i="15"/>
  <c r="CY24" i="15" s="1"/>
  <c r="DA24" i="15"/>
  <c r="CR24" i="15"/>
  <c r="CX21" i="15"/>
  <c r="CY21" i="15" s="1"/>
  <c r="DA21" i="15"/>
  <c r="CR21" i="15"/>
  <c r="DA23" i="15"/>
  <c r="CX23" i="15"/>
  <c r="CY23" i="15" s="1"/>
  <c r="CR23" i="15"/>
  <c r="DA13" i="15"/>
  <c r="CR13" i="15"/>
  <c r="CX13" i="15"/>
  <c r="CY13" i="15" s="1"/>
  <c r="DA14" i="15"/>
  <c r="CX14" i="15"/>
  <c r="CY14" i="15" s="1"/>
  <c r="CR14" i="15"/>
  <c r="DA26" i="15"/>
  <c r="CX26" i="15"/>
  <c r="CY26" i="15" s="1"/>
  <c r="CR26" i="15"/>
  <c r="DA20" i="15"/>
  <c r="CR20" i="15"/>
  <c r="CX20" i="15"/>
  <c r="CY20" i="15" s="1"/>
  <c r="CX15" i="15"/>
  <c r="CY15" i="15" s="1"/>
  <c r="DA15" i="15"/>
  <c r="CR15" i="15"/>
  <c r="DA22" i="15"/>
  <c r="CX22" i="15"/>
  <c r="CY22" i="15" s="1"/>
  <c r="CR22" i="15"/>
  <c r="EI20" i="15"/>
  <c r="EO20" i="15"/>
  <c r="EP20" i="15" s="1"/>
  <c r="EV14" i="15" s="1"/>
  <c r="ER20" i="15"/>
  <c r="EW14" i="15" s="1"/>
  <c r="EO18" i="15"/>
  <c r="EP18" i="15" s="1"/>
  <c r="CG27" i="15"/>
  <c r="CH27" i="15" s="1"/>
  <c r="CG25" i="15"/>
  <c r="CH25" i="15" s="1"/>
  <c r="EO17" i="15"/>
  <c r="EP17" i="15" s="1"/>
  <c r="EI17" i="15"/>
  <c r="EM14" i="15"/>
  <c r="EJ11" i="15"/>
  <c r="EI33" i="15"/>
  <c r="EL38" i="15"/>
  <c r="EM28" i="15"/>
  <c r="EJ38" i="15"/>
  <c r="EK38" i="15"/>
  <c r="BI48" i="11"/>
  <c r="BI59" i="11"/>
  <c r="EM15" i="15"/>
  <c r="EM12" i="15"/>
  <c r="EK21" i="15"/>
  <c r="EJ21" i="15"/>
  <c r="EM24" i="15"/>
  <c r="BC53" i="11"/>
  <c r="BC54" i="11" s="1"/>
  <c r="BE54" i="11"/>
  <c r="BH31" i="11"/>
  <c r="BA61" i="11"/>
  <c r="BC61" i="11" s="1"/>
  <c r="BG37" i="11"/>
  <c r="BG64" i="11"/>
  <c r="BA54" i="11"/>
  <c r="G115" i="3" s="1"/>
  <c r="G177" i="3" s="1"/>
  <c r="BI37" i="11"/>
  <c r="BH41" i="11"/>
  <c r="EW15" i="15"/>
  <c r="BH64" i="11"/>
  <c r="BC51" i="11"/>
  <c r="BH63" i="11"/>
  <c r="BH61" i="11"/>
  <c r="BC27" i="11"/>
  <c r="BI26" i="11"/>
  <c r="BG23" i="11"/>
  <c r="BH39" i="11"/>
  <c r="BH42" i="11"/>
  <c r="BH52" i="11"/>
  <c r="BC60" i="11"/>
  <c r="BC52" i="11"/>
  <c r="BG56" i="11"/>
  <c r="BG46" i="11"/>
  <c r="BH53" i="11"/>
  <c r="BH30" i="11"/>
  <c r="BH62" i="11"/>
  <c r="EV18" i="15"/>
  <c r="EV16" i="15"/>
  <c r="HS17" i="15"/>
  <c r="HS12" i="15"/>
  <c r="HS20" i="15"/>
  <c r="HS13" i="15"/>
  <c r="EW13" i="15"/>
  <c r="EW21" i="15" s="1"/>
  <c r="GC14" i="15"/>
  <c r="HS15" i="15"/>
  <c r="HS21" i="15"/>
  <c r="HS19" i="15"/>
  <c r="HS14" i="15"/>
  <c r="HS26" i="15"/>
  <c r="HR30" i="15"/>
  <c r="HS24" i="15"/>
  <c r="GC24" i="15"/>
  <c r="GC15" i="15"/>
  <c r="GC12" i="15"/>
  <c r="EL18" i="15"/>
  <c r="EJ18" i="15"/>
  <c r="GC20" i="15"/>
  <c r="GC17" i="15"/>
  <c r="GC21" i="15"/>
  <c r="GC28" i="15"/>
  <c r="EK23" i="15"/>
  <c r="EL23" i="15"/>
  <c r="EJ23" i="15"/>
  <c r="EK13" i="15"/>
  <c r="EJ13" i="15"/>
  <c r="EL13" i="15"/>
  <c r="EK19" i="15"/>
  <c r="EL19" i="15"/>
  <c r="EJ19" i="15"/>
  <c r="EL26" i="15"/>
  <c r="EL36" i="15" s="1"/>
  <c r="EK11" i="15"/>
  <c r="EL11" i="15"/>
  <c r="EK26" i="15"/>
  <c r="EK36" i="15" s="1"/>
  <c r="EJ22" i="15"/>
  <c r="EL22" i="15"/>
  <c r="EK22" i="15"/>
  <c r="BC16" i="11"/>
  <c r="BC49" i="11"/>
  <c r="BC19" i="11"/>
  <c r="BG48" i="11"/>
  <c r="BG59" i="11"/>
  <c r="BA50" i="11"/>
  <c r="BG26" i="11"/>
  <c r="BE32" i="11"/>
  <c r="BA17" i="11"/>
  <c r="BC17" i="11" s="1"/>
  <c r="BC40" i="11"/>
  <c r="BI51" i="11" s="1"/>
  <c r="BC41" i="11"/>
  <c r="BG40" i="11"/>
  <c r="BC42" i="11"/>
  <c r="BC20" i="11"/>
  <c r="BC21" i="11" s="1"/>
  <c r="BA39" i="11"/>
  <c r="BG38" i="11"/>
  <c r="BG42" i="11"/>
  <c r="BC31" i="11"/>
  <c r="BC30" i="11"/>
  <c r="BI30" i="11" s="1"/>
  <c r="BG29" i="11"/>
  <c r="BC29" i="11"/>
  <c r="BI29" i="11" s="1"/>
  <c r="BG60" i="11"/>
  <c r="BC36" i="11"/>
  <c r="BC33" i="11"/>
  <c r="BC35" i="11"/>
  <c r="BG33" i="11"/>
  <c r="BC34" i="11"/>
  <c r="BC38" i="11"/>
  <c r="BG53" i="11"/>
  <c r="BG51" i="11"/>
  <c r="BA36" i="11"/>
  <c r="BG34" i="11"/>
  <c r="BE65" i="11"/>
  <c r="BA21" i="11"/>
  <c r="D115" i="3" s="1"/>
  <c r="D177" i="3" s="1"/>
  <c r="BC12" i="11"/>
  <c r="BA58" i="11"/>
  <c r="BG55" i="11"/>
  <c r="BC58" i="11"/>
  <c r="BC57" i="11"/>
  <c r="BC55" i="11"/>
  <c r="BC56" i="11"/>
  <c r="BA47" i="11"/>
  <c r="BC45" i="11"/>
  <c r="BI45" i="11" s="1"/>
  <c r="BG44" i="11"/>
  <c r="BC44" i="11"/>
  <c r="BC46" i="11"/>
  <c r="BC47" i="11"/>
  <c r="BI47" i="11" s="1"/>
  <c r="BG57" i="11"/>
  <c r="BE43" i="11"/>
  <c r="BA25" i="11"/>
  <c r="BG24" i="11"/>
  <c r="BG30" i="11"/>
  <c r="BC23" i="11"/>
  <c r="BG22" i="11"/>
  <c r="BC24" i="11"/>
  <c r="BC22" i="11"/>
  <c r="BI22" i="11" s="1"/>
  <c r="BC25" i="11"/>
  <c r="BA28" i="11"/>
  <c r="BG27" i="11"/>
  <c r="BG49" i="11"/>
  <c r="BC62" i="11"/>
  <c r="BI62" i="11" s="1"/>
  <c r="BG62" i="11"/>
  <c r="BC63" i="11"/>
  <c r="BI63" i="11" s="1"/>
  <c r="BC64" i="11"/>
  <c r="BI64" i="11" s="1"/>
  <c r="BG35" i="11"/>
  <c r="BG45" i="11"/>
  <c r="BC14" i="11"/>
  <c r="BC13" i="11"/>
  <c r="BA14" i="11"/>
  <c r="BB43" i="11"/>
  <c r="BA32" i="11"/>
  <c r="E115" i="3" s="1"/>
  <c r="E177" i="3" s="1"/>
  <c r="BB32" i="11"/>
  <c r="BH32" i="11" s="1"/>
  <c r="BB65" i="11"/>
  <c r="BH65" i="11" s="1"/>
  <c r="BB54" i="11"/>
  <c r="BA43" i="11"/>
  <c r="BG19" i="15" l="1"/>
  <c r="BH19" i="15" s="1"/>
  <c r="BN14" i="15" s="1"/>
  <c r="BJ19" i="15"/>
  <c r="BA19" i="15"/>
  <c r="BJ22" i="15"/>
  <c r="BA22" i="15"/>
  <c r="BG22" i="15"/>
  <c r="BH22" i="15" s="1"/>
  <c r="BJ15" i="15"/>
  <c r="BG15" i="15"/>
  <c r="BH15" i="15" s="1"/>
  <c r="BA15" i="15"/>
  <c r="BJ24" i="15"/>
  <c r="BG24" i="15"/>
  <c r="BH24" i="15" s="1"/>
  <c r="BA24" i="15"/>
  <c r="BG13" i="15"/>
  <c r="BH13" i="15" s="1"/>
  <c r="BA13" i="15"/>
  <c r="BJ13" i="15"/>
  <c r="BJ26" i="15"/>
  <c r="BG26" i="15"/>
  <c r="BH26" i="15" s="1"/>
  <c r="BA26" i="15"/>
  <c r="BG18" i="15"/>
  <c r="BH18" i="15" s="1"/>
  <c r="BA18" i="15"/>
  <c r="BJ18" i="15"/>
  <c r="BG21" i="15"/>
  <c r="BH21" i="15" s="1"/>
  <c r="BN15" i="15" s="1"/>
  <c r="BA21" i="15"/>
  <c r="BJ21" i="15"/>
  <c r="BG28" i="15"/>
  <c r="BH28" i="15" s="1"/>
  <c r="BA28" i="15"/>
  <c r="BJ28" i="15"/>
  <c r="BJ20" i="15"/>
  <c r="BG20" i="15"/>
  <c r="BH20" i="15" s="1"/>
  <c r="BA20" i="15"/>
  <c r="BJ23" i="15"/>
  <c r="BA23" i="15"/>
  <c r="BG23" i="15"/>
  <c r="BH23" i="15" s="1"/>
  <c r="BN16" i="15" s="1"/>
  <c r="BJ17" i="15"/>
  <c r="BA17" i="15"/>
  <c r="BG17" i="15"/>
  <c r="BH17" i="15" s="1"/>
  <c r="EJ27" i="15"/>
  <c r="EJ37" i="15" s="1"/>
  <c r="EI36" i="15"/>
  <c r="BA14" i="15"/>
  <c r="EL27" i="15"/>
  <c r="EL37" i="15" s="1"/>
  <c r="EI37" i="15"/>
  <c r="BG14" i="15"/>
  <c r="BH14" i="15" s="1"/>
  <c r="CU24" i="15"/>
  <c r="CT24" i="15"/>
  <c r="CS24" i="15"/>
  <c r="CR38" i="15"/>
  <c r="CU28" i="15"/>
  <c r="CT28" i="15"/>
  <c r="CS28" i="15"/>
  <c r="CU14" i="15"/>
  <c r="CT14" i="15"/>
  <c r="CV14" i="15"/>
  <c r="CU17" i="15"/>
  <c r="CT17" i="15"/>
  <c r="CS17" i="15"/>
  <c r="CT23" i="15"/>
  <c r="CS23" i="15"/>
  <c r="CU23" i="15"/>
  <c r="BJ25" i="15"/>
  <c r="BA25" i="15"/>
  <c r="BG25" i="15"/>
  <c r="BH25" i="15" s="1"/>
  <c r="CU20" i="15"/>
  <c r="CT20" i="15"/>
  <c r="CS20" i="15"/>
  <c r="CS15" i="15"/>
  <c r="CU22" i="15"/>
  <c r="CT22" i="15"/>
  <c r="CU13" i="15"/>
  <c r="CS13" i="15"/>
  <c r="CT13" i="15"/>
  <c r="CU21" i="15"/>
  <c r="CS21" i="15"/>
  <c r="CT21" i="15"/>
  <c r="CS19" i="15"/>
  <c r="CU19" i="15"/>
  <c r="CT19" i="15"/>
  <c r="BC36" i="15"/>
  <c r="BD36" i="15"/>
  <c r="CR36" i="15"/>
  <c r="CS26" i="15"/>
  <c r="CT26" i="15"/>
  <c r="CT36" i="15" s="1"/>
  <c r="CU26" i="15"/>
  <c r="CU36" i="15" s="1"/>
  <c r="CT18" i="15"/>
  <c r="CU18" i="15"/>
  <c r="BJ27" i="15"/>
  <c r="BA27" i="15"/>
  <c r="BG27" i="15"/>
  <c r="BH27" i="15" s="1"/>
  <c r="CX11" i="15"/>
  <c r="CY11" i="15" s="1"/>
  <c r="DA11" i="15"/>
  <c r="CR11" i="15"/>
  <c r="DA12" i="15"/>
  <c r="CR12" i="15"/>
  <c r="CX12" i="15"/>
  <c r="CY12" i="15" s="1"/>
  <c r="EI25" i="15"/>
  <c r="EI35" i="15" s="1"/>
  <c r="EV22" i="15"/>
  <c r="EO25" i="15"/>
  <c r="EP25" i="15" s="1"/>
  <c r="EV17" i="15" s="1"/>
  <c r="DE16" i="15"/>
  <c r="DF16" i="15"/>
  <c r="EW22" i="15"/>
  <c r="EK18" i="15"/>
  <c r="EK33" i="15" s="1"/>
  <c r="CX25" i="15"/>
  <c r="CY25" i="15" s="1"/>
  <c r="DE17" i="15" s="1"/>
  <c r="DA25" i="15"/>
  <c r="DF17" i="15" s="1"/>
  <c r="CR25" i="15"/>
  <c r="DA27" i="15"/>
  <c r="DF18" i="15" s="1"/>
  <c r="CX27" i="15"/>
  <c r="CY27" i="15" s="1"/>
  <c r="DE18" i="15" s="1"/>
  <c r="CR27" i="15"/>
  <c r="DF15" i="15"/>
  <c r="DE15" i="15"/>
  <c r="ER30" i="15"/>
  <c r="EI34" i="15"/>
  <c r="DE14" i="15"/>
  <c r="EV13" i="15"/>
  <c r="EV21" i="15" s="1"/>
  <c r="EK20" i="15"/>
  <c r="EL20" i="15"/>
  <c r="EJ20" i="15"/>
  <c r="DF14" i="15"/>
  <c r="EW23" i="15"/>
  <c r="EM38" i="15"/>
  <c r="EL33" i="15"/>
  <c r="EJ17" i="15"/>
  <c r="EK17" i="15"/>
  <c r="EL17" i="15"/>
  <c r="EK25" i="15"/>
  <c r="EK35" i="15" s="1"/>
  <c r="EM11" i="15"/>
  <c r="EJ33" i="15"/>
  <c r="EK37" i="15"/>
  <c r="EM23" i="15"/>
  <c r="EU16" i="15" s="1"/>
  <c r="BI27" i="11"/>
  <c r="BI23" i="11"/>
  <c r="EM26" i="15"/>
  <c r="EM36" i="15" s="1"/>
  <c r="BI44" i="11"/>
  <c r="BI38" i="11"/>
  <c r="EM19" i="15"/>
  <c r="EM21" i="15"/>
  <c r="EM13" i="15"/>
  <c r="EM22" i="15"/>
  <c r="EI30" i="15"/>
  <c r="BH43" i="11"/>
  <c r="BI57" i="11"/>
  <c r="BI36" i="11"/>
  <c r="EJ25" i="15"/>
  <c r="BI46" i="11"/>
  <c r="EL25" i="15"/>
  <c r="EL35" i="15" s="1"/>
  <c r="BH54" i="11"/>
  <c r="BG58" i="11"/>
  <c r="BI42" i="11"/>
  <c r="EV23" i="15"/>
  <c r="BI58" i="11"/>
  <c r="BG43" i="11"/>
  <c r="F115" i="3"/>
  <c r="F177" i="3" s="1"/>
  <c r="BI34" i="11"/>
  <c r="BG65" i="11"/>
  <c r="BI25" i="11"/>
  <c r="BI41" i="11"/>
  <c r="BI52" i="11"/>
  <c r="BC32" i="11"/>
  <c r="BI32" i="11" s="1"/>
  <c r="BI31" i="11"/>
  <c r="BI56" i="11"/>
  <c r="BI35" i="11"/>
  <c r="BI40" i="11"/>
  <c r="BI49" i="11"/>
  <c r="BI60" i="11"/>
  <c r="BI53" i="11"/>
  <c r="BI24" i="11"/>
  <c r="BI55" i="11"/>
  <c r="BI33" i="11"/>
  <c r="EO30" i="15"/>
  <c r="EW19" i="15"/>
  <c r="EP30" i="15"/>
  <c r="IA14" i="15"/>
  <c r="IF14" i="15" s="1"/>
  <c r="HS11" i="15"/>
  <c r="HP30" i="15"/>
  <c r="HQ30" i="15"/>
  <c r="HS22" i="15"/>
  <c r="IA15" i="15" s="1"/>
  <c r="IF15" i="15" s="1"/>
  <c r="HS18" i="15"/>
  <c r="HS23" i="15"/>
  <c r="IA16" i="15" s="1"/>
  <c r="HS25" i="15"/>
  <c r="IA17" i="15" s="1"/>
  <c r="IF17" i="15" s="1"/>
  <c r="IK17" i="15" s="1"/>
  <c r="HS27" i="15"/>
  <c r="IA18" i="15" s="1"/>
  <c r="IF18" i="15" s="1"/>
  <c r="IK18" i="15" s="1"/>
  <c r="GB30" i="15"/>
  <c r="GC22" i="15"/>
  <c r="GK15" i="15" s="1"/>
  <c r="GC13" i="15"/>
  <c r="FZ30" i="15"/>
  <c r="GC27" i="15"/>
  <c r="GK18" i="15" s="1"/>
  <c r="GC18" i="15"/>
  <c r="GC23" i="15"/>
  <c r="GK16" i="15" s="1"/>
  <c r="GA30" i="15"/>
  <c r="GC26" i="15"/>
  <c r="GC19" i="15"/>
  <c r="GK14" i="15" s="1"/>
  <c r="GC25" i="15"/>
  <c r="BG47" i="11"/>
  <c r="BG50" i="11"/>
  <c r="BG32" i="11"/>
  <c r="BC50" i="11"/>
  <c r="BG61" i="11"/>
  <c r="BC65" i="11"/>
  <c r="BI65" i="11" s="1"/>
  <c r="BG25" i="11"/>
  <c r="BG54" i="11"/>
  <c r="BG36" i="11"/>
  <c r="BG39" i="11"/>
  <c r="BC39" i="11"/>
  <c r="BC28" i="11"/>
  <c r="BI28" i="11" s="1"/>
  <c r="BG28" i="11"/>
  <c r="BC43" i="11"/>
  <c r="BN18" i="15" l="1"/>
  <c r="BO13" i="15"/>
  <c r="BN13" i="15"/>
  <c r="BN21" i="15" s="1"/>
  <c r="BO17" i="15"/>
  <c r="BO21" i="15"/>
  <c r="BO14" i="15"/>
  <c r="BO22" i="15" s="1"/>
  <c r="BN22" i="15"/>
  <c r="BO18" i="15"/>
  <c r="BO15" i="15"/>
  <c r="BO16" i="15"/>
  <c r="BN17" i="15"/>
  <c r="EM18" i="15"/>
  <c r="EM27" i="15"/>
  <c r="CV23" i="15"/>
  <c r="BD38" i="15"/>
  <c r="DF22" i="15"/>
  <c r="CV24" i="15"/>
  <c r="CV22" i="15"/>
  <c r="CV26" i="15"/>
  <c r="CV36" i="15" s="1"/>
  <c r="DF21" i="15"/>
  <c r="CU38" i="15"/>
  <c r="CV17" i="15"/>
  <c r="BJ30" i="15"/>
  <c r="BC37" i="15"/>
  <c r="BD37" i="15"/>
  <c r="CR37" i="15"/>
  <c r="CS27" i="15"/>
  <c r="CU27" i="15"/>
  <c r="CU37" i="15" s="1"/>
  <c r="CT27" i="15"/>
  <c r="CT37" i="15" s="1"/>
  <c r="CV18" i="15"/>
  <c r="CV19" i="15"/>
  <c r="CV28" i="15"/>
  <c r="CS38" i="15"/>
  <c r="CT38" i="15"/>
  <c r="BB38" i="15"/>
  <c r="EW24" i="15"/>
  <c r="EW26" i="15" s="1"/>
  <c r="BM14" i="15"/>
  <c r="CV13" i="15"/>
  <c r="CS36" i="15"/>
  <c r="EL30" i="15"/>
  <c r="BD34" i="15"/>
  <c r="BC34" i="15"/>
  <c r="CR34" i="15"/>
  <c r="CU12" i="15"/>
  <c r="CT12" i="15"/>
  <c r="CT34" i="15" s="1"/>
  <c r="BG30" i="15"/>
  <c r="BA30" i="15"/>
  <c r="CV20" i="15"/>
  <c r="BC38" i="15"/>
  <c r="CR33" i="15"/>
  <c r="CS11" i="15"/>
  <c r="CU11" i="15"/>
  <c r="CU33" i="15" s="1"/>
  <c r="CT11" i="15"/>
  <c r="CT33" i="15" s="1"/>
  <c r="CV15" i="15"/>
  <c r="BC35" i="15"/>
  <c r="BD35" i="15"/>
  <c r="CR35" i="15"/>
  <c r="CU25" i="15"/>
  <c r="CU35" i="15" s="1"/>
  <c r="CT25" i="15"/>
  <c r="CT35" i="15" s="1"/>
  <c r="CS25" i="15"/>
  <c r="BH30" i="15"/>
  <c r="CV21" i="15"/>
  <c r="DE22" i="15"/>
  <c r="EV19" i="15"/>
  <c r="EL34" i="15"/>
  <c r="EK34" i="15"/>
  <c r="EJ34" i="15"/>
  <c r="CX30" i="15"/>
  <c r="CY30" i="15"/>
  <c r="CU34" i="15"/>
  <c r="DF23" i="15"/>
  <c r="CS34" i="15"/>
  <c r="DF19" i="15"/>
  <c r="DA30" i="15"/>
  <c r="EM20" i="15"/>
  <c r="EU14" i="15" s="1"/>
  <c r="EU22" i="15" s="1"/>
  <c r="H32" i="3" s="1"/>
  <c r="H112" i="3" s="1"/>
  <c r="H173" i="3" s="1"/>
  <c r="CR30" i="15"/>
  <c r="EK30" i="15"/>
  <c r="DE23" i="15"/>
  <c r="EV24" i="15"/>
  <c r="EV26" i="15" s="1"/>
  <c r="EM17" i="15"/>
  <c r="EM33" i="15"/>
  <c r="EU18" i="15"/>
  <c r="EM37" i="15"/>
  <c r="EU15" i="15"/>
  <c r="EM25" i="15"/>
  <c r="EJ35" i="15"/>
  <c r="H115" i="3"/>
  <c r="H177" i="3" s="1"/>
  <c r="EJ30" i="15"/>
  <c r="BI43" i="11"/>
  <c r="L177" i="3"/>
  <c r="BI39" i="11"/>
  <c r="BI54" i="11"/>
  <c r="BI50" i="11"/>
  <c r="IK15" i="15"/>
  <c r="IK23" i="15" s="1"/>
  <c r="D33" i="3" s="1"/>
  <c r="D113" i="3" s="1"/>
  <c r="IF23" i="15"/>
  <c r="E33" i="3" s="1"/>
  <c r="E113" i="3" s="1"/>
  <c r="IK14" i="15"/>
  <c r="BI61" i="11"/>
  <c r="IA22" i="15"/>
  <c r="F32" i="3" s="1"/>
  <c r="F112" i="3" s="1"/>
  <c r="F173" i="3" s="1"/>
  <c r="IF16" i="15"/>
  <c r="IK16" i="15" s="1"/>
  <c r="IA23" i="15"/>
  <c r="F33" i="3" s="1"/>
  <c r="F113" i="3" s="1"/>
  <c r="IA13" i="15"/>
  <c r="IF13" i="15" s="1"/>
  <c r="GK17" i="15"/>
  <c r="GK23" i="15" s="1"/>
  <c r="G33" i="3" s="1"/>
  <c r="G113" i="3" s="1"/>
  <c r="HS30" i="15"/>
  <c r="GK22" i="15"/>
  <c r="G32" i="3" s="1"/>
  <c r="G112" i="3" s="1"/>
  <c r="G173" i="3" s="1"/>
  <c r="GK13" i="15"/>
  <c r="GC30" i="15"/>
  <c r="F75" i="11"/>
  <c r="BM22" i="15" l="1"/>
  <c r="BM15" i="15"/>
  <c r="BN19" i="15"/>
  <c r="BO23" i="15"/>
  <c r="BO19" i="15"/>
  <c r="BN23" i="15"/>
  <c r="BO24" i="15"/>
  <c r="BO26" i="15" s="1"/>
  <c r="BN24" i="15"/>
  <c r="BN26" i="15" s="1"/>
  <c r="DD16" i="15"/>
  <c r="CV38" i="15"/>
  <c r="DD15" i="15"/>
  <c r="CV25" i="15"/>
  <c r="DD17" i="15" s="1"/>
  <c r="I32" i="3"/>
  <c r="CV11" i="15"/>
  <c r="CS33" i="15"/>
  <c r="CU30" i="15"/>
  <c r="CV12" i="15"/>
  <c r="CV34" i="15" s="1"/>
  <c r="CV27" i="15"/>
  <c r="CS37" i="15"/>
  <c r="CT30" i="15"/>
  <c r="BC30" i="15"/>
  <c r="BC33" i="15"/>
  <c r="CS35" i="15"/>
  <c r="CS30" i="15"/>
  <c r="BB30" i="15"/>
  <c r="BD30" i="15"/>
  <c r="BD33" i="15"/>
  <c r="EM30" i="15"/>
  <c r="DE21" i="15"/>
  <c r="DE24" i="15" s="1"/>
  <c r="DE19" i="15"/>
  <c r="EM34" i="15"/>
  <c r="CV35" i="15"/>
  <c r="EU13" i="15"/>
  <c r="EU17" i="15"/>
  <c r="EU23" i="15" s="1"/>
  <c r="H33" i="3" s="1"/>
  <c r="H113" i="3" s="1"/>
  <c r="EM35" i="15"/>
  <c r="IK22" i="15"/>
  <c r="D32" i="3" s="1"/>
  <c r="D112" i="3" s="1"/>
  <c r="D173" i="3" s="1"/>
  <c r="IF21" i="15"/>
  <c r="E31" i="3" s="1"/>
  <c r="IK13" i="15"/>
  <c r="IF22" i="15"/>
  <c r="E32" i="3" s="1"/>
  <c r="E112" i="3" s="1"/>
  <c r="E173" i="3" s="1"/>
  <c r="IA19" i="15"/>
  <c r="IA21" i="15"/>
  <c r="F31" i="3" s="1"/>
  <c r="GK21" i="15"/>
  <c r="GK19" i="15"/>
  <c r="EU21" i="15"/>
  <c r="Y10" i="13"/>
  <c r="B42" i="13"/>
  <c r="B25" i="13"/>
  <c r="C25" i="13"/>
  <c r="AB60" i="13"/>
  <c r="Z60" i="13"/>
  <c r="Y60" i="13"/>
  <c r="Y59" i="13"/>
  <c r="AA59" i="13" s="1"/>
  <c r="Y58" i="13"/>
  <c r="AC58" i="13" s="1"/>
  <c r="AB57" i="13"/>
  <c r="Y57" i="13"/>
  <c r="AA57" i="13" s="1"/>
  <c r="Y55" i="13"/>
  <c r="AA55" i="13" s="1"/>
  <c r="X54" i="13"/>
  <c r="W54" i="13"/>
  <c r="P79" i="13"/>
  <c r="Y53" i="13"/>
  <c r="Y52" i="13"/>
  <c r="Y25" i="13"/>
  <c r="Y24" i="13"/>
  <c r="Y23" i="13"/>
  <c r="Y21" i="13"/>
  <c r="Y20" i="13"/>
  <c r="AB54" i="13"/>
  <c r="T59" i="13"/>
  <c r="Y15" i="13"/>
  <c r="F14" i="13" s="1"/>
  <c r="Y14" i="13"/>
  <c r="AB55" i="13"/>
  <c r="T57" i="13"/>
  <c r="Y13" i="13"/>
  <c r="T56" i="13"/>
  <c r="Y12" i="13"/>
  <c r="T55" i="13"/>
  <c r="Y11" i="13"/>
  <c r="T54" i="13"/>
  <c r="AC38" i="13"/>
  <c r="Z38" i="13" s="1"/>
  <c r="Y38" i="13"/>
  <c r="W38" i="13"/>
  <c r="AC36" i="13"/>
  <c r="AC35" i="13"/>
  <c r="Z35" i="13" s="1"/>
  <c r="Y35" i="13"/>
  <c r="W35" i="13"/>
  <c r="AC34" i="13"/>
  <c r="Z34" i="13" s="1"/>
  <c r="Y34" i="13"/>
  <c r="W34" i="13"/>
  <c r="AC33" i="13"/>
  <c r="Z33" i="13" s="1"/>
  <c r="Y33" i="13"/>
  <c r="W33" i="13"/>
  <c r="AC32" i="13"/>
  <c r="Z32" i="13" s="1"/>
  <c r="Y32" i="13"/>
  <c r="W32" i="13"/>
  <c r="O47" i="13"/>
  <c r="U46" i="13"/>
  <c r="U45" i="13" s="1"/>
  <c r="S46" i="13"/>
  <c r="T45" i="13" s="1"/>
  <c r="AI55" i="13"/>
  <c r="X45" i="13"/>
  <c r="Y44" i="13" s="1"/>
  <c r="B73" i="12"/>
  <c r="B60" i="12"/>
  <c r="B47" i="12"/>
  <c r="B34" i="12"/>
  <c r="C35" i="3" s="1"/>
  <c r="B21" i="12"/>
  <c r="BM17" i="15" l="1"/>
  <c r="BM18" i="15"/>
  <c r="BM13" i="15"/>
  <c r="DE26" i="15"/>
  <c r="CV33" i="15"/>
  <c r="CV30" i="15"/>
  <c r="DD18" i="15"/>
  <c r="CV37" i="15"/>
  <c r="I33" i="3"/>
  <c r="I113" i="3" s="1"/>
  <c r="I174" i="3" s="1"/>
  <c r="I31" i="3"/>
  <c r="I111" i="3" s="1"/>
  <c r="I112" i="3"/>
  <c r="EU19" i="15"/>
  <c r="C34" i="3"/>
  <c r="E111" i="3"/>
  <c r="E172" i="3" s="1"/>
  <c r="E30" i="3"/>
  <c r="EU24" i="15"/>
  <c r="H31" i="3"/>
  <c r="H30" i="3" s="1"/>
  <c r="IK19" i="15"/>
  <c r="IK21" i="15"/>
  <c r="GK24" i="15"/>
  <c r="G31" i="3"/>
  <c r="F111" i="3"/>
  <c r="F172" i="3" s="1"/>
  <c r="F30" i="3"/>
  <c r="F27" i="13"/>
  <c r="G27" i="13" s="1"/>
  <c r="F78" i="13"/>
  <c r="G78" i="13" s="1"/>
  <c r="F44" i="13"/>
  <c r="G44" i="13" s="1"/>
  <c r="F10" i="13"/>
  <c r="G10" i="13" s="1"/>
  <c r="F61" i="13"/>
  <c r="G61" i="13" s="1"/>
  <c r="F29" i="13"/>
  <c r="G29" i="13" s="1"/>
  <c r="L46" i="13" s="1"/>
  <c r="F46" i="13"/>
  <c r="G46" i="13" s="1"/>
  <c r="F12" i="13"/>
  <c r="G12" i="13" s="1"/>
  <c r="F80" i="13"/>
  <c r="F63" i="13"/>
  <c r="G63" i="13" s="1"/>
  <c r="F31" i="13"/>
  <c r="F65" i="13"/>
  <c r="F82" i="13"/>
  <c r="F48" i="13"/>
  <c r="F36" i="13"/>
  <c r="F70" i="13"/>
  <c r="F87" i="13"/>
  <c r="F53" i="13"/>
  <c r="F19" i="13"/>
  <c r="F41" i="13"/>
  <c r="G41" i="13" s="1"/>
  <c r="F75" i="13"/>
  <c r="G75" i="13" s="1"/>
  <c r="F92" i="13"/>
  <c r="G92" i="13" s="1"/>
  <c r="F58" i="13"/>
  <c r="G58" i="13" s="1"/>
  <c r="F24" i="13"/>
  <c r="G24" i="13" s="1"/>
  <c r="D64" i="3" s="1"/>
  <c r="F20" i="13"/>
  <c r="G20" i="13" s="1"/>
  <c r="H20" i="13" s="1"/>
  <c r="F54" i="13"/>
  <c r="G54" i="13" s="1"/>
  <c r="F88" i="13"/>
  <c r="G88" i="13" s="1"/>
  <c r="F71" i="13"/>
  <c r="G71" i="13" s="1"/>
  <c r="F26" i="13"/>
  <c r="G26" i="13" s="1"/>
  <c r="F43" i="13"/>
  <c r="F9" i="13"/>
  <c r="F77" i="13"/>
  <c r="G77" i="13" s="1"/>
  <c r="F60" i="13"/>
  <c r="F28" i="13"/>
  <c r="G28" i="13" s="1"/>
  <c r="F62" i="13"/>
  <c r="G62" i="13" s="1"/>
  <c r="F79" i="13"/>
  <c r="G79" i="13" s="1"/>
  <c r="F11" i="13"/>
  <c r="G11" i="13" s="1"/>
  <c r="F45" i="13"/>
  <c r="G45" i="13" s="1"/>
  <c r="F32" i="13"/>
  <c r="G32" i="13" s="1"/>
  <c r="F15" i="13"/>
  <c r="G15" i="13" s="1"/>
  <c r="F66" i="13"/>
  <c r="G66" i="13" s="1"/>
  <c r="F83" i="13"/>
  <c r="G83" i="13" s="1"/>
  <c r="F49" i="13"/>
  <c r="G49" i="13" s="1"/>
  <c r="F39" i="13"/>
  <c r="F73" i="13"/>
  <c r="G73" i="13" s="1"/>
  <c r="F90" i="13"/>
  <c r="G90" i="13" s="1"/>
  <c r="F56" i="13"/>
  <c r="G56" i="13" s="1"/>
  <c r="F22" i="13"/>
  <c r="G22" i="13" s="1"/>
  <c r="D62" i="3" s="1"/>
  <c r="F40" i="13"/>
  <c r="F23" i="13"/>
  <c r="G23" i="13" s="1"/>
  <c r="D63" i="3" s="1"/>
  <c r="F74" i="13"/>
  <c r="G74" i="13" s="1"/>
  <c r="F91" i="13"/>
  <c r="G91" i="13" s="1"/>
  <c r="F57" i="13"/>
  <c r="G57" i="13" s="1"/>
  <c r="L29" i="13"/>
  <c r="P46" i="13"/>
  <c r="P45" i="13"/>
  <c r="IA24" i="15"/>
  <c r="IG22" i="15"/>
  <c r="IF19" i="15"/>
  <c r="IF24" i="15"/>
  <c r="AA60" i="13"/>
  <c r="Y43" i="13"/>
  <c r="AC55" i="13"/>
  <c r="P44" i="13"/>
  <c r="Y54" i="13"/>
  <c r="AC54" i="13" s="1"/>
  <c r="T43" i="13"/>
  <c r="Y36" i="13"/>
  <c r="Z36" i="13"/>
  <c r="T44" i="13"/>
  <c r="W36" i="13"/>
  <c r="AC60" i="13"/>
  <c r="T58" i="13"/>
  <c r="AC57" i="13"/>
  <c r="C42" i="13"/>
  <c r="AA38" i="13"/>
  <c r="P43" i="13"/>
  <c r="AA58" i="13"/>
  <c r="AC59" i="13"/>
  <c r="U44" i="13"/>
  <c r="BR64" i="12"/>
  <c r="BR63" i="12"/>
  <c r="BR62" i="12"/>
  <c r="BR61" i="12"/>
  <c r="BR60" i="12"/>
  <c r="I48" i="12"/>
  <c r="AJ61" i="12"/>
  <c r="AI72" i="12"/>
  <c r="AK85" i="12" s="1"/>
  <c r="AF72" i="12"/>
  <c r="AE72" i="12"/>
  <c r="AD72" i="12"/>
  <c r="AI71" i="12"/>
  <c r="AK84" i="12" s="1"/>
  <c r="AF71" i="12"/>
  <c r="AE71" i="12"/>
  <c r="AD71" i="12"/>
  <c r="AI70" i="12"/>
  <c r="AK83" i="12" s="1"/>
  <c r="AF70" i="12"/>
  <c r="AE70" i="12"/>
  <c r="AD70" i="12"/>
  <c r="AI67" i="12"/>
  <c r="AF67" i="12"/>
  <c r="AE67" i="12"/>
  <c r="AD67" i="12"/>
  <c r="AI66" i="12"/>
  <c r="AK79" i="12" s="1"/>
  <c r="AF66" i="12"/>
  <c r="AE66" i="12"/>
  <c r="AD66" i="12"/>
  <c r="AI64" i="12"/>
  <c r="AK77" i="12" s="1"/>
  <c r="AF64" i="12"/>
  <c r="AE64" i="12"/>
  <c r="AD64" i="12"/>
  <c r="AI63" i="12"/>
  <c r="AK76" i="12" s="1"/>
  <c r="AF63" i="12"/>
  <c r="AE63" i="12"/>
  <c r="AD63" i="12"/>
  <c r="AI62" i="12"/>
  <c r="AK75" i="12" s="1"/>
  <c r="AF62" i="12"/>
  <c r="AE62" i="12"/>
  <c r="AD62" i="12"/>
  <c r="AI61" i="12"/>
  <c r="AK74" i="12" s="1"/>
  <c r="AF61" i="12"/>
  <c r="AE61" i="12"/>
  <c r="AD61" i="12"/>
  <c r="S61" i="12"/>
  <c r="I61" i="12"/>
  <c r="T72" i="12"/>
  <c r="P72" i="12"/>
  <c r="U85" i="12" s="1"/>
  <c r="J72" i="12"/>
  <c r="F72" i="12"/>
  <c r="K85" i="12" s="1"/>
  <c r="T71" i="12"/>
  <c r="P71" i="12"/>
  <c r="U84" i="12" s="1"/>
  <c r="J71" i="12"/>
  <c r="F71" i="12"/>
  <c r="K84" i="12" s="1"/>
  <c r="T70" i="12"/>
  <c r="P70" i="12"/>
  <c r="U83" i="12" s="1"/>
  <c r="J70" i="12"/>
  <c r="F70" i="12"/>
  <c r="K83" i="12" s="1"/>
  <c r="R68" i="12"/>
  <c r="T81" i="12" s="1"/>
  <c r="O68" i="12"/>
  <c r="N68" i="12"/>
  <c r="M68" i="12"/>
  <c r="H68" i="12"/>
  <c r="J81" i="12" s="1"/>
  <c r="E68" i="12"/>
  <c r="D68" i="12"/>
  <c r="C68" i="12"/>
  <c r="T67" i="12"/>
  <c r="P67" i="12"/>
  <c r="U80" i="12" s="1"/>
  <c r="J67" i="12"/>
  <c r="F67" i="12"/>
  <c r="K80" i="12" s="1"/>
  <c r="T66" i="12"/>
  <c r="P66" i="12"/>
  <c r="U79" i="12" s="1"/>
  <c r="J66" i="12"/>
  <c r="F66" i="12"/>
  <c r="K79" i="12" s="1"/>
  <c r="R65" i="12"/>
  <c r="T78" i="12" s="1"/>
  <c r="O65" i="12"/>
  <c r="M65" i="12"/>
  <c r="H65" i="12"/>
  <c r="J78" i="12" s="1"/>
  <c r="E65" i="12"/>
  <c r="D65" i="12"/>
  <c r="C65" i="12"/>
  <c r="T64" i="12"/>
  <c r="P64" i="12"/>
  <c r="U77" i="12" s="1"/>
  <c r="J64" i="12"/>
  <c r="F64" i="12"/>
  <c r="K77" i="12" s="1"/>
  <c r="T63" i="12"/>
  <c r="P63" i="12"/>
  <c r="U76" i="12" s="1"/>
  <c r="N65" i="12"/>
  <c r="AE65" i="12" s="1"/>
  <c r="J63" i="12"/>
  <c r="K76" i="12"/>
  <c r="T62" i="12"/>
  <c r="P62" i="12"/>
  <c r="U75" i="12" s="1"/>
  <c r="J62" i="12"/>
  <c r="F62" i="12"/>
  <c r="K75" i="12" s="1"/>
  <c r="T61" i="12"/>
  <c r="P61" i="12"/>
  <c r="U74" i="12" s="1"/>
  <c r="J61" i="12"/>
  <c r="F61" i="12"/>
  <c r="R13" i="12"/>
  <c r="R16" i="12"/>
  <c r="R26" i="12"/>
  <c r="R29" i="12"/>
  <c r="R39" i="12"/>
  <c r="AI39" i="12" s="1"/>
  <c r="R42" i="12"/>
  <c r="R52" i="12"/>
  <c r="R55" i="12"/>
  <c r="AI12" i="12"/>
  <c r="AI15" i="12"/>
  <c r="AI23" i="12"/>
  <c r="T24" i="12"/>
  <c r="AI27" i="12"/>
  <c r="T41" i="12"/>
  <c r="T31" i="12"/>
  <c r="T45" i="12"/>
  <c r="T36" i="12"/>
  <c r="T53" i="12"/>
  <c r="T57" i="12"/>
  <c r="T48" i="12"/>
  <c r="AI51" i="12"/>
  <c r="AI59" i="12"/>
  <c r="H13" i="12"/>
  <c r="H16" i="12"/>
  <c r="H26" i="12"/>
  <c r="H29" i="12"/>
  <c r="H39" i="12"/>
  <c r="H42" i="12"/>
  <c r="H52" i="12"/>
  <c r="H55" i="12"/>
  <c r="J24" i="12"/>
  <c r="J41" i="12"/>
  <c r="J45" i="12"/>
  <c r="J36" i="12"/>
  <c r="J53" i="12"/>
  <c r="AI44" i="12"/>
  <c r="J48" i="12"/>
  <c r="AI9" i="12"/>
  <c r="AI10" i="12"/>
  <c r="AI11" i="12"/>
  <c r="AI13" i="12"/>
  <c r="AI14" i="12"/>
  <c r="AI18" i="12"/>
  <c r="AI19" i="12"/>
  <c r="AI22" i="12"/>
  <c r="AI25" i="12"/>
  <c r="AI33" i="12"/>
  <c r="AI35" i="12"/>
  <c r="AI37" i="12"/>
  <c r="AI38" i="12"/>
  <c r="AI41" i="12"/>
  <c r="AP21" i="12" s="1"/>
  <c r="AQ21" i="12" s="1"/>
  <c r="AI45" i="12"/>
  <c r="AI46" i="12"/>
  <c r="AI49" i="12"/>
  <c r="AI50" i="12"/>
  <c r="AI53" i="12"/>
  <c r="AI54" i="12"/>
  <c r="AP22" i="12" s="1"/>
  <c r="AQ22" i="12" s="1"/>
  <c r="AI57" i="12"/>
  <c r="AI58" i="12"/>
  <c r="T22" i="12"/>
  <c r="J23" i="12"/>
  <c r="J27" i="12"/>
  <c r="J28" i="12"/>
  <c r="J31" i="12"/>
  <c r="J35" i="12"/>
  <c r="J38" i="12"/>
  <c r="J40" i="12"/>
  <c r="J46" i="12"/>
  <c r="J50" i="12"/>
  <c r="J51" i="12"/>
  <c r="J54" i="12"/>
  <c r="J59" i="12"/>
  <c r="J22" i="12"/>
  <c r="T59" i="12"/>
  <c r="T23" i="12"/>
  <c r="T27" i="12"/>
  <c r="T28" i="12"/>
  <c r="T35" i="12"/>
  <c r="T38" i="12"/>
  <c r="T40" i="12"/>
  <c r="T46" i="12"/>
  <c r="T50" i="12"/>
  <c r="T51" i="12"/>
  <c r="T54" i="12"/>
  <c r="T58" i="12"/>
  <c r="P35" i="12"/>
  <c r="P36" i="12"/>
  <c r="P37" i="12"/>
  <c r="P38" i="12"/>
  <c r="P40" i="12"/>
  <c r="P41" i="12"/>
  <c r="P44" i="12"/>
  <c r="P45" i="12"/>
  <c r="P46" i="12"/>
  <c r="Q48" i="12"/>
  <c r="P51" i="12"/>
  <c r="P53" i="12"/>
  <c r="P54" i="12"/>
  <c r="P57" i="12"/>
  <c r="P58" i="12"/>
  <c r="P59" i="12"/>
  <c r="P9" i="12"/>
  <c r="Q9" i="12" s="1"/>
  <c r="F14" i="12"/>
  <c r="F15" i="12"/>
  <c r="F19" i="12"/>
  <c r="F27" i="12"/>
  <c r="F28" i="12"/>
  <c r="F32" i="12"/>
  <c r="F35" i="12"/>
  <c r="F36" i="12"/>
  <c r="F37" i="12"/>
  <c r="F38" i="12"/>
  <c r="F40" i="12"/>
  <c r="F41" i="12"/>
  <c r="F44" i="12"/>
  <c r="F45" i="12"/>
  <c r="F46" i="12"/>
  <c r="F48" i="12"/>
  <c r="F49" i="12"/>
  <c r="F50" i="12"/>
  <c r="F51" i="12"/>
  <c r="F53" i="12"/>
  <c r="F54" i="12"/>
  <c r="F57" i="12"/>
  <c r="F58" i="12"/>
  <c r="F59" i="12"/>
  <c r="CB64" i="12"/>
  <c r="BZ64" i="12"/>
  <c r="BP64" i="12"/>
  <c r="CB63" i="12"/>
  <c r="BZ63" i="12"/>
  <c r="BP63" i="12"/>
  <c r="CB62" i="12"/>
  <c r="BZ62" i="12"/>
  <c r="BP62" i="12"/>
  <c r="CB61" i="12"/>
  <c r="BZ61" i="12"/>
  <c r="BP61" i="12"/>
  <c r="BH23" i="12"/>
  <c r="BG23" i="12"/>
  <c r="BE23" i="12"/>
  <c r="BD23" i="12"/>
  <c r="AY23" i="12"/>
  <c r="AF59" i="12"/>
  <c r="AE59" i="12"/>
  <c r="AD59" i="12"/>
  <c r="CB60" i="12"/>
  <c r="BZ60" i="12"/>
  <c r="BP60" i="12"/>
  <c r="BH22" i="12"/>
  <c r="BG22" i="12"/>
  <c r="BE22" i="12"/>
  <c r="BD22" i="12"/>
  <c r="BC22" i="12"/>
  <c r="AY22" i="12"/>
  <c r="AF58" i="12"/>
  <c r="AE58" i="12"/>
  <c r="AD58" i="12"/>
  <c r="BZ59" i="12"/>
  <c r="BP59" i="12"/>
  <c r="BH21" i="12"/>
  <c r="BG21" i="12"/>
  <c r="BE21" i="12"/>
  <c r="BD21" i="12"/>
  <c r="BC21" i="12"/>
  <c r="AY21" i="12"/>
  <c r="AF57" i="12"/>
  <c r="AE57" i="12"/>
  <c r="AD57" i="12"/>
  <c r="BZ58" i="12"/>
  <c r="BP58" i="12"/>
  <c r="BH20" i="12"/>
  <c r="BG20" i="12"/>
  <c r="BE20" i="12"/>
  <c r="BD20" i="12"/>
  <c r="BC20" i="12"/>
  <c r="AY20" i="12"/>
  <c r="BZ57" i="12"/>
  <c r="BP57" i="12"/>
  <c r="BH19" i="12"/>
  <c r="BG19" i="12"/>
  <c r="BE19" i="12"/>
  <c r="BD19" i="12"/>
  <c r="BC19" i="12"/>
  <c r="AY19" i="12"/>
  <c r="O55" i="12"/>
  <c r="N55" i="12"/>
  <c r="M55" i="12"/>
  <c r="E55" i="12"/>
  <c r="D55" i="12"/>
  <c r="C55" i="12"/>
  <c r="BZ56" i="12"/>
  <c r="BP56" i="12"/>
  <c r="AF54" i="12"/>
  <c r="AE54" i="12"/>
  <c r="AD54" i="12"/>
  <c r="BZ55" i="12"/>
  <c r="BP55" i="12"/>
  <c r="BH17" i="12"/>
  <c r="BG17" i="12"/>
  <c r="BF17" i="12"/>
  <c r="BE17" i="12"/>
  <c r="BD17" i="12"/>
  <c r="BC17" i="12"/>
  <c r="AF53" i="12"/>
  <c r="AE53" i="12"/>
  <c r="AD53" i="12"/>
  <c r="BZ54" i="12"/>
  <c r="BP54" i="12"/>
  <c r="O52" i="12"/>
  <c r="M52" i="12"/>
  <c r="E52" i="12"/>
  <c r="D52" i="12"/>
  <c r="C52" i="12"/>
  <c r="BZ53" i="12"/>
  <c r="BP53" i="12"/>
  <c r="AF51" i="12"/>
  <c r="AE51" i="12"/>
  <c r="AD51" i="12"/>
  <c r="BZ52" i="12"/>
  <c r="BP52" i="12"/>
  <c r="AF50" i="12"/>
  <c r="AD50" i="12"/>
  <c r="N50" i="12"/>
  <c r="P50" i="12" s="1"/>
  <c r="BZ51" i="12"/>
  <c r="BP51" i="12"/>
  <c r="AF49" i="12"/>
  <c r="AE49" i="12"/>
  <c r="AD49" i="12"/>
  <c r="BZ50" i="12"/>
  <c r="BP50" i="12"/>
  <c r="AF48" i="12"/>
  <c r="AE48" i="12"/>
  <c r="AD48" i="12"/>
  <c r="BZ49" i="12"/>
  <c r="BP49" i="12"/>
  <c r="BZ48" i="12"/>
  <c r="BP48" i="12"/>
  <c r="AF46" i="12"/>
  <c r="AE46" i="12"/>
  <c r="AD46" i="12"/>
  <c r="BZ47" i="12"/>
  <c r="BP47" i="12"/>
  <c r="AF45" i="12"/>
  <c r="AE45" i="12"/>
  <c r="AD45" i="12"/>
  <c r="BZ46" i="12"/>
  <c r="BP46" i="12"/>
  <c r="AF44" i="12"/>
  <c r="AE44" i="12"/>
  <c r="AD44" i="12"/>
  <c r="BZ45" i="12"/>
  <c r="BP45" i="12"/>
  <c r="BZ44" i="12"/>
  <c r="BP44" i="12"/>
  <c r="O42" i="12"/>
  <c r="N42" i="12"/>
  <c r="M42" i="12"/>
  <c r="E42" i="12"/>
  <c r="D42" i="12"/>
  <c r="C42" i="12"/>
  <c r="BZ43" i="12"/>
  <c r="BP43" i="12"/>
  <c r="AF41" i="12"/>
  <c r="AE41" i="12"/>
  <c r="AD41" i="12"/>
  <c r="BZ42" i="12"/>
  <c r="BP42" i="12"/>
  <c r="AF40" i="12"/>
  <c r="AE40" i="12"/>
  <c r="AD40" i="12"/>
  <c r="BZ41" i="12"/>
  <c r="BP41" i="12"/>
  <c r="O39" i="12"/>
  <c r="N39" i="12"/>
  <c r="M39" i="12"/>
  <c r="E39" i="12"/>
  <c r="D39" i="12"/>
  <c r="C39" i="12"/>
  <c r="BZ40" i="12"/>
  <c r="BP40" i="12"/>
  <c r="AF38" i="12"/>
  <c r="AE38" i="12"/>
  <c r="AD38" i="12"/>
  <c r="BZ39" i="12"/>
  <c r="BP39" i="12"/>
  <c r="AF37" i="12"/>
  <c r="AE37" i="12"/>
  <c r="AD37" i="12"/>
  <c r="BZ38" i="12"/>
  <c r="BP38" i="12"/>
  <c r="AF36" i="12"/>
  <c r="AE36" i="12"/>
  <c r="AD36" i="12"/>
  <c r="BZ37" i="12"/>
  <c r="BP37" i="12"/>
  <c r="AF35" i="12"/>
  <c r="AE35" i="12"/>
  <c r="AD35" i="12"/>
  <c r="BZ36" i="12"/>
  <c r="BP36" i="12"/>
  <c r="BZ35" i="12"/>
  <c r="BP35" i="12"/>
  <c r="AD33" i="12"/>
  <c r="O33" i="12"/>
  <c r="N33" i="12"/>
  <c r="E33" i="12"/>
  <c r="D33" i="12"/>
  <c r="BZ34" i="12"/>
  <c r="BP34" i="12"/>
  <c r="AD32" i="12"/>
  <c r="O32" i="12"/>
  <c r="N32" i="12"/>
  <c r="BZ33" i="12"/>
  <c r="BP33" i="12"/>
  <c r="AD31" i="12"/>
  <c r="O31" i="12"/>
  <c r="N31" i="12"/>
  <c r="E31" i="12"/>
  <c r="D31" i="12"/>
  <c r="BZ32" i="12"/>
  <c r="BP32" i="12"/>
  <c r="BZ31" i="12"/>
  <c r="BP31" i="12"/>
  <c r="M29" i="12"/>
  <c r="E29" i="12"/>
  <c r="D29" i="12"/>
  <c r="C29" i="12"/>
  <c r="BZ30" i="12"/>
  <c r="BP30" i="12"/>
  <c r="AD28" i="12"/>
  <c r="O28" i="12"/>
  <c r="N28" i="12"/>
  <c r="BZ29" i="12"/>
  <c r="BP29" i="12"/>
  <c r="AD27" i="12"/>
  <c r="O27" i="12"/>
  <c r="N27" i="12"/>
  <c r="BZ28" i="12"/>
  <c r="BP28" i="12"/>
  <c r="M26" i="12"/>
  <c r="C26" i="12"/>
  <c r="BZ27" i="12"/>
  <c r="BP27" i="12"/>
  <c r="AD25" i="12"/>
  <c r="O25" i="12"/>
  <c r="N25" i="12"/>
  <c r="E25" i="12"/>
  <c r="D25" i="12"/>
  <c r="BZ26" i="12"/>
  <c r="BP26" i="12"/>
  <c r="AD24" i="12"/>
  <c r="O24" i="12"/>
  <c r="N24" i="12"/>
  <c r="E24" i="12"/>
  <c r="D24" i="12"/>
  <c r="BZ25" i="12"/>
  <c r="BP25" i="12"/>
  <c r="AD23" i="12"/>
  <c r="O23" i="12"/>
  <c r="N23" i="12"/>
  <c r="E23" i="12"/>
  <c r="D23" i="12"/>
  <c r="BZ24" i="12"/>
  <c r="BP24" i="12"/>
  <c r="AD22" i="12"/>
  <c r="O22" i="12"/>
  <c r="N22" i="12"/>
  <c r="E22" i="12"/>
  <c r="D22" i="12"/>
  <c r="BZ23" i="12"/>
  <c r="BP23" i="12"/>
  <c r="BZ22" i="12"/>
  <c r="BP22" i="12"/>
  <c r="AD20" i="12"/>
  <c r="O20" i="12"/>
  <c r="N20" i="12"/>
  <c r="E20" i="12"/>
  <c r="D20" i="12"/>
  <c r="BZ21" i="12"/>
  <c r="BP21" i="12"/>
  <c r="AD19" i="12"/>
  <c r="O19" i="12"/>
  <c r="AF19" i="12" s="1"/>
  <c r="N19" i="12"/>
  <c r="BZ20" i="12"/>
  <c r="BP20" i="12"/>
  <c r="AD18" i="12"/>
  <c r="O18" i="12"/>
  <c r="N18" i="12"/>
  <c r="E18" i="12"/>
  <c r="D18" i="12"/>
  <c r="BZ19" i="12"/>
  <c r="BP19" i="12"/>
  <c r="BZ18" i="12"/>
  <c r="BP18" i="12"/>
  <c r="M16" i="12"/>
  <c r="E16" i="12"/>
  <c r="D16" i="12"/>
  <c r="C16" i="12"/>
  <c r="BZ17" i="12"/>
  <c r="BP17" i="12"/>
  <c r="AD15" i="12"/>
  <c r="O15" i="12"/>
  <c r="AF15" i="12" s="1"/>
  <c r="N15" i="12"/>
  <c r="AE15" i="12" s="1"/>
  <c r="BZ16" i="12"/>
  <c r="BP16" i="12"/>
  <c r="AD14" i="12"/>
  <c r="O14" i="12"/>
  <c r="N14" i="12"/>
  <c r="AE14" i="12" s="1"/>
  <c r="BZ15" i="12"/>
  <c r="BP15" i="12"/>
  <c r="M13" i="12"/>
  <c r="C13" i="12"/>
  <c r="AD12" i="12"/>
  <c r="O12" i="12"/>
  <c r="N12" i="12"/>
  <c r="E12" i="12"/>
  <c r="D12" i="12"/>
  <c r="AD11" i="12"/>
  <c r="O11" i="12"/>
  <c r="N11" i="12"/>
  <c r="E11" i="12"/>
  <c r="D11" i="12"/>
  <c r="AD10" i="12"/>
  <c r="O10" i="12"/>
  <c r="N10" i="12"/>
  <c r="D10" i="12"/>
  <c r="F10" i="12" s="1"/>
  <c r="AD9" i="12"/>
  <c r="E9" i="12"/>
  <c r="D9" i="12"/>
  <c r="AE9" i="12" s="1"/>
  <c r="BM2" i="12"/>
  <c r="BM3" i="12" s="1"/>
  <c r="BM4" i="12" s="1"/>
  <c r="BM5" i="12" s="1"/>
  <c r="BM6" i="12" s="1"/>
  <c r="BM7" i="12" s="1"/>
  <c r="BM8" i="12" s="1"/>
  <c r="BM9" i="12" s="1"/>
  <c r="BM10" i="12" s="1"/>
  <c r="BM11" i="12" s="1"/>
  <c r="BM12" i="12" s="1"/>
  <c r="BM13" i="12" s="1"/>
  <c r="BM14" i="12" s="1"/>
  <c r="BM15" i="12" s="1"/>
  <c r="BM16" i="12" s="1"/>
  <c r="BM17" i="12" s="1"/>
  <c r="BM18" i="12" s="1"/>
  <c r="BM19" i="12" s="1"/>
  <c r="BM20" i="12" s="1"/>
  <c r="BM21" i="12" s="1"/>
  <c r="BM22" i="12" s="1"/>
  <c r="BM23" i="12" s="1"/>
  <c r="BM24" i="12" s="1"/>
  <c r="BM25" i="12" s="1"/>
  <c r="BM26" i="12" s="1"/>
  <c r="BM27" i="12" s="1"/>
  <c r="BM28" i="12" s="1"/>
  <c r="BM29" i="12" s="1"/>
  <c r="BM30" i="12" s="1"/>
  <c r="BM31" i="12" s="1"/>
  <c r="BM32" i="12" s="1"/>
  <c r="BM33" i="12" s="1"/>
  <c r="BM34" i="12" s="1"/>
  <c r="BM35" i="12" s="1"/>
  <c r="BM36" i="12" s="1"/>
  <c r="BM37" i="12" s="1"/>
  <c r="BM38" i="12" s="1"/>
  <c r="BM39" i="12" s="1"/>
  <c r="BM40" i="12" s="1"/>
  <c r="BM41" i="12" s="1"/>
  <c r="BM42" i="12" s="1"/>
  <c r="BM43" i="12" s="1"/>
  <c r="BM44" i="12" s="1"/>
  <c r="BM45" i="12" s="1"/>
  <c r="BM46" i="12" s="1"/>
  <c r="BM47" i="12" s="1"/>
  <c r="BM48" i="12" s="1"/>
  <c r="BM49" i="12" s="1"/>
  <c r="BM50" i="12" s="1"/>
  <c r="BM51" i="12" s="1"/>
  <c r="BM52" i="12" s="1"/>
  <c r="BM53" i="12" s="1"/>
  <c r="BM54" i="12" s="1"/>
  <c r="BM55" i="12" s="1"/>
  <c r="BM56" i="12" s="1"/>
  <c r="BM57" i="12" s="1"/>
  <c r="BM58" i="12" s="1"/>
  <c r="BM59" i="12" s="1"/>
  <c r="BM60" i="12" s="1"/>
  <c r="BM61" i="12" s="1"/>
  <c r="BM62" i="12" s="1"/>
  <c r="BM63" i="12" s="1"/>
  <c r="BM64" i="12" s="1"/>
  <c r="BM23" i="15" l="1"/>
  <c r="BM19" i="15"/>
  <c r="BM21" i="15"/>
  <c r="BM24" i="15" s="1"/>
  <c r="BM26" i="15" s="1"/>
  <c r="I145" i="3"/>
  <c r="EU26" i="15"/>
  <c r="I143" i="3"/>
  <c r="I172" i="3"/>
  <c r="DD19" i="15"/>
  <c r="I30" i="3"/>
  <c r="I116" i="3"/>
  <c r="I173" i="3"/>
  <c r="I144" i="3"/>
  <c r="L173" i="3"/>
  <c r="O113" i="12"/>
  <c r="O110" i="12"/>
  <c r="G61" i="12"/>
  <c r="K74" i="12"/>
  <c r="H56" i="12"/>
  <c r="R43" i="12"/>
  <c r="R47" i="12" s="1"/>
  <c r="AP23" i="12"/>
  <c r="AQ23" i="12" s="1"/>
  <c r="AK80" i="12"/>
  <c r="AP19" i="12"/>
  <c r="AQ19" i="12" s="1"/>
  <c r="P68" i="12"/>
  <c r="U81" i="12" s="1"/>
  <c r="AD65" i="12"/>
  <c r="AK63" i="12"/>
  <c r="K27" i="12"/>
  <c r="AG67" i="12"/>
  <c r="AL80" i="12" s="1"/>
  <c r="AG71" i="12"/>
  <c r="AL84" i="12" s="1"/>
  <c r="J65" i="12"/>
  <c r="K71" i="12"/>
  <c r="F34" i="13"/>
  <c r="AA54" i="13"/>
  <c r="AF65" i="12"/>
  <c r="AF68" i="12"/>
  <c r="AG61" i="12"/>
  <c r="AL74" i="12" s="1"/>
  <c r="F38" i="13"/>
  <c r="G38" i="13" s="1"/>
  <c r="E61" i="3" s="1"/>
  <c r="K61" i="12"/>
  <c r="GK26" i="15"/>
  <c r="H111" i="3"/>
  <c r="K112" i="3" s="1"/>
  <c r="U66" i="12"/>
  <c r="U70" i="12"/>
  <c r="U72" i="12"/>
  <c r="AK66" i="12"/>
  <c r="AK70" i="12"/>
  <c r="K67" i="12"/>
  <c r="K62" i="12"/>
  <c r="AK38" i="12"/>
  <c r="H30" i="12"/>
  <c r="H34" i="12" s="1"/>
  <c r="R17" i="12"/>
  <c r="R21" i="12" s="1"/>
  <c r="AE68" i="12"/>
  <c r="AK62" i="12"/>
  <c r="L28" i="13"/>
  <c r="U62" i="12"/>
  <c r="AK67" i="12"/>
  <c r="AK71" i="12"/>
  <c r="IK24" i="15"/>
  <c r="IF26" i="15" s="1"/>
  <c r="D31" i="3"/>
  <c r="AG63" i="12"/>
  <c r="AL76" i="12" s="1"/>
  <c r="G111" i="3"/>
  <c r="G30" i="3"/>
  <c r="L90" i="13"/>
  <c r="H62" i="3"/>
  <c r="G43" i="13"/>
  <c r="L43" i="13" s="1"/>
  <c r="F47" i="13"/>
  <c r="F21" i="13"/>
  <c r="G21" i="13" s="1"/>
  <c r="G19" i="13"/>
  <c r="G65" i="13"/>
  <c r="H66" i="13" s="1"/>
  <c r="F68" i="13"/>
  <c r="F63" i="3"/>
  <c r="G62" i="3"/>
  <c r="L73" i="13"/>
  <c r="L66" i="13"/>
  <c r="F64" i="13"/>
  <c r="G64" i="13" s="1"/>
  <c r="G60" i="13"/>
  <c r="H62" i="13" s="1"/>
  <c r="H64" i="3"/>
  <c r="L92" i="13"/>
  <c r="F55" i="13"/>
  <c r="G55" i="13" s="1"/>
  <c r="G53" i="13"/>
  <c r="F17" i="13"/>
  <c r="G14" i="13"/>
  <c r="L31" i="13" s="1"/>
  <c r="L44" i="13"/>
  <c r="L83" i="13"/>
  <c r="H54" i="13"/>
  <c r="L27" i="13"/>
  <c r="H63" i="3"/>
  <c r="L91" i="13"/>
  <c r="H79" i="13"/>
  <c r="L79" i="13"/>
  <c r="L77" i="13"/>
  <c r="H77" i="13"/>
  <c r="L71" i="13"/>
  <c r="H71" i="13"/>
  <c r="G64" i="3"/>
  <c r="L75" i="13"/>
  <c r="G87" i="13"/>
  <c r="F89" i="13"/>
  <c r="F51" i="13"/>
  <c r="G48" i="13"/>
  <c r="L63" i="13"/>
  <c r="H78" i="13"/>
  <c r="L78" i="13"/>
  <c r="L41" i="13"/>
  <c r="E64" i="3"/>
  <c r="L58" i="13"/>
  <c r="F64" i="3"/>
  <c r="F30" i="13"/>
  <c r="G30" i="13" s="1"/>
  <c r="L45" i="13"/>
  <c r="L74" i="13"/>
  <c r="G63" i="3"/>
  <c r="F62" i="3"/>
  <c r="L49" i="13"/>
  <c r="L32" i="13"/>
  <c r="L62" i="13"/>
  <c r="F13" i="13"/>
  <c r="G13" i="13" s="1"/>
  <c r="G9" i="13"/>
  <c r="H11" i="13" s="1"/>
  <c r="L88" i="13"/>
  <c r="H88" i="13"/>
  <c r="G70" i="13"/>
  <c r="F72" i="13"/>
  <c r="G72" i="13" s="1"/>
  <c r="G82" i="13"/>
  <c r="F85" i="13"/>
  <c r="F81" i="13"/>
  <c r="G81" i="13" s="1"/>
  <c r="G80" i="13"/>
  <c r="H80" i="13" s="1"/>
  <c r="L61" i="13"/>
  <c r="L38" i="13"/>
  <c r="G40" i="13"/>
  <c r="IA26" i="15"/>
  <c r="IG23" i="15"/>
  <c r="IG24" i="15" s="1"/>
  <c r="IG19" i="15"/>
  <c r="AA36" i="13"/>
  <c r="I42" i="13"/>
  <c r="AH61" i="12"/>
  <c r="AG65" i="12"/>
  <c r="AL78" i="12" s="1"/>
  <c r="AO37" i="12" s="1"/>
  <c r="U67" i="12"/>
  <c r="U71" i="12"/>
  <c r="AG64" i="12"/>
  <c r="AL77" i="12" s="1"/>
  <c r="AD68" i="12"/>
  <c r="AG72" i="12"/>
  <c r="AL85" i="12" s="1"/>
  <c r="H17" i="12"/>
  <c r="AI17" i="12" s="1"/>
  <c r="AI52" i="12"/>
  <c r="AK52" i="12" s="1"/>
  <c r="AO45" i="12" s="1"/>
  <c r="AI26" i="12"/>
  <c r="G62" i="12"/>
  <c r="U63" i="12"/>
  <c r="U64" i="12"/>
  <c r="T65" i="12"/>
  <c r="J68" i="12"/>
  <c r="T68" i="12"/>
  <c r="AG62" i="12"/>
  <c r="AL75" i="12" s="1"/>
  <c r="AK64" i="12"/>
  <c r="AG70" i="12"/>
  <c r="AL83" i="12" s="1"/>
  <c r="AK72" i="12"/>
  <c r="K72" i="12"/>
  <c r="AI65" i="12"/>
  <c r="K63" i="12"/>
  <c r="K66" i="12"/>
  <c r="K70" i="12"/>
  <c r="K64" i="12"/>
  <c r="AG66" i="12"/>
  <c r="AI68" i="12"/>
  <c r="AK81" i="12" s="1"/>
  <c r="F68" i="12"/>
  <c r="K81" i="12" s="1"/>
  <c r="G63" i="12"/>
  <c r="G64" i="12"/>
  <c r="N69" i="12"/>
  <c r="Q64" i="12"/>
  <c r="R69" i="12"/>
  <c r="T82" i="12" s="1"/>
  <c r="Q61" i="12"/>
  <c r="O69" i="12"/>
  <c r="Q62" i="12"/>
  <c r="U61" i="12"/>
  <c r="F65" i="12"/>
  <c r="E69" i="12"/>
  <c r="E73" i="12" s="1"/>
  <c r="D69" i="12"/>
  <c r="D73" i="12" s="1"/>
  <c r="H69" i="12"/>
  <c r="P65" i="12"/>
  <c r="C69" i="12"/>
  <c r="Q63" i="12"/>
  <c r="M69" i="12"/>
  <c r="O114" i="12" s="1"/>
  <c r="H43" i="12"/>
  <c r="H47" i="12" s="1"/>
  <c r="AI47" i="12" s="1"/>
  <c r="F34" i="3" s="1"/>
  <c r="AF39" i="12"/>
  <c r="AK50" i="12"/>
  <c r="R56" i="12"/>
  <c r="R60" i="12" s="1"/>
  <c r="R30" i="12"/>
  <c r="R34" i="12" s="1"/>
  <c r="AK26" i="12"/>
  <c r="AO43" i="12" s="1"/>
  <c r="T29" i="12"/>
  <c r="T49" i="12"/>
  <c r="T44" i="12"/>
  <c r="T37" i="12"/>
  <c r="T32" i="12"/>
  <c r="T25" i="12"/>
  <c r="AI31" i="12"/>
  <c r="AK31" i="12" s="1"/>
  <c r="AI16" i="12"/>
  <c r="T33" i="12"/>
  <c r="AK27" i="12"/>
  <c r="H60" i="12"/>
  <c r="AI55" i="12"/>
  <c r="AK51" i="12"/>
  <c r="AI42" i="12"/>
  <c r="AK58" i="12"/>
  <c r="AK46" i="12"/>
  <c r="AK54" i="12"/>
  <c r="AI29" i="12"/>
  <c r="AK22" i="12"/>
  <c r="AK23" i="12"/>
  <c r="AK59" i="12"/>
  <c r="AK25" i="12"/>
  <c r="AK57" i="12"/>
  <c r="J57" i="12"/>
  <c r="J49" i="12"/>
  <c r="J44" i="12"/>
  <c r="J37" i="12"/>
  <c r="J32" i="12"/>
  <c r="J25" i="12"/>
  <c r="AK39" i="12"/>
  <c r="AO44" i="12" s="1"/>
  <c r="AI48" i="12"/>
  <c r="AK48" i="12" s="1"/>
  <c r="AI40" i="12"/>
  <c r="AI36" i="12"/>
  <c r="AI32" i="12"/>
  <c r="AI28" i="12"/>
  <c r="AP20" i="12" s="1"/>
  <c r="AQ20" i="12" s="1"/>
  <c r="AI24" i="12"/>
  <c r="AI20" i="12"/>
  <c r="AK33" i="12" s="1"/>
  <c r="J33" i="12"/>
  <c r="AK35" i="12"/>
  <c r="T52" i="12"/>
  <c r="T26" i="12"/>
  <c r="T39" i="12"/>
  <c r="J26" i="12"/>
  <c r="J29" i="12"/>
  <c r="J42" i="12"/>
  <c r="T42" i="12"/>
  <c r="J52" i="12"/>
  <c r="J55" i="12"/>
  <c r="T55" i="12"/>
  <c r="F18" i="12"/>
  <c r="P19" i="12"/>
  <c r="F22" i="12"/>
  <c r="F39" i="12"/>
  <c r="P39" i="12"/>
  <c r="Q39" i="12" s="1"/>
  <c r="J39" i="12"/>
  <c r="AG36" i="12"/>
  <c r="AG40" i="12"/>
  <c r="AG49" i="12"/>
  <c r="F31" i="12"/>
  <c r="F12" i="12"/>
  <c r="AG41" i="12"/>
  <c r="AG35" i="12"/>
  <c r="F55" i="12"/>
  <c r="P55" i="12"/>
  <c r="U68" i="12" s="1"/>
  <c r="AG57" i="12"/>
  <c r="AG58" i="12"/>
  <c r="AG38" i="12"/>
  <c r="AG46" i="12"/>
  <c r="AG48" i="12"/>
  <c r="AG53" i="12"/>
  <c r="AG54" i="12"/>
  <c r="AL67" i="12" s="1"/>
  <c r="AG15" i="12"/>
  <c r="Q10" i="12"/>
  <c r="F11" i="12"/>
  <c r="P12" i="12"/>
  <c r="P23" i="12"/>
  <c r="U36" i="12" s="1"/>
  <c r="P28" i="12"/>
  <c r="AG37" i="12"/>
  <c r="AH37" i="12" s="1"/>
  <c r="AG44" i="12"/>
  <c r="AG45" i="12"/>
  <c r="AG51" i="12"/>
  <c r="AG59" i="12"/>
  <c r="F20" i="12"/>
  <c r="P24" i="12"/>
  <c r="U37" i="12" s="1"/>
  <c r="F52" i="12"/>
  <c r="F9" i="12"/>
  <c r="P20" i="12"/>
  <c r="F23" i="12"/>
  <c r="F29" i="12"/>
  <c r="F42" i="12"/>
  <c r="P42" i="12"/>
  <c r="F24" i="12"/>
  <c r="K37" i="12" s="1"/>
  <c r="F16" i="12"/>
  <c r="P18" i="12"/>
  <c r="P31" i="12"/>
  <c r="K32" i="12"/>
  <c r="AE19" i="12"/>
  <c r="AG19" i="12" s="1"/>
  <c r="CF60" i="12"/>
  <c r="P27" i="12"/>
  <c r="U40" i="12" s="1"/>
  <c r="P15" i="12"/>
  <c r="P22" i="12"/>
  <c r="Q22" i="12" s="1"/>
  <c r="P32" i="12"/>
  <c r="U45" i="12" s="1"/>
  <c r="O13" i="12"/>
  <c r="BS61" i="12"/>
  <c r="G38" i="12"/>
  <c r="F33" i="12"/>
  <c r="K46" i="12" s="1"/>
  <c r="F25" i="12"/>
  <c r="P33" i="12"/>
  <c r="U46" i="12" s="1"/>
  <c r="P25" i="12"/>
  <c r="U38" i="12" s="1"/>
  <c r="AF18" i="12"/>
  <c r="AE27" i="12"/>
  <c r="K53" i="12"/>
  <c r="U54" i="12"/>
  <c r="CC61" i="12"/>
  <c r="AF12" i="12"/>
  <c r="AE20" i="12"/>
  <c r="O29" i="12"/>
  <c r="AE25" i="12"/>
  <c r="AF27" i="12"/>
  <c r="C43" i="12"/>
  <c r="K28" i="12"/>
  <c r="AD13" i="12"/>
  <c r="M17" i="12"/>
  <c r="AF24" i="12"/>
  <c r="AE33" i="12"/>
  <c r="G36" i="12"/>
  <c r="K51" i="12"/>
  <c r="Q49" i="12"/>
  <c r="K54" i="12"/>
  <c r="BF20" i="12"/>
  <c r="K59" i="12"/>
  <c r="CF64" i="12"/>
  <c r="AE50" i="12"/>
  <c r="AG50" i="12" s="1"/>
  <c r="AL63" i="12" s="1"/>
  <c r="CF61" i="12"/>
  <c r="AF11" i="12"/>
  <c r="AE12" i="12"/>
  <c r="AF25" i="12"/>
  <c r="AF32" i="12"/>
  <c r="AF33" i="12"/>
  <c r="G35" i="12"/>
  <c r="U51" i="12"/>
  <c r="C56" i="12"/>
  <c r="O56" i="12"/>
  <c r="BF19" i="12"/>
  <c r="D56" i="12"/>
  <c r="D60" i="12" s="1"/>
  <c r="BF22" i="12"/>
  <c r="BF23" i="12"/>
  <c r="G37" i="12"/>
  <c r="E13" i="12"/>
  <c r="E17" i="12" s="1"/>
  <c r="E21" i="12" s="1"/>
  <c r="C17" i="12"/>
  <c r="AE18" i="12"/>
  <c r="AE24" i="12"/>
  <c r="N26" i="12"/>
  <c r="K41" i="12"/>
  <c r="M30" i="12"/>
  <c r="AE32" i="12"/>
  <c r="K40" i="12"/>
  <c r="AE31" i="12"/>
  <c r="K45" i="12"/>
  <c r="U58" i="12"/>
  <c r="AD42" i="12"/>
  <c r="Q51" i="12"/>
  <c r="K57" i="12"/>
  <c r="U57" i="12"/>
  <c r="D13" i="12"/>
  <c r="D17" i="12" s="1"/>
  <c r="D21" i="12" s="1"/>
  <c r="N29" i="12"/>
  <c r="AF31" i="12"/>
  <c r="U49" i="12"/>
  <c r="Q36" i="12"/>
  <c r="E56" i="12"/>
  <c r="AE10" i="12"/>
  <c r="AE11" i="12"/>
  <c r="N13" i="12"/>
  <c r="D26" i="12"/>
  <c r="O26" i="12"/>
  <c r="AD26" i="12"/>
  <c r="AF28" i="12"/>
  <c r="AE28" i="12"/>
  <c r="AD29" i="12"/>
  <c r="C30" i="12"/>
  <c r="Q37" i="12"/>
  <c r="AD39" i="12"/>
  <c r="AE39" i="12"/>
  <c r="M43" i="12"/>
  <c r="U53" i="12"/>
  <c r="CC63" i="12"/>
  <c r="CC62" i="12"/>
  <c r="AF9" i="12"/>
  <c r="AG9" i="12" s="1"/>
  <c r="AF10" i="12"/>
  <c r="O16" i="12"/>
  <c r="AF14" i="12"/>
  <c r="AG14" i="12" s="1"/>
  <c r="AD16" i="12"/>
  <c r="AF20" i="12"/>
  <c r="E26" i="12"/>
  <c r="AF22" i="12"/>
  <c r="AE22" i="12"/>
  <c r="AF23" i="12"/>
  <c r="AE23" i="12"/>
  <c r="N16" i="12"/>
  <c r="U48" i="12"/>
  <c r="Q38" i="12"/>
  <c r="Q35" i="12"/>
  <c r="AE42" i="12"/>
  <c r="N43" i="12"/>
  <c r="E43" i="12"/>
  <c r="CF63" i="12"/>
  <c r="BS63" i="12"/>
  <c r="BS64" i="12"/>
  <c r="D43" i="12"/>
  <c r="O43" i="12"/>
  <c r="AD52" i="12"/>
  <c r="AE55" i="12"/>
  <c r="AF42" i="12"/>
  <c r="K50" i="12"/>
  <c r="G50" i="12"/>
  <c r="U50" i="12"/>
  <c r="Q50" i="12"/>
  <c r="N52" i="12"/>
  <c r="P52" i="12" s="1"/>
  <c r="O60" i="12"/>
  <c r="AF55" i="12"/>
  <c r="M56" i="12"/>
  <c r="BF21" i="12"/>
  <c r="K58" i="12"/>
  <c r="CF62" i="12"/>
  <c r="BS62" i="12"/>
  <c r="K48" i="12"/>
  <c r="G48" i="12"/>
  <c r="K49" i="12"/>
  <c r="G49" i="12"/>
  <c r="AF52" i="12"/>
  <c r="U59" i="12"/>
  <c r="G51" i="12"/>
  <c r="AD55" i="12"/>
  <c r="CC64" i="12"/>
  <c r="I131" i="3" l="1"/>
  <c r="T131" i="3" s="1"/>
  <c r="I142" i="3"/>
  <c r="G42" i="12"/>
  <c r="J69" i="12"/>
  <c r="J82" i="12"/>
  <c r="G66" i="12"/>
  <c r="K78" i="12"/>
  <c r="AL58" i="12"/>
  <c r="AK65" i="12"/>
  <c r="AK78" i="12"/>
  <c r="AI34" i="12"/>
  <c r="E34" i="3" s="1"/>
  <c r="Q68" i="12"/>
  <c r="U78" i="12"/>
  <c r="AH67" i="12"/>
  <c r="AL79" i="12"/>
  <c r="H172" i="3"/>
  <c r="G172" i="3"/>
  <c r="AH63" i="12"/>
  <c r="H38" i="13"/>
  <c r="H84" i="13"/>
  <c r="H67" i="13"/>
  <c r="AL51" i="12"/>
  <c r="H61" i="13"/>
  <c r="L172" i="3"/>
  <c r="AI60" i="12"/>
  <c r="G34" i="3" s="1"/>
  <c r="K68" i="12"/>
  <c r="AG68" i="12"/>
  <c r="AL81" i="12" s="1"/>
  <c r="H45" i="13"/>
  <c r="G51" i="13"/>
  <c r="H51" i="13" s="1"/>
  <c r="H52" i="13" s="1"/>
  <c r="F59" i="13"/>
  <c r="G59" i="13" s="1"/>
  <c r="F58" i="3" s="1"/>
  <c r="F122" i="3" s="1"/>
  <c r="F179" i="3" s="1"/>
  <c r="AL59" i="12"/>
  <c r="AI43" i="12"/>
  <c r="AK56" i="12" s="1"/>
  <c r="AQ45" i="12" s="1"/>
  <c r="H44" i="13"/>
  <c r="AK29" i="12"/>
  <c r="AP43" i="12" s="1"/>
  <c r="G68" i="13"/>
  <c r="H75" i="13" s="1"/>
  <c r="H76" i="13" s="1"/>
  <c r="F76" i="13"/>
  <c r="G76" i="13" s="1"/>
  <c r="D111" i="3"/>
  <c r="D172" i="3" s="1"/>
  <c r="D30" i="3"/>
  <c r="AI30" i="12"/>
  <c r="AK30" i="12" s="1"/>
  <c r="AQ43" i="12" s="1"/>
  <c r="G17" i="13"/>
  <c r="H24" i="13" s="1"/>
  <c r="H25" i="13" s="1"/>
  <c r="F25" i="13"/>
  <c r="G25" i="13" s="1"/>
  <c r="D58" i="3" s="1"/>
  <c r="D122" i="3" s="1"/>
  <c r="D179" i="3" s="1"/>
  <c r="AL53" i="12"/>
  <c r="G85" i="13"/>
  <c r="H87" i="13" s="1"/>
  <c r="F93" i="13"/>
  <c r="F42" i="13"/>
  <c r="K65" i="12"/>
  <c r="G93" i="13"/>
  <c r="G89" i="13"/>
  <c r="H56" i="13"/>
  <c r="H57" i="13"/>
  <c r="F61" i="3"/>
  <c r="H55" i="13"/>
  <c r="G60" i="3"/>
  <c r="L68" i="13"/>
  <c r="H68" i="13"/>
  <c r="H69" i="13" s="1"/>
  <c r="G47" i="13"/>
  <c r="L55" i="13"/>
  <c r="L82" i="13"/>
  <c r="H82" i="13"/>
  <c r="L80" i="13"/>
  <c r="L87" i="13"/>
  <c r="H14" i="13"/>
  <c r="L65" i="13"/>
  <c r="H65" i="13"/>
  <c r="H43" i="13"/>
  <c r="H46" i="13"/>
  <c r="D59" i="3"/>
  <c r="H13" i="13"/>
  <c r="E63" i="3"/>
  <c r="L40" i="13"/>
  <c r="L72" i="13"/>
  <c r="H73" i="13"/>
  <c r="G61" i="3"/>
  <c r="H72" i="13"/>
  <c r="H74" i="13"/>
  <c r="L48" i="13"/>
  <c r="H48" i="13"/>
  <c r="D60" i="3"/>
  <c r="H17" i="13"/>
  <c r="H18" i="13" s="1"/>
  <c r="L60" i="13"/>
  <c r="H60" i="13"/>
  <c r="H63" i="13"/>
  <c r="L57" i="13"/>
  <c r="H19" i="13"/>
  <c r="H16" i="13"/>
  <c r="H81" i="13"/>
  <c r="H59" i="3"/>
  <c r="L81" i="13"/>
  <c r="L70" i="13"/>
  <c r="H9" i="13"/>
  <c r="H12" i="13"/>
  <c r="F60" i="3"/>
  <c r="H15" i="13"/>
  <c r="H10" i="13"/>
  <c r="H83" i="13"/>
  <c r="L26" i="13"/>
  <c r="G59" i="3"/>
  <c r="L64" i="13"/>
  <c r="H64" i="13"/>
  <c r="D61" i="3"/>
  <c r="H23" i="13"/>
  <c r="H21" i="13"/>
  <c r="H22" i="13"/>
  <c r="L47" i="13"/>
  <c r="E59" i="3"/>
  <c r="L30" i="13"/>
  <c r="H30" i="13"/>
  <c r="K59" i="13"/>
  <c r="K42" i="13"/>
  <c r="H32" i="13"/>
  <c r="H31" i="13"/>
  <c r="G39" i="13"/>
  <c r="G34" i="13"/>
  <c r="G36" i="13"/>
  <c r="L36" i="13" s="1"/>
  <c r="G37" i="13"/>
  <c r="IB26" i="15"/>
  <c r="IG26" i="15"/>
  <c r="AH9" i="12"/>
  <c r="AH35" i="12"/>
  <c r="AH38" i="12"/>
  <c r="AH48" i="12"/>
  <c r="AH51" i="12"/>
  <c r="H21" i="12"/>
  <c r="AI21" i="12" s="1"/>
  <c r="D34" i="3" s="1"/>
  <c r="O73" i="12"/>
  <c r="AF73" i="12" s="1"/>
  <c r="AF69" i="12"/>
  <c r="N73" i="12"/>
  <c r="AE73" i="12" s="1"/>
  <c r="AE69" i="12"/>
  <c r="AL71" i="12"/>
  <c r="AL70" i="12"/>
  <c r="AH64" i="12"/>
  <c r="AH36" i="12"/>
  <c r="AK68" i="12"/>
  <c r="AL64" i="12"/>
  <c r="AL61" i="12"/>
  <c r="AL49" i="12"/>
  <c r="AH49" i="12"/>
  <c r="AH50" i="12"/>
  <c r="AL54" i="12"/>
  <c r="AD69" i="12"/>
  <c r="T69" i="12"/>
  <c r="R73" i="12"/>
  <c r="T86" i="12" s="1"/>
  <c r="AI69" i="12"/>
  <c r="AK82" i="12" s="1"/>
  <c r="AL66" i="12"/>
  <c r="AL62" i="12"/>
  <c r="AH62" i="12"/>
  <c r="AL72" i="12"/>
  <c r="AK61" i="12"/>
  <c r="AH65" i="12"/>
  <c r="AH66" i="12"/>
  <c r="G67" i="12"/>
  <c r="H73" i="12"/>
  <c r="G68" i="12"/>
  <c r="G65" i="12"/>
  <c r="Q67" i="12"/>
  <c r="U65" i="12"/>
  <c r="Q65" i="12"/>
  <c r="Q66" i="12"/>
  <c r="P69" i="12"/>
  <c r="U82" i="12" s="1"/>
  <c r="M73" i="12"/>
  <c r="O118" i="12" s="1"/>
  <c r="F69" i="12"/>
  <c r="K82" i="12" s="1"/>
  <c r="C73" i="12"/>
  <c r="F73" i="12" s="1"/>
  <c r="K86" i="12" s="1"/>
  <c r="AG18" i="12"/>
  <c r="AL48" i="12"/>
  <c r="AL57" i="12"/>
  <c r="AI56" i="12"/>
  <c r="AG25" i="12"/>
  <c r="AL50" i="12"/>
  <c r="AL38" i="12"/>
  <c r="K31" i="12"/>
  <c r="AK42" i="12"/>
  <c r="AP44" i="12" s="1"/>
  <c r="AK47" i="12"/>
  <c r="AR44" i="12" s="1"/>
  <c r="AK55" i="12"/>
  <c r="AP45" i="12" s="1"/>
  <c r="AK44" i="12"/>
  <c r="AK60" i="12"/>
  <c r="AR45" i="12" s="1"/>
  <c r="AK45" i="12"/>
  <c r="AK32" i="12"/>
  <c r="AK49" i="12"/>
  <c r="AK36" i="12"/>
  <c r="AK37" i="12"/>
  <c r="AK24" i="12"/>
  <c r="AK53" i="12"/>
  <c r="AK40" i="12"/>
  <c r="AK41" i="12"/>
  <c r="AK28" i="12"/>
  <c r="T43" i="12"/>
  <c r="CG62" i="12"/>
  <c r="U32" i="12"/>
  <c r="K22" i="12"/>
  <c r="J30" i="12"/>
  <c r="T56" i="12"/>
  <c r="T30" i="12"/>
  <c r="J43" i="12"/>
  <c r="J56" i="12"/>
  <c r="AG10" i="12"/>
  <c r="AH10" i="12" s="1"/>
  <c r="AG23" i="12"/>
  <c r="AG28" i="12"/>
  <c r="AG27" i="12"/>
  <c r="AL27" i="12" s="1"/>
  <c r="F26" i="12"/>
  <c r="K39" i="12" s="1"/>
  <c r="AG20" i="12"/>
  <c r="AG22" i="12"/>
  <c r="AG39" i="12"/>
  <c r="P26" i="12"/>
  <c r="Q27" i="12" s="1"/>
  <c r="AG32" i="12"/>
  <c r="AL32" i="12" s="1"/>
  <c r="AG55" i="12"/>
  <c r="P13" i="12"/>
  <c r="AG42" i="12"/>
  <c r="U24" i="12"/>
  <c r="U31" i="12"/>
  <c r="K42" i="12"/>
  <c r="AG12" i="12"/>
  <c r="AG31" i="12"/>
  <c r="AG11" i="12"/>
  <c r="AG33" i="12"/>
  <c r="AG24" i="12"/>
  <c r="CG61" i="12"/>
  <c r="P16" i="12"/>
  <c r="F17" i="12"/>
  <c r="G19" i="12" s="1"/>
  <c r="C21" i="12"/>
  <c r="F21" i="12" s="1"/>
  <c r="C60" i="12"/>
  <c r="F56" i="12"/>
  <c r="C47" i="12"/>
  <c r="F43" i="12"/>
  <c r="M34" i="12"/>
  <c r="U33" i="12"/>
  <c r="P29" i="12"/>
  <c r="U42" i="12" s="1"/>
  <c r="F13" i="12"/>
  <c r="G13" i="12" s="1"/>
  <c r="P43" i="12"/>
  <c r="Q23" i="12"/>
  <c r="AE26" i="12"/>
  <c r="K24" i="12"/>
  <c r="K25" i="12"/>
  <c r="AD17" i="12"/>
  <c r="AD30" i="12"/>
  <c r="C34" i="12"/>
  <c r="K38" i="12"/>
  <c r="O30" i="12"/>
  <c r="Q40" i="12"/>
  <c r="M21" i="12"/>
  <c r="AD21" i="12" s="1"/>
  <c r="G41" i="12"/>
  <c r="K33" i="12"/>
  <c r="U22" i="12"/>
  <c r="AF29" i="12"/>
  <c r="Q24" i="12"/>
  <c r="CG63" i="12"/>
  <c r="Q41" i="12"/>
  <c r="U35" i="12"/>
  <c r="U25" i="12"/>
  <c r="AF13" i="12"/>
  <c r="Q25" i="12"/>
  <c r="G16" i="12"/>
  <c r="O34" i="12"/>
  <c r="Q12" i="12"/>
  <c r="K23" i="12"/>
  <c r="G23" i="12"/>
  <c r="K36" i="12"/>
  <c r="U55" i="12"/>
  <c r="O47" i="12"/>
  <c r="AF43" i="12"/>
  <c r="O17" i="12"/>
  <c r="AF16" i="12"/>
  <c r="G22" i="12"/>
  <c r="G25" i="12"/>
  <c r="K35" i="12"/>
  <c r="E60" i="12"/>
  <c r="AF60" i="12" s="1"/>
  <c r="AF56" i="12"/>
  <c r="U28" i="12"/>
  <c r="AD56" i="12"/>
  <c r="M60" i="12"/>
  <c r="AE52" i="12"/>
  <c r="N56" i="12"/>
  <c r="P56" i="12" s="1"/>
  <c r="G52" i="12"/>
  <c r="G53" i="12"/>
  <c r="K52" i="12"/>
  <c r="G54" i="12"/>
  <c r="D47" i="12"/>
  <c r="CG64" i="12"/>
  <c r="E47" i="12"/>
  <c r="AE16" i="12"/>
  <c r="N17" i="12"/>
  <c r="G9" i="12"/>
  <c r="G12" i="12"/>
  <c r="K55" i="12"/>
  <c r="G55" i="12"/>
  <c r="AD43" i="12"/>
  <c r="M47" i="12"/>
  <c r="K29" i="12"/>
  <c r="N30" i="12"/>
  <c r="AE29" i="12"/>
  <c r="G14" i="12"/>
  <c r="D30" i="12"/>
  <c r="G11" i="12"/>
  <c r="U41" i="12"/>
  <c r="AE43" i="12"/>
  <c r="N47" i="12"/>
  <c r="G39" i="12"/>
  <c r="G40" i="12"/>
  <c r="AF26" i="12"/>
  <c r="U23" i="12"/>
  <c r="AE13" i="12"/>
  <c r="K44" i="12"/>
  <c r="G24" i="12"/>
  <c r="U44" i="12"/>
  <c r="Q42" i="12"/>
  <c r="E30" i="12"/>
  <c r="U27" i="12"/>
  <c r="Q11" i="12"/>
  <c r="G10" i="12"/>
  <c r="I184" i="3" l="1"/>
  <c r="I162" i="3"/>
  <c r="T132" i="3" s="1"/>
  <c r="AH68" i="12"/>
  <c r="J73" i="12"/>
  <c r="J86" i="12"/>
  <c r="AH11" i="12"/>
  <c r="Q26" i="12"/>
  <c r="G18" i="12"/>
  <c r="H53" i="13"/>
  <c r="H70" i="13"/>
  <c r="H58" i="3"/>
  <c r="H58" i="13"/>
  <c r="H59" i="13" s="1"/>
  <c r="F124" i="3"/>
  <c r="D124" i="3"/>
  <c r="AH42" i="12"/>
  <c r="J34" i="12"/>
  <c r="H60" i="3"/>
  <c r="AK43" i="12"/>
  <c r="AQ44" i="12" s="1"/>
  <c r="AK34" i="12"/>
  <c r="AR43" i="12" s="1"/>
  <c r="AL45" i="12"/>
  <c r="H85" i="13"/>
  <c r="H86" i="13" s="1"/>
  <c r="L53" i="13"/>
  <c r="L85" i="13"/>
  <c r="D65" i="3"/>
  <c r="G65" i="3"/>
  <c r="L89" i="13"/>
  <c r="H91" i="13"/>
  <c r="H90" i="13"/>
  <c r="H92" i="13"/>
  <c r="H93" i="13" s="1"/>
  <c r="H89" i="13"/>
  <c r="H61" i="3" s="1"/>
  <c r="H37" i="13"/>
  <c r="L37" i="13"/>
  <c r="L54" i="13"/>
  <c r="L93" i="13"/>
  <c r="E62" i="3"/>
  <c r="L39" i="13"/>
  <c r="L56" i="13"/>
  <c r="G58" i="3"/>
  <c r="G122" i="3" s="1"/>
  <c r="G179" i="3" s="1"/>
  <c r="L76" i="13"/>
  <c r="F59" i="3"/>
  <c r="F65" i="3" s="1"/>
  <c r="H47" i="13"/>
  <c r="H49" i="13"/>
  <c r="H50" i="13"/>
  <c r="E60" i="3"/>
  <c r="L34" i="13"/>
  <c r="L51" i="13"/>
  <c r="H41" i="13"/>
  <c r="H42" i="13" s="1"/>
  <c r="H36" i="13"/>
  <c r="H34" i="13"/>
  <c r="H35" i="13" s="1"/>
  <c r="H39" i="13"/>
  <c r="H40" i="13"/>
  <c r="AL22" i="12"/>
  <c r="AH22" i="12"/>
  <c r="AH25" i="12"/>
  <c r="AL28" i="12"/>
  <c r="T73" i="12"/>
  <c r="AI73" i="12"/>
  <c r="AK86" i="12" s="1"/>
  <c r="AH12" i="12"/>
  <c r="AL31" i="12"/>
  <c r="AH23" i="12"/>
  <c r="AH24" i="12"/>
  <c r="AG69" i="12"/>
  <c r="AL55" i="12"/>
  <c r="AP35" i="12" s="1"/>
  <c r="AL33" i="12"/>
  <c r="AH39" i="12"/>
  <c r="AH40" i="12"/>
  <c r="AL46" i="12"/>
  <c r="P73" i="12"/>
  <c r="U86" i="12" s="1"/>
  <c r="AD73" i="12"/>
  <c r="AK69" i="12"/>
  <c r="AH41" i="12"/>
  <c r="AL68" i="12"/>
  <c r="AP36" i="12" s="1"/>
  <c r="U69" i="12"/>
  <c r="Q69" i="12"/>
  <c r="Q72" i="12"/>
  <c r="Q73" i="12" s="1"/>
  <c r="Q71" i="12"/>
  <c r="Q70" i="12"/>
  <c r="K69" i="12"/>
  <c r="G69" i="12"/>
  <c r="G72" i="12"/>
  <c r="G73" i="12" s="1"/>
  <c r="G71" i="12"/>
  <c r="G70" i="12"/>
  <c r="AL35" i="12"/>
  <c r="AG29" i="12"/>
  <c r="AL42" i="12" s="1"/>
  <c r="AL23" i="12"/>
  <c r="AL44" i="12"/>
  <c r="AL36" i="12"/>
  <c r="AL24" i="12"/>
  <c r="AL40" i="12"/>
  <c r="G15" i="12"/>
  <c r="AG16" i="12"/>
  <c r="AL25" i="12"/>
  <c r="AL41" i="12"/>
  <c r="AL37" i="12"/>
  <c r="J47" i="12"/>
  <c r="U39" i="12"/>
  <c r="P17" i="12"/>
  <c r="Q28" i="12"/>
  <c r="AG13" i="12"/>
  <c r="U26" i="12"/>
  <c r="T60" i="12"/>
  <c r="T34" i="12"/>
  <c r="T47" i="12"/>
  <c r="J60" i="12"/>
  <c r="AG52" i="12"/>
  <c r="AH55" i="12" s="1"/>
  <c r="AG43" i="12"/>
  <c r="AG26" i="12"/>
  <c r="AH28" i="12" s="1"/>
  <c r="F30" i="12"/>
  <c r="K43" i="12" s="1"/>
  <c r="F47" i="12"/>
  <c r="P30" i="12"/>
  <c r="F60" i="12"/>
  <c r="K73" i="12" s="1"/>
  <c r="P47" i="12"/>
  <c r="G20" i="12"/>
  <c r="G21" i="12" s="1"/>
  <c r="G17" i="12"/>
  <c r="E34" i="12"/>
  <c r="N34" i="12"/>
  <c r="AE30" i="12"/>
  <c r="AD34" i="12"/>
  <c r="U52" i="12"/>
  <c r="Q53" i="12"/>
  <c r="Q52" i="12"/>
  <c r="Q54" i="12"/>
  <c r="O21" i="12"/>
  <c r="AF21" i="12" s="1"/>
  <c r="AF17" i="12"/>
  <c r="Q55" i="12"/>
  <c r="Q14" i="12"/>
  <c r="Q13" i="12"/>
  <c r="N21" i="12"/>
  <c r="AE17" i="12"/>
  <c r="G56" i="12"/>
  <c r="G58" i="12"/>
  <c r="G57" i="12"/>
  <c r="K56" i="12"/>
  <c r="G59" i="12"/>
  <c r="G60" i="12" s="1"/>
  <c r="AD60" i="12"/>
  <c r="Q16" i="12"/>
  <c r="K26" i="12"/>
  <c r="G27" i="12"/>
  <c r="G26" i="12"/>
  <c r="G28" i="12"/>
  <c r="G29" i="12"/>
  <c r="Q44" i="12"/>
  <c r="Q43" i="12"/>
  <c r="Q45" i="12"/>
  <c r="Q46" i="12"/>
  <c r="Q47" i="12" s="1"/>
  <c r="N60" i="12"/>
  <c r="P60" i="12" s="1"/>
  <c r="AE56" i="12"/>
  <c r="G46" i="12"/>
  <c r="G47" i="12" s="1"/>
  <c r="G45" i="12"/>
  <c r="G44" i="12"/>
  <c r="G43" i="12"/>
  <c r="AE47" i="12"/>
  <c r="D34" i="12"/>
  <c r="U29" i="12"/>
  <c r="Q29" i="12"/>
  <c r="AD47" i="12"/>
  <c r="AF47" i="12"/>
  <c r="AF30" i="12"/>
  <c r="Q15" i="12"/>
  <c r="H65" i="3" l="1"/>
  <c r="H35" i="3"/>
  <c r="C16" i="2" s="1"/>
  <c r="AG73" i="12"/>
  <c r="AL86" i="12" s="1"/>
  <c r="AR37" i="12" s="1"/>
  <c r="C27" i="2"/>
  <c r="D27" i="2" s="1"/>
  <c r="G124" i="3"/>
  <c r="AK73" i="12"/>
  <c r="H34" i="3"/>
  <c r="H122" i="3"/>
  <c r="H179" i="3" s="1"/>
  <c r="E65" i="3"/>
  <c r="H29" i="13"/>
  <c r="G42" i="13"/>
  <c r="AL52" i="12"/>
  <c r="AO35" i="12" s="1"/>
  <c r="AH52" i="12"/>
  <c r="AH53" i="12"/>
  <c r="AH54" i="12"/>
  <c r="AL65" i="12"/>
  <c r="AP59" i="12"/>
  <c r="AQ59" i="12"/>
  <c r="AH71" i="12"/>
  <c r="AH70" i="12"/>
  <c r="AH69" i="12"/>
  <c r="AH72" i="12"/>
  <c r="AH73" i="12" s="1"/>
  <c r="AH43" i="12"/>
  <c r="AH46" i="12"/>
  <c r="AH47" i="12" s="1"/>
  <c r="AH45" i="12"/>
  <c r="AH44" i="12"/>
  <c r="AL26" i="12"/>
  <c r="AO33" i="12" s="1"/>
  <c r="AH27" i="12"/>
  <c r="AH26" i="12"/>
  <c r="AH14" i="12"/>
  <c r="AH13" i="12"/>
  <c r="AH15" i="12"/>
  <c r="AH16" i="12"/>
  <c r="AH29" i="12"/>
  <c r="U73" i="12"/>
  <c r="AL39" i="12"/>
  <c r="AO34" i="12" s="1"/>
  <c r="AL29" i="12"/>
  <c r="AP33" i="12" s="1"/>
  <c r="K60" i="12"/>
  <c r="AG47" i="12"/>
  <c r="F35" i="3" s="1"/>
  <c r="F114" i="3" s="1"/>
  <c r="F176" i="3" s="1"/>
  <c r="AG17" i="12"/>
  <c r="AG30" i="12"/>
  <c r="P21" i="12"/>
  <c r="AG56" i="12"/>
  <c r="P34" i="12"/>
  <c r="F34" i="12"/>
  <c r="K34" i="12" s="1"/>
  <c r="AF34" i="12"/>
  <c r="AP34" i="12"/>
  <c r="AE60" i="12"/>
  <c r="Q20" i="12"/>
  <c r="Q21" i="12" s="1"/>
  <c r="Q19" i="12"/>
  <c r="Q18" i="12"/>
  <c r="Q17" i="12"/>
  <c r="Q57" i="12"/>
  <c r="U56" i="12"/>
  <c r="Q56" i="12"/>
  <c r="Q59" i="12"/>
  <c r="Q60" i="12" s="1"/>
  <c r="Q58" i="12"/>
  <c r="Q31" i="12"/>
  <c r="U30" i="12"/>
  <c r="Q30" i="12"/>
  <c r="Q33" i="12"/>
  <c r="Q34" i="12" s="1"/>
  <c r="Q32" i="12"/>
  <c r="U43" i="12"/>
  <c r="U60" i="12"/>
  <c r="AE21" i="12"/>
  <c r="AG21" i="12" s="1"/>
  <c r="G31" i="12"/>
  <c r="G30" i="12"/>
  <c r="G33" i="12"/>
  <c r="G34" i="12" s="1"/>
  <c r="G32" i="12"/>
  <c r="K30" i="12"/>
  <c r="AE34" i="12"/>
  <c r="AG34" i="12" s="1"/>
  <c r="E35" i="3" s="1"/>
  <c r="E114" i="3" s="1"/>
  <c r="E176" i="3" s="1"/>
  <c r="H114" i="3" l="1"/>
  <c r="H176" i="3" s="1"/>
  <c r="L176" i="3"/>
  <c r="L179" i="3"/>
  <c r="H124" i="3"/>
  <c r="AO55" i="12"/>
  <c r="D35" i="3"/>
  <c r="D114" i="3" s="1"/>
  <c r="D176" i="3" s="1"/>
  <c r="L59" i="13"/>
  <c r="E58" i="3"/>
  <c r="E122" i="3" s="1"/>
  <c r="E179" i="3" s="1"/>
  <c r="L42" i="13"/>
  <c r="H26" i="13"/>
  <c r="H27" i="13"/>
  <c r="H28" i="13"/>
  <c r="H33" i="13"/>
  <c r="AL34" i="12"/>
  <c r="AO56" i="12"/>
  <c r="AH56" i="12"/>
  <c r="AH59" i="12"/>
  <c r="AH60" i="12" s="1"/>
  <c r="AH58" i="12"/>
  <c r="AH57" i="12"/>
  <c r="AL69" i="12"/>
  <c r="AQ36" i="12" s="1"/>
  <c r="AH18" i="12"/>
  <c r="AH17" i="12"/>
  <c r="AH20" i="12"/>
  <c r="AH21" i="12" s="1"/>
  <c r="AH19" i="12"/>
  <c r="AL30" i="12"/>
  <c r="AQ33" i="12" s="1"/>
  <c r="AH31" i="12"/>
  <c r="AH30" i="12"/>
  <c r="AH33" i="12"/>
  <c r="AH34" i="12" s="1"/>
  <c r="AH32" i="12"/>
  <c r="AL43" i="12"/>
  <c r="AQ34" i="12" s="1"/>
  <c r="AL56" i="12"/>
  <c r="AQ35" i="12" s="1"/>
  <c r="AL47" i="12"/>
  <c r="AG60" i="12"/>
  <c r="G35" i="3" s="1"/>
  <c r="G114" i="3" s="1"/>
  <c r="G176" i="3" s="1"/>
  <c r="U34" i="12"/>
  <c r="AQ55" i="12"/>
  <c r="AP55" i="12"/>
  <c r="AQ57" i="12"/>
  <c r="AP57" i="12"/>
  <c r="U47" i="12"/>
  <c r="K47" i="12"/>
  <c r="H116" i="3" l="1"/>
  <c r="E124" i="3"/>
  <c r="AQ58" i="12"/>
  <c r="AL73" i="12"/>
  <c r="AP58" i="12"/>
  <c r="AL60" i="12"/>
  <c r="AR35" i="12" s="1"/>
  <c r="AR33" i="12"/>
  <c r="AQ56" i="12"/>
  <c r="AP56" i="12"/>
  <c r="AR34" i="12"/>
  <c r="AE15" i="11" l="1"/>
  <c r="AD15" i="11"/>
  <c r="AC15" i="11"/>
  <c r="AB15" i="11"/>
  <c r="AE6" i="11"/>
  <c r="AD6" i="11"/>
  <c r="AC6" i="11"/>
  <c r="AB6" i="11"/>
  <c r="L24" i="11"/>
  <c r="AP22" i="11" s="1"/>
  <c r="L80" i="11"/>
  <c r="L76" i="11"/>
  <c r="AP71" i="11" s="1"/>
  <c r="F88" i="11"/>
  <c r="E88" i="11"/>
  <c r="D88" i="11"/>
  <c r="C88" i="11"/>
  <c r="O87" i="11"/>
  <c r="N87" i="11"/>
  <c r="M87" i="11"/>
  <c r="L87" i="11"/>
  <c r="AP82" i="11" s="1"/>
  <c r="J87" i="11"/>
  <c r="S100" i="11" s="1"/>
  <c r="I87" i="11"/>
  <c r="R100" i="11" s="1"/>
  <c r="H87" i="11"/>
  <c r="Q100" i="11" s="1"/>
  <c r="G87" i="11"/>
  <c r="P100" i="11" s="1"/>
  <c r="O86" i="11"/>
  <c r="N86" i="11"/>
  <c r="M86" i="11"/>
  <c r="L86" i="11"/>
  <c r="AP81" i="11" s="1"/>
  <c r="J86" i="11"/>
  <c r="S99" i="11" s="1"/>
  <c r="I86" i="11"/>
  <c r="R99" i="11" s="1"/>
  <c r="H86" i="11"/>
  <c r="Q99" i="11" s="1"/>
  <c r="G86" i="11"/>
  <c r="P99" i="11" s="1"/>
  <c r="O85" i="11"/>
  <c r="N85" i="11"/>
  <c r="M85" i="11"/>
  <c r="AQ80" i="11" s="1"/>
  <c r="L85" i="11"/>
  <c r="AP80" i="11" s="1"/>
  <c r="J85" i="11"/>
  <c r="S98" i="11" s="1"/>
  <c r="I85" i="11"/>
  <c r="R98" i="11" s="1"/>
  <c r="H85" i="11"/>
  <c r="Q98" i="11" s="1"/>
  <c r="G85" i="11"/>
  <c r="P98" i="11" s="1"/>
  <c r="O84" i="11"/>
  <c r="N84" i="11"/>
  <c r="M84" i="11"/>
  <c r="AQ79" i="11" s="1"/>
  <c r="L84" i="11"/>
  <c r="AP79" i="11" s="1"/>
  <c r="J84" i="11"/>
  <c r="S97" i="11" s="1"/>
  <c r="I84" i="11"/>
  <c r="R97" i="11" s="1"/>
  <c r="H84" i="11"/>
  <c r="Q97" i="11" s="1"/>
  <c r="G84" i="11"/>
  <c r="P97" i="11" s="1"/>
  <c r="O83" i="11"/>
  <c r="N83" i="11"/>
  <c r="M83" i="11"/>
  <c r="AQ78" i="11" s="1"/>
  <c r="L83" i="11"/>
  <c r="AP78" i="11" s="1"/>
  <c r="J83" i="11"/>
  <c r="S96" i="11" s="1"/>
  <c r="I83" i="11"/>
  <c r="R96" i="11" s="1"/>
  <c r="H83" i="11"/>
  <c r="Q96" i="11" s="1"/>
  <c r="G83" i="11"/>
  <c r="P96" i="11" s="1"/>
  <c r="O82" i="11"/>
  <c r="N82" i="11"/>
  <c r="M82" i="11"/>
  <c r="L82" i="11"/>
  <c r="AP77" i="11" s="1"/>
  <c r="J82" i="11"/>
  <c r="S95" i="11" s="1"/>
  <c r="I82" i="11"/>
  <c r="R95" i="11" s="1"/>
  <c r="H82" i="11"/>
  <c r="Q95" i="11" s="1"/>
  <c r="G82" i="11"/>
  <c r="P95" i="11" s="1"/>
  <c r="O81" i="11"/>
  <c r="N81" i="11"/>
  <c r="M81" i="11"/>
  <c r="AQ76" i="11" s="1"/>
  <c r="L81" i="11"/>
  <c r="AP76" i="11" s="1"/>
  <c r="J81" i="11"/>
  <c r="S94" i="11" s="1"/>
  <c r="I81" i="11"/>
  <c r="R94" i="11" s="1"/>
  <c r="H81" i="11"/>
  <c r="Q94" i="11" s="1"/>
  <c r="G81" i="11"/>
  <c r="P94" i="11" s="1"/>
  <c r="O80" i="11"/>
  <c r="N80" i="11"/>
  <c r="M80" i="11"/>
  <c r="J80" i="11"/>
  <c r="I80" i="11"/>
  <c r="H80" i="11"/>
  <c r="H88" i="11" s="1"/>
  <c r="G80" i="11"/>
  <c r="G88" i="11" s="1"/>
  <c r="O79" i="11"/>
  <c r="N79" i="11"/>
  <c r="M79" i="11"/>
  <c r="L79" i="11"/>
  <c r="J79" i="11"/>
  <c r="I79" i="11"/>
  <c r="H79" i="11"/>
  <c r="G79" i="11"/>
  <c r="O78" i="11"/>
  <c r="N78" i="11"/>
  <c r="M78" i="11"/>
  <c r="AQ73" i="11" s="1"/>
  <c r="L78" i="11"/>
  <c r="AP73" i="11" s="1"/>
  <c r="J78" i="11"/>
  <c r="I78" i="11"/>
  <c r="H78" i="11"/>
  <c r="G78" i="11"/>
  <c r="O77" i="11"/>
  <c r="N77" i="11"/>
  <c r="M77" i="11"/>
  <c r="AQ72" i="11" s="1"/>
  <c r="L77" i="11"/>
  <c r="AP72" i="11" s="1"/>
  <c r="J77" i="11"/>
  <c r="I77" i="11"/>
  <c r="H77" i="11"/>
  <c r="G77" i="11"/>
  <c r="O76" i="11"/>
  <c r="N76" i="11"/>
  <c r="M76" i="11"/>
  <c r="J76" i="11"/>
  <c r="I76" i="11"/>
  <c r="H76" i="11"/>
  <c r="G76" i="11"/>
  <c r="E75" i="11"/>
  <c r="D75" i="11"/>
  <c r="C75" i="11"/>
  <c r="O74" i="11"/>
  <c r="N74" i="11"/>
  <c r="M74" i="11"/>
  <c r="AQ69" i="11" s="1"/>
  <c r="L74" i="11"/>
  <c r="AP69" i="11" s="1"/>
  <c r="J74" i="11"/>
  <c r="I74" i="11"/>
  <c r="H74" i="11"/>
  <c r="G74" i="11"/>
  <c r="O73" i="11"/>
  <c r="N73" i="11"/>
  <c r="M73" i="11"/>
  <c r="AQ68" i="11" s="1"/>
  <c r="L73" i="11"/>
  <c r="AP68" i="11" s="1"/>
  <c r="J73" i="11"/>
  <c r="I73" i="11"/>
  <c r="H73" i="11"/>
  <c r="G73" i="11"/>
  <c r="O72" i="11"/>
  <c r="N72" i="11"/>
  <c r="M72" i="11"/>
  <c r="AQ67" i="11" s="1"/>
  <c r="L72" i="11"/>
  <c r="AP67" i="11" s="1"/>
  <c r="J72" i="11"/>
  <c r="I72" i="11"/>
  <c r="H72" i="11"/>
  <c r="G72" i="11"/>
  <c r="O71" i="11"/>
  <c r="N71" i="11"/>
  <c r="M71" i="11"/>
  <c r="AQ66" i="11" s="1"/>
  <c r="L71" i="11"/>
  <c r="AP66" i="11" s="1"/>
  <c r="J71" i="11"/>
  <c r="I71" i="11"/>
  <c r="H71" i="11"/>
  <c r="G71" i="11"/>
  <c r="O70" i="11"/>
  <c r="N70" i="11"/>
  <c r="M70" i="11"/>
  <c r="AQ65" i="11" s="1"/>
  <c r="L70" i="11"/>
  <c r="AP65" i="11" s="1"/>
  <c r="J70" i="11"/>
  <c r="I70" i="11"/>
  <c r="H70" i="11"/>
  <c r="G70" i="11"/>
  <c r="O69" i="11"/>
  <c r="N69" i="11"/>
  <c r="M69" i="11"/>
  <c r="AQ64" i="11" s="1"/>
  <c r="L69" i="11"/>
  <c r="AP64" i="11" s="1"/>
  <c r="J69" i="11"/>
  <c r="I69" i="11"/>
  <c r="H69" i="11"/>
  <c r="G69" i="11"/>
  <c r="O68" i="11"/>
  <c r="N68" i="11"/>
  <c r="M68" i="11"/>
  <c r="AQ63" i="11" s="1"/>
  <c r="L68" i="11"/>
  <c r="AP63" i="11" s="1"/>
  <c r="J68" i="11"/>
  <c r="I68" i="11"/>
  <c r="H68" i="11"/>
  <c r="G68" i="11"/>
  <c r="O67" i="11"/>
  <c r="N67" i="11"/>
  <c r="M67" i="11"/>
  <c r="AQ62" i="11" s="1"/>
  <c r="L67" i="11"/>
  <c r="AP62" i="11" s="1"/>
  <c r="J67" i="11"/>
  <c r="J75" i="11" s="1"/>
  <c r="I67" i="11"/>
  <c r="I75" i="11" s="1"/>
  <c r="H67" i="11"/>
  <c r="H75" i="11" s="1"/>
  <c r="G67" i="11"/>
  <c r="G75" i="11" s="1"/>
  <c r="O66" i="11"/>
  <c r="N66" i="11"/>
  <c r="M66" i="11"/>
  <c r="AQ61" i="11" s="1"/>
  <c r="L66" i="11"/>
  <c r="AP61" i="11" s="1"/>
  <c r="J66" i="11"/>
  <c r="I66" i="11"/>
  <c r="H66" i="11"/>
  <c r="G66" i="11"/>
  <c r="O65" i="11"/>
  <c r="N65" i="11"/>
  <c r="M65" i="11"/>
  <c r="AQ60" i="11" s="1"/>
  <c r="L65" i="11"/>
  <c r="AP60" i="11" s="1"/>
  <c r="J65" i="11"/>
  <c r="I65" i="11"/>
  <c r="H65" i="11"/>
  <c r="G65" i="11"/>
  <c r="O64" i="11"/>
  <c r="N64" i="11"/>
  <c r="M64" i="11"/>
  <c r="AQ59" i="11" s="1"/>
  <c r="L64" i="11"/>
  <c r="AP59" i="11" s="1"/>
  <c r="J64" i="11"/>
  <c r="I64" i="11"/>
  <c r="H64" i="11"/>
  <c r="G64" i="11"/>
  <c r="O63" i="11"/>
  <c r="N63" i="11"/>
  <c r="M63" i="11"/>
  <c r="AQ58" i="11" s="1"/>
  <c r="L63" i="11"/>
  <c r="AP58" i="11" s="1"/>
  <c r="J63" i="11"/>
  <c r="I63" i="11"/>
  <c r="H63" i="11"/>
  <c r="G63" i="11"/>
  <c r="F62" i="11"/>
  <c r="E62" i="11"/>
  <c r="D62" i="11"/>
  <c r="C62" i="11"/>
  <c r="O61" i="11"/>
  <c r="N61" i="11"/>
  <c r="M61" i="11"/>
  <c r="AQ57" i="11" s="1"/>
  <c r="L61" i="11"/>
  <c r="AP57" i="11" s="1"/>
  <c r="J61" i="11"/>
  <c r="I61" i="11"/>
  <c r="H61" i="11"/>
  <c r="G61" i="11"/>
  <c r="O60" i="11"/>
  <c r="N60" i="11"/>
  <c r="M60" i="11"/>
  <c r="AQ56" i="11" s="1"/>
  <c r="L60" i="11"/>
  <c r="AP56" i="11" s="1"/>
  <c r="J60" i="11"/>
  <c r="I60" i="11"/>
  <c r="H60" i="11"/>
  <c r="G60" i="11"/>
  <c r="O59" i="11"/>
  <c r="N59" i="11"/>
  <c r="M59" i="11"/>
  <c r="AQ55" i="11" s="1"/>
  <c r="L59" i="11"/>
  <c r="AP55" i="11" s="1"/>
  <c r="J59" i="11"/>
  <c r="I59" i="11"/>
  <c r="H59" i="11"/>
  <c r="G59" i="11"/>
  <c r="O58" i="11"/>
  <c r="N58" i="11"/>
  <c r="M58" i="11"/>
  <c r="AQ54" i="11" s="1"/>
  <c r="L58" i="11"/>
  <c r="AP54" i="11" s="1"/>
  <c r="J58" i="11"/>
  <c r="I58" i="11"/>
  <c r="H58" i="11"/>
  <c r="G58" i="11"/>
  <c r="O57" i="11"/>
  <c r="N57" i="11"/>
  <c r="M57" i="11"/>
  <c r="AQ53" i="11" s="1"/>
  <c r="L57" i="11"/>
  <c r="AP53" i="11" s="1"/>
  <c r="J57" i="11"/>
  <c r="I57" i="11"/>
  <c r="H57" i="11"/>
  <c r="G57" i="11"/>
  <c r="O56" i="11"/>
  <c r="N56" i="11"/>
  <c r="M56" i="11"/>
  <c r="AQ52" i="11" s="1"/>
  <c r="L56" i="11"/>
  <c r="AP52" i="11" s="1"/>
  <c r="J56" i="11"/>
  <c r="I56" i="11"/>
  <c r="H56" i="11"/>
  <c r="G56" i="11"/>
  <c r="O55" i="11"/>
  <c r="N55" i="11"/>
  <c r="M55" i="11"/>
  <c r="AQ51" i="11" s="1"/>
  <c r="L55" i="11"/>
  <c r="AP51" i="11" s="1"/>
  <c r="J55" i="11"/>
  <c r="I55" i="11"/>
  <c r="H55" i="11"/>
  <c r="G55" i="11"/>
  <c r="O54" i="11"/>
  <c r="N54" i="11"/>
  <c r="M54" i="11"/>
  <c r="AQ50" i="11" s="1"/>
  <c r="L54" i="11"/>
  <c r="AP50" i="11" s="1"/>
  <c r="J54" i="11"/>
  <c r="J62" i="11" s="1"/>
  <c r="I54" i="11"/>
  <c r="I62" i="11" s="1"/>
  <c r="H54" i="11"/>
  <c r="G54" i="11"/>
  <c r="O53" i="11"/>
  <c r="N53" i="11"/>
  <c r="M53" i="11"/>
  <c r="AQ49" i="11" s="1"/>
  <c r="L53" i="11"/>
  <c r="AP49" i="11" s="1"/>
  <c r="J53" i="11"/>
  <c r="I53" i="11"/>
  <c r="H53" i="11"/>
  <c r="G53" i="11"/>
  <c r="O52" i="11"/>
  <c r="N52" i="11"/>
  <c r="M52" i="11"/>
  <c r="AQ48" i="11" s="1"/>
  <c r="L52" i="11"/>
  <c r="AP48" i="11" s="1"/>
  <c r="J52" i="11"/>
  <c r="I52" i="11"/>
  <c r="H52" i="11"/>
  <c r="G52" i="11"/>
  <c r="O51" i="11"/>
  <c r="N51" i="11"/>
  <c r="M51" i="11"/>
  <c r="AQ47" i="11" s="1"/>
  <c r="L51" i="11"/>
  <c r="AP47" i="11" s="1"/>
  <c r="J51" i="11"/>
  <c r="I51" i="11"/>
  <c r="H51" i="11"/>
  <c r="G51" i="11"/>
  <c r="O50" i="11"/>
  <c r="N50" i="11"/>
  <c r="M50" i="11"/>
  <c r="AQ46" i="11" s="1"/>
  <c r="L50" i="11"/>
  <c r="AP46" i="11" s="1"/>
  <c r="J50" i="11"/>
  <c r="I50" i="11"/>
  <c r="H50" i="11"/>
  <c r="G50" i="11"/>
  <c r="F49" i="11"/>
  <c r="E49" i="11"/>
  <c r="D49" i="11"/>
  <c r="C49" i="11"/>
  <c r="O48" i="11"/>
  <c r="N48" i="11"/>
  <c r="M48" i="11"/>
  <c r="AQ45" i="11" s="1"/>
  <c r="L48" i="11"/>
  <c r="AP45" i="11" s="1"/>
  <c r="J48" i="11"/>
  <c r="I48" i="11"/>
  <c r="H48" i="11"/>
  <c r="G48" i="11"/>
  <c r="O47" i="11"/>
  <c r="N47" i="11"/>
  <c r="M47" i="11"/>
  <c r="AQ44" i="11" s="1"/>
  <c r="L47" i="11"/>
  <c r="AP44" i="11" s="1"/>
  <c r="J47" i="11"/>
  <c r="I47" i="11"/>
  <c r="H47" i="11"/>
  <c r="G47" i="11"/>
  <c r="O46" i="11"/>
  <c r="N46" i="11"/>
  <c r="M46" i="11"/>
  <c r="AQ43" i="11" s="1"/>
  <c r="L46" i="11"/>
  <c r="AP43" i="11" s="1"/>
  <c r="J46" i="11"/>
  <c r="I46" i="11"/>
  <c r="H46" i="11"/>
  <c r="G46" i="11"/>
  <c r="O45" i="11"/>
  <c r="N45" i="11"/>
  <c r="M45" i="11"/>
  <c r="AQ42" i="11" s="1"/>
  <c r="L45" i="11"/>
  <c r="AP42" i="11" s="1"/>
  <c r="J45" i="11"/>
  <c r="I45" i="11"/>
  <c r="R58" i="11" s="1"/>
  <c r="H45" i="11"/>
  <c r="G45" i="11"/>
  <c r="O44" i="11"/>
  <c r="N44" i="11"/>
  <c r="M44" i="11"/>
  <c r="AQ41" i="11" s="1"/>
  <c r="L44" i="11"/>
  <c r="AP41" i="11" s="1"/>
  <c r="J44" i="11"/>
  <c r="I44" i="11"/>
  <c r="H44" i="11"/>
  <c r="G44" i="11"/>
  <c r="O43" i="11"/>
  <c r="N43" i="11"/>
  <c r="M43" i="11"/>
  <c r="AQ40" i="11" s="1"/>
  <c r="L43" i="11"/>
  <c r="AP40" i="11" s="1"/>
  <c r="J43" i="11"/>
  <c r="I43" i="11"/>
  <c r="H43" i="11"/>
  <c r="G43" i="11"/>
  <c r="O42" i="11"/>
  <c r="N42" i="11"/>
  <c r="M42" i="11"/>
  <c r="AQ39" i="11" s="1"/>
  <c r="L42" i="11"/>
  <c r="AP39" i="11" s="1"/>
  <c r="J42" i="11"/>
  <c r="S55" i="11" s="1"/>
  <c r="I42" i="11"/>
  <c r="H42" i="11"/>
  <c r="G42" i="11"/>
  <c r="O41" i="11"/>
  <c r="N41" i="11"/>
  <c r="M41" i="11"/>
  <c r="AQ38" i="11" s="1"/>
  <c r="L41" i="11"/>
  <c r="AP38" i="11" s="1"/>
  <c r="J41" i="11"/>
  <c r="I41" i="11"/>
  <c r="H41" i="11"/>
  <c r="H49" i="11" s="1"/>
  <c r="G41" i="11"/>
  <c r="G49" i="11" s="1"/>
  <c r="O40" i="11"/>
  <c r="N40" i="11"/>
  <c r="M40" i="11"/>
  <c r="AQ37" i="11" s="1"/>
  <c r="L40" i="11"/>
  <c r="AP37" i="11" s="1"/>
  <c r="J40" i="11"/>
  <c r="I40" i="11"/>
  <c r="H40" i="11"/>
  <c r="G40" i="11"/>
  <c r="O39" i="11"/>
  <c r="N39" i="11"/>
  <c r="M39" i="11"/>
  <c r="AQ36" i="11" s="1"/>
  <c r="L39" i="11"/>
  <c r="AP36" i="11" s="1"/>
  <c r="J39" i="11"/>
  <c r="I39" i="11"/>
  <c r="H39" i="11"/>
  <c r="G39" i="11"/>
  <c r="O38" i="11"/>
  <c r="N38" i="11"/>
  <c r="M38" i="11"/>
  <c r="AQ35" i="11" s="1"/>
  <c r="L38" i="11"/>
  <c r="AP35" i="11" s="1"/>
  <c r="J38" i="11"/>
  <c r="I38" i="11"/>
  <c r="H38" i="11"/>
  <c r="G38" i="11"/>
  <c r="O37" i="11"/>
  <c r="N37" i="11"/>
  <c r="M37" i="11"/>
  <c r="AQ34" i="11" s="1"/>
  <c r="L37" i="11"/>
  <c r="AP34" i="11" s="1"/>
  <c r="J37" i="11"/>
  <c r="I37" i="11"/>
  <c r="H37" i="11"/>
  <c r="G37" i="11"/>
  <c r="F36" i="11"/>
  <c r="E36" i="11"/>
  <c r="D36" i="11"/>
  <c r="C36" i="11"/>
  <c r="O35" i="11"/>
  <c r="N35" i="11"/>
  <c r="M35" i="11"/>
  <c r="AQ33" i="11" s="1"/>
  <c r="L35" i="11"/>
  <c r="AP33" i="11" s="1"/>
  <c r="J35" i="11"/>
  <c r="I35" i="11"/>
  <c r="H35" i="11"/>
  <c r="G35" i="11"/>
  <c r="O34" i="11"/>
  <c r="N34" i="11"/>
  <c r="M34" i="11"/>
  <c r="AQ32" i="11" s="1"/>
  <c r="L34" i="11"/>
  <c r="AP32" i="11" s="1"/>
  <c r="J34" i="11"/>
  <c r="I34" i="11"/>
  <c r="H34" i="11"/>
  <c r="G34" i="11"/>
  <c r="O33" i="11"/>
  <c r="N33" i="11"/>
  <c r="M33" i="11"/>
  <c r="AQ31" i="11" s="1"/>
  <c r="L33" i="11"/>
  <c r="AP31" i="11" s="1"/>
  <c r="J33" i="11"/>
  <c r="I33" i="11"/>
  <c r="H33" i="11"/>
  <c r="G33" i="11"/>
  <c r="O32" i="11"/>
  <c r="N32" i="11"/>
  <c r="M32" i="11"/>
  <c r="AQ30" i="11" s="1"/>
  <c r="L32" i="11"/>
  <c r="AP30" i="11" s="1"/>
  <c r="J32" i="11"/>
  <c r="I32" i="11"/>
  <c r="H32" i="11"/>
  <c r="G32" i="11"/>
  <c r="O31" i="11"/>
  <c r="N31" i="11"/>
  <c r="M31" i="11"/>
  <c r="AQ29" i="11" s="1"/>
  <c r="L31" i="11"/>
  <c r="AP29" i="11" s="1"/>
  <c r="J31" i="11"/>
  <c r="I31" i="11"/>
  <c r="H31" i="11"/>
  <c r="G31" i="11"/>
  <c r="O30" i="11"/>
  <c r="N30" i="11"/>
  <c r="M30" i="11"/>
  <c r="AQ28" i="11" s="1"/>
  <c r="L30" i="11"/>
  <c r="AP28" i="11" s="1"/>
  <c r="J30" i="11"/>
  <c r="I30" i="11"/>
  <c r="H30" i="11"/>
  <c r="G30" i="11"/>
  <c r="O29" i="11"/>
  <c r="N29" i="11"/>
  <c r="M29" i="11"/>
  <c r="AQ27" i="11" s="1"/>
  <c r="L29" i="11"/>
  <c r="AP27" i="11" s="1"/>
  <c r="J29" i="11"/>
  <c r="I29" i="11"/>
  <c r="H29" i="11"/>
  <c r="G29" i="11"/>
  <c r="O28" i="11"/>
  <c r="N28" i="11"/>
  <c r="M28" i="11"/>
  <c r="AQ26" i="11" s="1"/>
  <c r="L28" i="11"/>
  <c r="AP26" i="11" s="1"/>
  <c r="J28" i="11"/>
  <c r="J36" i="11" s="1"/>
  <c r="I28" i="11"/>
  <c r="I36" i="11" s="1"/>
  <c r="H28" i="11"/>
  <c r="G28" i="11"/>
  <c r="G36" i="11" s="1"/>
  <c r="O27" i="11"/>
  <c r="N27" i="11"/>
  <c r="M27" i="11"/>
  <c r="AQ25" i="11" s="1"/>
  <c r="L27" i="11"/>
  <c r="AP25" i="11" s="1"/>
  <c r="J27" i="11"/>
  <c r="I27" i="11"/>
  <c r="H27" i="11"/>
  <c r="G27" i="11"/>
  <c r="O26" i="11"/>
  <c r="N26" i="11"/>
  <c r="M26" i="11"/>
  <c r="AQ24" i="11" s="1"/>
  <c r="L26" i="11"/>
  <c r="AP24" i="11" s="1"/>
  <c r="J26" i="11"/>
  <c r="I26" i="11"/>
  <c r="H26" i="11"/>
  <c r="G26" i="11"/>
  <c r="O25" i="11"/>
  <c r="N25" i="11"/>
  <c r="M25" i="11"/>
  <c r="AQ23" i="11" s="1"/>
  <c r="L25" i="11"/>
  <c r="AP23" i="11" s="1"/>
  <c r="J25" i="11"/>
  <c r="I25" i="11"/>
  <c r="H25" i="11"/>
  <c r="G25" i="11"/>
  <c r="O24" i="11"/>
  <c r="N24" i="11"/>
  <c r="M24" i="11"/>
  <c r="AQ22" i="11" s="1"/>
  <c r="J24" i="11"/>
  <c r="I24" i="11"/>
  <c r="H24" i="11"/>
  <c r="G24" i="11"/>
  <c r="F23" i="11"/>
  <c r="E23" i="11"/>
  <c r="D23" i="11"/>
  <c r="C23" i="11"/>
  <c r="J22" i="11"/>
  <c r="I22" i="11"/>
  <c r="H22" i="11"/>
  <c r="G22" i="11"/>
  <c r="J21" i="11"/>
  <c r="I21" i="11"/>
  <c r="H21" i="11"/>
  <c r="G21" i="11"/>
  <c r="J20" i="11"/>
  <c r="I20" i="11"/>
  <c r="H20" i="11"/>
  <c r="G20" i="11"/>
  <c r="J19" i="11"/>
  <c r="I19" i="11"/>
  <c r="R32" i="11" s="1"/>
  <c r="H19" i="11"/>
  <c r="G19" i="11"/>
  <c r="J18" i="11"/>
  <c r="I18" i="11"/>
  <c r="H18" i="11"/>
  <c r="G18" i="11"/>
  <c r="J17" i="11"/>
  <c r="I17" i="11"/>
  <c r="H17" i="11"/>
  <c r="G17" i="11"/>
  <c r="Y15" i="11"/>
  <c r="X15" i="11"/>
  <c r="W15" i="11"/>
  <c r="V15" i="11"/>
  <c r="J16" i="11"/>
  <c r="I16" i="11"/>
  <c r="H16" i="11"/>
  <c r="G16" i="11"/>
  <c r="J15" i="11"/>
  <c r="J23" i="11" s="1"/>
  <c r="I15" i="11"/>
  <c r="I23" i="11" s="1"/>
  <c r="H15" i="11"/>
  <c r="H23" i="11" s="1"/>
  <c r="G15" i="11"/>
  <c r="G23" i="11" s="1"/>
  <c r="J14" i="11"/>
  <c r="I14" i="11"/>
  <c r="H14" i="11"/>
  <c r="G14" i="11"/>
  <c r="J13" i="11"/>
  <c r="I13" i="11"/>
  <c r="H13" i="11"/>
  <c r="G13" i="11"/>
  <c r="J12" i="11"/>
  <c r="I12" i="11"/>
  <c r="H12" i="11"/>
  <c r="G12" i="11"/>
  <c r="J11" i="11"/>
  <c r="I11" i="11"/>
  <c r="H11" i="11"/>
  <c r="G11" i="11"/>
  <c r="AQ9" i="11"/>
  <c r="AP9" i="11"/>
  <c r="Y6" i="11"/>
  <c r="X6" i="11"/>
  <c r="W6" i="11"/>
  <c r="V6" i="11"/>
  <c r="AO2" i="11"/>
  <c r="AO11" i="11" s="1"/>
  <c r="AO12" i="11" s="1"/>
  <c r="AO13" i="11" s="1"/>
  <c r="AO14" i="11" s="1"/>
  <c r="AO15" i="11" s="1"/>
  <c r="AO16" i="11" s="1"/>
  <c r="AO17" i="11" s="1"/>
  <c r="AO18" i="11" s="1"/>
  <c r="AO19" i="11" s="1"/>
  <c r="AO20" i="11" s="1"/>
  <c r="AO21" i="11" s="1"/>
  <c r="AO22" i="11" s="1"/>
  <c r="AO23" i="11" s="1"/>
  <c r="AO24" i="11" s="1"/>
  <c r="AO25" i="11" s="1"/>
  <c r="AO26" i="11" s="1"/>
  <c r="AO27" i="11" s="1"/>
  <c r="AO28" i="11" s="1"/>
  <c r="AO29" i="11" s="1"/>
  <c r="AO30" i="11" s="1"/>
  <c r="AO31" i="11" s="1"/>
  <c r="AO32" i="11" s="1"/>
  <c r="AO33" i="11" s="1"/>
  <c r="AO34" i="11" s="1"/>
  <c r="AO35" i="11" s="1"/>
  <c r="AO36" i="11" s="1"/>
  <c r="AO37" i="11" s="1"/>
  <c r="AO38" i="11" s="1"/>
  <c r="AO39" i="11" s="1"/>
  <c r="AO40" i="11" s="1"/>
  <c r="AO41" i="11" s="1"/>
  <c r="AO42" i="11" s="1"/>
  <c r="AO43" i="11" s="1"/>
  <c r="AO44" i="11" s="1"/>
  <c r="AO45" i="11" s="1"/>
  <c r="AO46" i="11" s="1"/>
  <c r="AO47" i="11" s="1"/>
  <c r="AO48" i="11" s="1"/>
  <c r="AO49" i="11" s="1"/>
  <c r="AO50" i="11" s="1"/>
  <c r="AO51" i="11" s="1"/>
  <c r="AO52" i="11" s="1"/>
  <c r="AO53" i="11" s="1"/>
  <c r="AO54" i="11" s="1"/>
  <c r="AO55" i="11" s="1"/>
  <c r="AO58" i="11" s="1"/>
  <c r="AO59" i="11" s="1"/>
  <c r="AO60" i="11" s="1"/>
  <c r="AO61" i="11" s="1"/>
  <c r="AO62" i="11" s="1"/>
  <c r="AO63" i="11" s="1"/>
  <c r="AO64" i="11" s="1"/>
  <c r="AO65" i="11" s="1"/>
  <c r="AO66" i="11" s="1"/>
  <c r="AO67" i="11" s="1"/>
  <c r="AO68" i="11" s="1"/>
  <c r="AO69" i="11" s="1"/>
  <c r="AO70" i="11" s="1"/>
  <c r="AO71" i="11" s="1"/>
  <c r="AO72" i="11" s="1"/>
  <c r="AO73" i="11" s="1"/>
  <c r="AL11" i="11"/>
  <c r="O88" i="11" l="1"/>
  <c r="Y21" i="11" s="1"/>
  <c r="Y12" i="11"/>
  <c r="O101" i="11"/>
  <c r="Y22" i="11" s="1"/>
  <c r="X12" i="11"/>
  <c r="N101" i="11"/>
  <c r="X22" i="11" s="1"/>
  <c r="W12" i="11"/>
  <c r="V84" i="11"/>
  <c r="M101" i="11"/>
  <c r="W22" i="11" s="1"/>
  <c r="V12" i="11"/>
  <c r="L101" i="11"/>
  <c r="V22" i="11" s="1"/>
  <c r="M49" i="11"/>
  <c r="R50" i="11"/>
  <c r="S51" i="11"/>
  <c r="N49" i="11"/>
  <c r="S80" i="11"/>
  <c r="S24" i="11"/>
  <c r="S41" i="11"/>
  <c r="P24" i="11"/>
  <c r="S53" i="11"/>
  <c r="Q76" i="11"/>
  <c r="R77" i="11"/>
  <c r="R78" i="11"/>
  <c r="S81" i="11"/>
  <c r="S83" i="11"/>
  <c r="S84" i="11"/>
  <c r="S85" i="11"/>
  <c r="S86" i="11"/>
  <c r="S87" i="11"/>
  <c r="P58" i="11"/>
  <c r="Q74" i="11"/>
  <c r="R52" i="11"/>
  <c r="R60" i="11"/>
  <c r="P54" i="11"/>
  <c r="J49" i="11"/>
  <c r="Q58" i="11"/>
  <c r="R28" i="11"/>
  <c r="Q47" i="11"/>
  <c r="S45" i="11"/>
  <c r="S59" i="11"/>
  <c r="S57" i="11"/>
  <c r="G62" i="11"/>
  <c r="J88" i="11"/>
  <c r="Q32" i="11"/>
  <c r="S63" i="11"/>
  <c r="Q41" i="11"/>
  <c r="H36" i="11"/>
  <c r="R54" i="11"/>
  <c r="I49" i="11"/>
  <c r="R62" i="11" s="1"/>
  <c r="R80" i="11"/>
  <c r="I88" i="11"/>
  <c r="P36" i="11"/>
  <c r="S37" i="11"/>
  <c r="S47" i="11"/>
  <c r="P57" i="11"/>
  <c r="Q54" i="11"/>
  <c r="H62" i="11"/>
  <c r="Q75" i="11" s="1"/>
  <c r="R61" i="11"/>
  <c r="R24" i="11"/>
  <c r="R26" i="11"/>
  <c r="S48" i="11"/>
  <c r="P50" i="11"/>
  <c r="Q52" i="11"/>
  <c r="P61" i="11"/>
  <c r="M62" i="11"/>
  <c r="S65" i="11"/>
  <c r="R66" i="11"/>
  <c r="S77" i="11"/>
  <c r="P81" i="11"/>
  <c r="P83" i="11"/>
  <c r="P84" i="11"/>
  <c r="P85" i="11"/>
  <c r="N36" i="11"/>
  <c r="R29" i="11"/>
  <c r="Q30" i="11"/>
  <c r="R47" i="11"/>
  <c r="S35" i="11"/>
  <c r="S39" i="11"/>
  <c r="Q48" i="11"/>
  <c r="O49" i="11"/>
  <c r="Q50" i="11"/>
  <c r="R65" i="11"/>
  <c r="P53" i="11"/>
  <c r="R68" i="11"/>
  <c r="P65" i="11"/>
  <c r="P88" i="11"/>
  <c r="S31" i="11"/>
  <c r="S44" i="11"/>
  <c r="R27" i="11"/>
  <c r="S29" i="11"/>
  <c r="S42" i="11"/>
  <c r="R56" i="11"/>
  <c r="L49" i="11"/>
  <c r="Q64" i="11"/>
  <c r="R25" i="11"/>
  <c r="Q26" i="11"/>
  <c r="S27" i="11"/>
  <c r="S40" i="11"/>
  <c r="Q51" i="11"/>
  <c r="S52" i="11"/>
  <c r="Q55" i="11"/>
  <c r="Q59" i="11"/>
  <c r="R64" i="11"/>
  <c r="S25" i="11"/>
  <c r="S38" i="11"/>
  <c r="R30" i="11"/>
  <c r="R31" i="11"/>
  <c r="S33" i="11"/>
  <c r="S46" i="11"/>
  <c r="L36" i="11"/>
  <c r="Q67" i="11"/>
  <c r="Q71" i="11"/>
  <c r="R79" i="11"/>
  <c r="P86" i="11"/>
  <c r="P87" i="11"/>
  <c r="L88" i="11"/>
  <c r="S60" i="11"/>
  <c r="Q61" i="11"/>
  <c r="S66" i="11"/>
  <c r="N75" i="11"/>
  <c r="Q24" i="11"/>
  <c r="P25" i="11"/>
  <c r="R39" i="11"/>
  <c r="P27" i="11"/>
  <c r="R41" i="11"/>
  <c r="P29" i="11"/>
  <c r="P31" i="11"/>
  <c r="R45" i="11"/>
  <c r="P33" i="11"/>
  <c r="P37" i="11"/>
  <c r="P39" i="11"/>
  <c r="P41" i="11"/>
  <c r="P45" i="11"/>
  <c r="R63" i="11"/>
  <c r="P52" i="11"/>
  <c r="Q53" i="11"/>
  <c r="Q56" i="11"/>
  <c r="Q57" i="11"/>
  <c r="P60" i="11"/>
  <c r="O62" i="11"/>
  <c r="P63" i="11"/>
  <c r="S64" i="11"/>
  <c r="Q65" i="11"/>
  <c r="P66" i="11"/>
  <c r="S68" i="11"/>
  <c r="S70" i="11"/>
  <c r="S71" i="11"/>
  <c r="S72" i="11"/>
  <c r="S73" i="11"/>
  <c r="S76" i="11"/>
  <c r="P77" i="11"/>
  <c r="P78" i="11"/>
  <c r="P79" i="11"/>
  <c r="P80" i="11"/>
  <c r="Q81" i="11"/>
  <c r="Q88" i="11"/>
  <c r="Q83" i="11"/>
  <c r="Q84" i="11"/>
  <c r="Q85" i="11"/>
  <c r="Q86" i="11"/>
  <c r="Q87" i="11"/>
  <c r="M88" i="11"/>
  <c r="R76" i="11"/>
  <c r="S78" i="11"/>
  <c r="S79" i="11"/>
  <c r="AL12" i="11"/>
  <c r="AL13" i="11" s="1"/>
  <c r="AL14" i="11" s="1"/>
  <c r="AL15" i="11" s="1"/>
  <c r="AL16" i="11" s="1"/>
  <c r="AL17" i="11" s="1"/>
  <c r="AL18" i="11" s="1"/>
  <c r="AL19" i="11" s="1"/>
  <c r="AL20" i="11" s="1"/>
  <c r="AL21" i="11" s="1"/>
  <c r="AL22" i="11" s="1"/>
  <c r="AL23" i="11" s="1"/>
  <c r="AL24" i="11" s="1"/>
  <c r="AL25" i="11" s="1"/>
  <c r="AL26" i="11" s="1"/>
  <c r="AL27" i="11" s="1"/>
  <c r="AL28" i="11" s="1"/>
  <c r="AL29" i="11" s="1"/>
  <c r="AL30" i="11" s="1"/>
  <c r="AL31" i="11" s="1"/>
  <c r="AL32" i="11" s="1"/>
  <c r="AL33" i="11" s="1"/>
  <c r="AL34" i="11" s="1"/>
  <c r="AL35" i="11" s="1"/>
  <c r="AL36" i="11" s="1"/>
  <c r="AL37" i="11" s="1"/>
  <c r="AL38" i="11" s="1"/>
  <c r="AL39" i="11" s="1"/>
  <c r="AL40" i="11" s="1"/>
  <c r="AL41" i="11" s="1"/>
  <c r="AL42" i="11" s="1"/>
  <c r="AL43" i="11" s="1"/>
  <c r="AL44" i="11" s="1"/>
  <c r="AL45" i="11" s="1"/>
  <c r="AL46" i="11" s="1"/>
  <c r="AL47" i="11" s="1"/>
  <c r="AL48" i="11" s="1"/>
  <c r="AL49" i="11" s="1"/>
  <c r="AL50" i="11" s="1"/>
  <c r="AL51" i="11" s="1"/>
  <c r="AL52" i="11" s="1"/>
  <c r="AL53" i="11" s="1"/>
  <c r="AL54" i="11" s="1"/>
  <c r="AL55" i="11" s="1"/>
  <c r="AL56" i="11" s="1"/>
  <c r="AL57" i="11" s="1"/>
  <c r="AL58" i="11" s="1"/>
  <c r="AL59" i="11" s="1"/>
  <c r="AL60" i="11" s="1"/>
  <c r="AL61" i="11" s="1"/>
  <c r="AL62" i="11" s="1"/>
  <c r="AL63" i="11" s="1"/>
  <c r="AL64" i="11" s="1"/>
  <c r="AL65" i="11" s="1"/>
  <c r="AL66" i="11" s="1"/>
  <c r="AL67" i="11" s="1"/>
  <c r="AL68" i="11" s="1"/>
  <c r="AL69" i="11" s="1"/>
  <c r="AL70" i="11" s="1"/>
  <c r="AL71" i="11" s="1"/>
  <c r="AL72" i="11" s="1"/>
  <c r="AL73" i="11" s="1"/>
  <c r="R37" i="11"/>
  <c r="Q25" i="11"/>
  <c r="Q27" i="11"/>
  <c r="Q29" i="11"/>
  <c r="Q31" i="11"/>
  <c r="Q33" i="11"/>
  <c r="O36" i="11"/>
  <c r="P48" i="11"/>
  <c r="N62" i="11"/>
  <c r="S50" i="11"/>
  <c r="P51" i="11"/>
  <c r="S54" i="11"/>
  <c r="P55" i="11"/>
  <c r="R70" i="11"/>
  <c r="S58" i="11"/>
  <c r="P59" i="11"/>
  <c r="S61" i="11"/>
  <c r="L62" i="11"/>
  <c r="Q63" i="11"/>
  <c r="P64" i="11"/>
  <c r="Q66" i="11"/>
  <c r="P67" i="11"/>
  <c r="P68" i="11"/>
  <c r="P70" i="11"/>
  <c r="P71" i="11"/>
  <c r="P72" i="11"/>
  <c r="P73" i="11"/>
  <c r="P74" i="11"/>
  <c r="L75" i="11"/>
  <c r="AP70" i="11" s="1"/>
  <c r="P76" i="11"/>
  <c r="Q77" i="11"/>
  <c r="Q78" i="11"/>
  <c r="Q79" i="11"/>
  <c r="Q80" i="11"/>
  <c r="R81" i="11"/>
  <c r="R83" i="11"/>
  <c r="R84" i="11"/>
  <c r="R85" i="11"/>
  <c r="R86" i="11"/>
  <c r="R87" i="11"/>
  <c r="N88" i="11"/>
  <c r="X21" i="11" s="1"/>
  <c r="P49" i="11"/>
  <c r="P82" i="11"/>
  <c r="Q82" i="11"/>
  <c r="R82" i="11"/>
  <c r="S82" i="11"/>
  <c r="R72" i="11"/>
  <c r="R73" i="11"/>
  <c r="Q73" i="11"/>
  <c r="M75" i="11"/>
  <c r="Q43" i="11"/>
  <c r="R43" i="11"/>
  <c r="R33" i="11"/>
  <c r="S34" i="11"/>
  <c r="Q37" i="11"/>
  <c r="R51" i="11"/>
  <c r="R38" i="11"/>
  <c r="Q40" i="11"/>
  <c r="Q45" i="11"/>
  <c r="R59" i="11"/>
  <c r="R46" i="11"/>
  <c r="R57" i="11"/>
  <c r="R44" i="11"/>
  <c r="Q46" i="11"/>
  <c r="S26" i="11"/>
  <c r="S28" i="11"/>
  <c r="S32" i="11"/>
  <c r="P34" i="11"/>
  <c r="Q34" i="11"/>
  <c r="Q35" i="11"/>
  <c r="S36" i="11"/>
  <c r="Q39" i="11"/>
  <c r="R53" i="11"/>
  <c r="R40" i="11"/>
  <c r="Q42" i="11"/>
  <c r="Q38" i="11"/>
  <c r="P26" i="11"/>
  <c r="P28" i="11"/>
  <c r="Q28" i="11"/>
  <c r="P32" i="11"/>
  <c r="R48" i="11"/>
  <c r="R35" i="11"/>
  <c r="R55" i="11"/>
  <c r="R42" i="11"/>
  <c r="Q44" i="11"/>
  <c r="R34" i="11"/>
  <c r="P30" i="11"/>
  <c r="M36" i="11"/>
  <c r="Q68" i="11"/>
  <c r="P69" i="11"/>
  <c r="P47" i="11"/>
  <c r="Q60" i="11"/>
  <c r="R67" i="11"/>
  <c r="S67" i="11"/>
  <c r="Q69" i="11"/>
  <c r="Q70" i="11"/>
  <c r="O75" i="11"/>
  <c r="R69" i="11"/>
  <c r="S69" i="11"/>
  <c r="Q72" i="11"/>
  <c r="R74" i="11"/>
  <c r="S30" i="11"/>
  <c r="P35" i="11"/>
  <c r="P38" i="11"/>
  <c r="P40" i="11"/>
  <c r="P42" i="11"/>
  <c r="S43" i="11"/>
  <c r="P44" i="11"/>
  <c r="P46" i="11"/>
  <c r="S56" i="11"/>
  <c r="S75" i="11"/>
  <c r="R71" i="11"/>
  <c r="S74" i="11"/>
  <c r="P43" i="11"/>
  <c r="P56" i="11"/>
  <c r="W21" i="11" l="1"/>
  <c r="AP83" i="11"/>
  <c r="V21" i="11"/>
  <c r="P75" i="11"/>
  <c r="P62" i="11"/>
  <c r="S62" i="11"/>
  <c r="R88" i="11"/>
  <c r="S49" i="11"/>
  <c r="S88" i="11"/>
  <c r="Q62" i="11"/>
  <c r="R75" i="11"/>
  <c r="Q36" i="11"/>
  <c r="R49" i="11"/>
  <c r="R36" i="11"/>
  <c r="Q49" i="11"/>
  <c r="S122" i="10" l="1"/>
  <c r="X116" i="10"/>
  <c r="W117" i="10"/>
  <c r="U204" i="10"/>
  <c r="T204" i="10"/>
  <c r="T203" i="10"/>
  <c r="S211" i="10"/>
  <c r="S213" i="10" s="1"/>
  <c r="P211" i="10"/>
  <c r="T202" i="10"/>
  <c r="U200" i="10"/>
  <c r="S198" i="10"/>
  <c r="U199" i="10" s="1"/>
  <c r="O202" i="10"/>
  <c r="M189" i="10"/>
  <c r="R67" i="10" s="1"/>
  <c r="K189" i="10"/>
  <c r="J189" i="10"/>
  <c r="I189" i="10"/>
  <c r="E189" i="10"/>
  <c r="D189" i="10"/>
  <c r="C189" i="10"/>
  <c r="F189" i="10" s="1"/>
  <c r="S176" i="10"/>
  <c r="R176" i="10"/>
  <c r="Q176" i="10"/>
  <c r="O176" i="10"/>
  <c r="C176" i="10"/>
  <c r="O175" i="10"/>
  <c r="U117" i="10"/>
  <c r="W116" i="10"/>
  <c r="U116" i="10"/>
  <c r="W115" i="10"/>
  <c r="U115" i="10"/>
  <c r="W114" i="10"/>
  <c r="U114" i="10"/>
  <c r="W113" i="10"/>
  <c r="U113" i="10"/>
  <c r="W112" i="10"/>
  <c r="U112" i="10"/>
  <c r="W111" i="10"/>
  <c r="U111" i="10"/>
  <c r="W110" i="10"/>
  <c r="U110" i="10"/>
  <c r="W109" i="10"/>
  <c r="U109" i="10"/>
  <c r="W108" i="10"/>
  <c r="U108" i="10"/>
  <c r="W107" i="10"/>
  <c r="U107" i="10"/>
  <c r="W106" i="10"/>
  <c r="U106" i="10"/>
  <c r="W105" i="10"/>
  <c r="U105" i="10"/>
  <c r="W104" i="10"/>
  <c r="U104" i="10"/>
  <c r="V76" i="10"/>
  <c r="V75" i="10"/>
  <c r="S73" i="10"/>
  <c r="S74" i="10" s="1"/>
  <c r="R68" i="10"/>
  <c r="R66" i="10"/>
  <c r="AA65" i="10"/>
  <c r="Z65" i="10"/>
  <c r="R65" i="10"/>
  <c r="AB64" i="10"/>
  <c r="R64" i="10"/>
  <c r="AB63" i="10"/>
  <c r="R63" i="10"/>
  <c r="AB62" i="10"/>
  <c r="R62" i="10"/>
  <c r="S62" i="10" s="1"/>
  <c r="T62" i="10" s="1"/>
  <c r="BS50" i="10"/>
  <c r="Y32" i="10"/>
  <c r="X32" i="10"/>
  <c r="AN32" i="10" s="1"/>
  <c r="W32" i="10"/>
  <c r="Y31" i="10"/>
  <c r="X31" i="10"/>
  <c r="W31" i="10"/>
  <c r="Y30" i="10"/>
  <c r="X30" i="10"/>
  <c r="AN30" i="10" s="1"/>
  <c r="W30" i="10"/>
  <c r="Y29" i="10"/>
  <c r="X29" i="10"/>
  <c r="W29" i="10"/>
  <c r="Y28" i="10"/>
  <c r="X28" i="10"/>
  <c r="AA28" i="10" s="1"/>
  <c r="W28" i="10"/>
  <c r="Y27" i="10"/>
  <c r="X27" i="10"/>
  <c r="AN27" i="10" s="1"/>
  <c r="W27" i="10"/>
  <c r="AD21" i="10"/>
  <c r="BA25" i="10"/>
  <c r="AN25" i="10"/>
  <c r="AG25" i="10"/>
  <c r="AE25" i="10"/>
  <c r="BA24" i="10"/>
  <c r="BC24" i="10" s="1"/>
  <c r="BE24" i="10" s="1"/>
  <c r="AN24" i="10"/>
  <c r="AG24" i="10"/>
  <c r="AE24" i="10"/>
  <c r="AD24" i="10"/>
  <c r="BA23" i="10"/>
  <c r="BC23" i="10" s="1"/>
  <c r="BE23" i="10" s="1"/>
  <c r="AU23" i="10"/>
  <c r="AN23" i="10"/>
  <c r="AG23" i="10"/>
  <c r="AE23" i="10"/>
  <c r="AD23" i="10"/>
  <c r="BA22" i="10"/>
  <c r="BC22" i="10" s="1"/>
  <c r="BE22" i="10" s="1"/>
  <c r="AN22" i="10"/>
  <c r="AE22" i="10"/>
  <c r="BA21" i="10"/>
  <c r="BC21" i="10" s="1"/>
  <c r="BE21" i="10" s="1"/>
  <c r="AN21" i="10"/>
  <c r="AE21" i="10"/>
  <c r="BA20" i="10"/>
  <c r="AU20" i="10"/>
  <c r="BA19" i="10"/>
  <c r="BC19" i="10" s="1"/>
  <c r="BE19" i="10" s="1"/>
  <c r="BA18" i="10"/>
  <c r="AN18" i="10"/>
  <c r="AE18" i="10"/>
  <c r="AD18" i="10"/>
  <c r="AG18" i="10" s="1"/>
  <c r="BA17" i="10"/>
  <c r="BC17" i="10" s="1"/>
  <c r="BE17" i="10" s="1"/>
  <c r="AN17" i="10"/>
  <c r="AE17" i="10"/>
  <c r="AD17" i="10"/>
  <c r="BA16" i="10"/>
  <c r="BC16" i="10" s="1"/>
  <c r="BE16" i="10" s="1"/>
  <c r="AN16" i="10"/>
  <c r="AE16" i="10"/>
  <c r="AD16" i="10"/>
  <c r="AG16" i="10" s="1"/>
  <c r="BA15" i="10"/>
  <c r="AN15" i="10"/>
  <c r="AE15" i="10"/>
  <c r="AD15" i="10"/>
  <c r="AG15" i="10" s="1"/>
  <c r="BA14" i="10"/>
  <c r="BC14" i="10" s="1"/>
  <c r="BE14" i="10" s="1"/>
  <c r="AN14" i="10"/>
  <c r="AE14" i="10"/>
  <c r="AD14" i="10"/>
  <c r="AG14" i="10" s="1"/>
  <c r="BA13" i="10"/>
  <c r="BC13" i="10" s="1"/>
  <c r="BE13" i="10" s="1"/>
  <c r="AN13" i="10"/>
  <c r="AE13" i="10"/>
  <c r="AD13" i="10"/>
  <c r="BA12" i="10"/>
  <c r="BC12" i="10" s="1"/>
  <c r="BE12" i="10" s="1"/>
  <c r="AJ6" i="10"/>
  <c r="BA11" i="10"/>
  <c r="BC11" i="10" s="1"/>
  <c r="BE11" i="10" s="1"/>
  <c r="AN11" i="10"/>
  <c r="AE11" i="10"/>
  <c r="AD11" i="10"/>
  <c r="AG11" i="10" s="1"/>
  <c r="BA10" i="10"/>
  <c r="BC10" i="10" s="1"/>
  <c r="BE10" i="10" s="1"/>
  <c r="AN10" i="10"/>
  <c r="AG10" i="10"/>
  <c r="AE10" i="10"/>
  <c r="AD10" i="10"/>
  <c r="BA9" i="10"/>
  <c r="BC9" i="10" s="1"/>
  <c r="BE9" i="10" s="1"/>
  <c r="AN9" i="10"/>
  <c r="AE9" i="10"/>
  <c r="AD9" i="10"/>
  <c r="BA8" i="10"/>
  <c r="AN8" i="10"/>
  <c r="AE8" i="10"/>
  <c r="AD8" i="10"/>
  <c r="AG8" i="10" s="1"/>
  <c r="AN7" i="10"/>
  <c r="AE7" i="10"/>
  <c r="AD7" i="10"/>
  <c r="AG7" i="10" s="1"/>
  <c r="F5" i="10"/>
  <c r="F31" i="9"/>
  <c r="H31" i="9" s="1"/>
  <c r="F32" i="9"/>
  <c r="H32" i="9" s="1"/>
  <c r="F33" i="9"/>
  <c r="H33" i="9" s="1"/>
  <c r="J31" i="9"/>
  <c r="E26" i="3" s="1"/>
  <c r="J32" i="9"/>
  <c r="D26" i="3" s="1"/>
  <c r="J33" i="9"/>
  <c r="D25" i="3"/>
  <c r="E25" i="3"/>
  <c r="G25" i="3"/>
  <c r="H25" i="3"/>
  <c r="F25" i="3"/>
  <c r="E24" i="3"/>
  <c r="G24" i="3"/>
  <c r="H24" i="3"/>
  <c r="F24" i="3"/>
  <c r="J30" i="9"/>
  <c r="F26" i="3" s="1"/>
  <c r="J28" i="9"/>
  <c r="H26" i="3" s="1"/>
  <c r="F29" i="9"/>
  <c r="H29" i="9" s="1"/>
  <c r="F30" i="9"/>
  <c r="H30" i="9" s="1"/>
  <c r="F28" i="9"/>
  <c r="H28" i="9" s="1"/>
  <c r="J29" i="9"/>
  <c r="G26" i="3" s="1"/>
  <c r="F9" i="9"/>
  <c r="G9" i="9" s="1"/>
  <c r="I9" i="9" s="1"/>
  <c r="J9" i="9" s="1"/>
  <c r="D17" i="9"/>
  <c r="E17" i="9"/>
  <c r="D18" i="9"/>
  <c r="E18" i="9"/>
  <c r="D19" i="9"/>
  <c r="E19" i="9"/>
  <c r="S15" i="9"/>
  <c r="S16" i="9" s="1"/>
  <c r="R15" i="9"/>
  <c r="R16" i="9" s="1"/>
  <c r="Q15" i="9"/>
  <c r="Q16" i="9" s="1"/>
  <c r="S6" i="9"/>
  <c r="F17" i="9" s="1"/>
  <c r="R6" i="9"/>
  <c r="Q6" i="9"/>
  <c r="F19" i="9" s="1"/>
  <c r="H109" i="3" l="1"/>
  <c r="AG26" i="10"/>
  <c r="AI20" i="10" s="1"/>
  <c r="F109" i="3"/>
  <c r="D109" i="3"/>
  <c r="E109" i="3"/>
  <c r="G116" i="3"/>
  <c r="G109" i="3"/>
  <c r="AA27" i="10"/>
  <c r="Q19" i="9"/>
  <c r="R19" i="9"/>
  <c r="S75" i="10"/>
  <c r="U77" i="10" s="1"/>
  <c r="AO26" i="10"/>
  <c r="AQ6" i="10" s="1"/>
  <c r="AW8" i="10" s="1"/>
  <c r="Q7" i="9"/>
  <c r="H174" i="3"/>
  <c r="P212" i="10"/>
  <c r="AD22" i="10"/>
  <c r="AD25" i="10"/>
  <c r="U62" i="10"/>
  <c r="V62" i="10" s="1"/>
  <c r="W62" i="10" s="1"/>
  <c r="S63" i="10"/>
  <c r="S64" i="10" s="1"/>
  <c r="S65" i="10" s="1"/>
  <c r="S66" i="10" s="1"/>
  <c r="T66" i="10" s="1"/>
  <c r="AA30" i="10"/>
  <c r="AA32" i="10"/>
  <c r="AB65" i="10"/>
  <c r="BC25" i="10"/>
  <c r="BE25" i="10" s="1"/>
  <c r="BC8" i="10"/>
  <c r="BE8" i="10" s="1"/>
  <c r="AO12" i="10"/>
  <c r="AO6" i="10" s="1"/>
  <c r="BC15" i="10"/>
  <c r="BE15" i="10" s="1"/>
  <c r="BC18" i="10"/>
  <c r="BE18" i="10" s="1"/>
  <c r="AO19" i="10"/>
  <c r="AO14" i="10" s="1"/>
  <c r="AI24" i="10"/>
  <c r="AG13" i="10"/>
  <c r="AG17" i="10"/>
  <c r="AN29" i="10"/>
  <c r="AA29" i="10"/>
  <c r="AN31" i="10"/>
  <c r="AA31" i="10"/>
  <c r="Z69" i="10"/>
  <c r="AB67" i="10"/>
  <c r="Z68" i="10"/>
  <c r="AG9" i="10"/>
  <c r="BC20" i="10"/>
  <c r="BE20" i="10" s="1"/>
  <c r="AA68" i="10"/>
  <c r="AA69" i="10"/>
  <c r="F18" i="9"/>
  <c r="S19" i="9"/>
  <c r="S7" i="9"/>
  <c r="R7" i="9"/>
  <c r="L18" i="9" s="1"/>
  <c r="H23" i="3" l="1"/>
  <c r="F11" i="2" s="1"/>
  <c r="Q8" i="9"/>
  <c r="G19" i="9" s="1"/>
  <c r="F23" i="3"/>
  <c r="R20" i="9"/>
  <c r="G23" i="3"/>
  <c r="AQ16" i="10"/>
  <c r="AW15" i="10" s="1"/>
  <c r="Q20" i="9"/>
  <c r="G174" i="3"/>
  <c r="D116" i="3"/>
  <c r="D174" i="3"/>
  <c r="E116" i="3"/>
  <c r="E174" i="3"/>
  <c r="F116" i="3"/>
  <c r="F174" i="3"/>
  <c r="L174" i="3"/>
  <c r="T64" i="10"/>
  <c r="U64" i="10"/>
  <c r="V64" i="10" s="1"/>
  <c r="W64" i="10" s="1"/>
  <c r="T63" i="10"/>
  <c r="S76" i="10"/>
  <c r="S77" i="10" s="1"/>
  <c r="S78" i="10" s="1"/>
  <c r="U63" i="10"/>
  <c r="V63" i="10" s="1"/>
  <c r="W63" i="10" s="1"/>
  <c r="AA67" i="10"/>
  <c r="Z67" i="10"/>
  <c r="I19" i="9"/>
  <c r="F20" i="3"/>
  <c r="AO10" i="10"/>
  <c r="AB68" i="10"/>
  <c r="S20" i="9"/>
  <c r="AO9" i="10"/>
  <c r="AQ27" i="10"/>
  <c r="AW10" i="10" s="1"/>
  <c r="AI23" i="10"/>
  <c r="AQ21" i="10"/>
  <c r="AB69" i="10"/>
  <c r="AQ19" i="10"/>
  <c r="AQ24" i="10"/>
  <c r="AO23" i="10"/>
  <c r="AQ20" i="10"/>
  <c r="AQ28" i="10"/>
  <c r="AW13" i="10" s="1"/>
  <c r="AQ12" i="10"/>
  <c r="AO28" i="10"/>
  <c r="AQ26" i="10"/>
  <c r="AQ23" i="10"/>
  <c r="AQ17" i="10"/>
  <c r="AW21" i="10" s="1"/>
  <c r="AQ11" i="10"/>
  <c r="AQ8" i="10"/>
  <c r="AQ18" i="10"/>
  <c r="AW24" i="10" s="1"/>
  <c r="AQ15" i="10"/>
  <c r="AW18" i="10" s="1"/>
  <c r="AQ7" i="10"/>
  <c r="AO21" i="10"/>
  <c r="AQ31" i="10"/>
  <c r="AW22" i="10" s="1"/>
  <c r="AI25" i="10"/>
  <c r="AI21" i="10"/>
  <c r="AI22" i="10"/>
  <c r="AQ13" i="10"/>
  <c r="AW9" i="10" s="1"/>
  <c r="AO22" i="10"/>
  <c r="AQ9" i="10"/>
  <c r="AW14" i="10" s="1"/>
  <c r="AO20" i="10"/>
  <c r="AO27" i="10"/>
  <c r="AO24" i="10"/>
  <c r="AQ25" i="10"/>
  <c r="AO18" i="10"/>
  <c r="AO15" i="10"/>
  <c r="AO13" i="10"/>
  <c r="AQ14" i="10"/>
  <c r="AW12" i="10" s="1"/>
  <c r="AO11" i="10"/>
  <c r="AO8" i="10"/>
  <c r="AQ22" i="10"/>
  <c r="AO7" i="10"/>
  <c r="AQ30" i="10"/>
  <c r="AW16" i="10" s="1"/>
  <c r="AO25" i="10"/>
  <c r="AQ29" i="10"/>
  <c r="AW19" i="10" s="1"/>
  <c r="AO16" i="10"/>
  <c r="AQ10" i="10"/>
  <c r="AQ32" i="10"/>
  <c r="AW25" i="10" s="1"/>
  <c r="AO17" i="10"/>
  <c r="U65" i="10"/>
  <c r="V65" i="10" s="1"/>
  <c r="W65" i="10" s="1"/>
  <c r="T65" i="10"/>
  <c r="S8" i="9"/>
  <c r="R8" i="9"/>
  <c r="G18" i="9" s="1"/>
  <c r="G20" i="3" s="1"/>
  <c r="H20" i="3" l="1"/>
  <c r="I18" i="9"/>
  <c r="AQ34" i="10"/>
  <c r="AS34" i="10"/>
  <c r="AW23" i="10"/>
  <c r="AW20" i="10"/>
  <c r="AW11" i="10"/>
  <c r="AW17" i="10"/>
  <c r="S67" i="10"/>
  <c r="U66" i="10"/>
  <c r="V66" i="10" s="1"/>
  <c r="W66" i="10" s="1"/>
  <c r="I17" i="9" l="1"/>
  <c r="S68" i="10"/>
  <c r="R70" i="10" s="1"/>
  <c r="T67" i="10"/>
  <c r="U67" i="10"/>
  <c r="V67" i="10" s="1"/>
  <c r="W67" i="10" s="1"/>
  <c r="J17" i="9" l="1"/>
  <c r="R71" i="10"/>
  <c r="T68" i="10"/>
  <c r="U68" i="10"/>
  <c r="V68" i="10" s="1"/>
  <c r="W68" i="10" s="1"/>
  <c r="AX7" i="10" s="1"/>
  <c r="AX15" i="10" l="1"/>
  <c r="AX10" i="10"/>
  <c r="AX25" i="10"/>
  <c r="AX8" i="10"/>
  <c r="BI8" i="10" s="1"/>
  <c r="AX21" i="10"/>
  <c r="AX22" i="10"/>
  <c r="AX24" i="10"/>
  <c r="AX9" i="10"/>
  <c r="AX13" i="10"/>
  <c r="AX18" i="10"/>
  <c r="AX16" i="10"/>
  <c r="AX14" i="10"/>
  <c r="AX12" i="10"/>
  <c r="AX19" i="10"/>
  <c r="AX11" i="10"/>
  <c r="AX23" i="10"/>
  <c r="AX17" i="10"/>
  <c r="AX20" i="10"/>
  <c r="G21" i="3"/>
  <c r="H21" i="3"/>
  <c r="F21" i="3"/>
  <c r="E21" i="3"/>
  <c r="D21" i="3"/>
  <c r="H22" i="3"/>
  <c r="H108" i="3" s="1"/>
  <c r="H110" i="3" l="1"/>
  <c r="BQ20" i="10"/>
  <c r="BR20" i="10" s="1"/>
  <c r="BI20" i="10"/>
  <c r="BQ19" i="10"/>
  <c r="BR19" i="10" s="1"/>
  <c r="BI19" i="10"/>
  <c r="BQ18" i="10"/>
  <c r="BR18" i="10" s="1"/>
  <c r="BI18" i="10"/>
  <c r="BQ22" i="10"/>
  <c r="BR22" i="10" s="1"/>
  <c r="BI22" i="10"/>
  <c r="BQ10" i="10"/>
  <c r="BR10" i="10" s="1"/>
  <c r="BI10" i="10"/>
  <c r="BI17" i="10"/>
  <c r="BQ17" i="10"/>
  <c r="BR17" i="10" s="1"/>
  <c r="BI12" i="10"/>
  <c r="BQ12" i="10"/>
  <c r="BR12" i="10" s="1"/>
  <c r="BQ13" i="10"/>
  <c r="BR13" i="10" s="1"/>
  <c r="BI13" i="10"/>
  <c r="BQ21" i="10"/>
  <c r="BR21" i="10" s="1"/>
  <c r="BI21" i="10"/>
  <c r="BQ15" i="10"/>
  <c r="BR15" i="10" s="1"/>
  <c r="BI15" i="10"/>
  <c r="BJ3" i="10" s="1"/>
  <c r="BQ23" i="10"/>
  <c r="BR23" i="10" s="1"/>
  <c r="BI23" i="10"/>
  <c r="BQ14" i="10"/>
  <c r="BR14" i="10" s="1"/>
  <c r="BI14" i="10"/>
  <c r="BQ9" i="10"/>
  <c r="BR9" i="10" s="1"/>
  <c r="BI9" i="10"/>
  <c r="BQ8" i="10"/>
  <c r="BI11" i="10"/>
  <c r="BQ11" i="10"/>
  <c r="BR11" i="10" s="1"/>
  <c r="BQ16" i="10"/>
  <c r="BR16" i="10" s="1"/>
  <c r="BI16" i="10"/>
  <c r="BQ24" i="10"/>
  <c r="BR24" i="10" s="1"/>
  <c r="BI24" i="10"/>
  <c r="BQ25" i="10"/>
  <c r="BR25" i="10" s="1"/>
  <c r="BI25" i="10"/>
  <c r="H171" i="3" l="1"/>
  <c r="H135" i="3"/>
  <c r="BV11" i="10"/>
  <c r="BK3" i="10"/>
  <c r="BL3" i="10"/>
  <c r="BI3" i="10"/>
  <c r="BI27" i="10"/>
  <c r="BK8" i="10"/>
  <c r="BI4" i="10"/>
  <c r="BL8" i="10"/>
  <c r="BJ8" i="10"/>
  <c r="BQ27" i="10"/>
  <c r="BR8" i="10"/>
  <c r="BL17" i="10"/>
  <c r="BK17" i="10"/>
  <c r="BJ17" i="10"/>
  <c r="BL16" i="10"/>
  <c r="BK16" i="10"/>
  <c r="BJ16" i="10"/>
  <c r="BK15" i="10"/>
  <c r="BJ15" i="10"/>
  <c r="BL15" i="10"/>
  <c r="BL24" i="10"/>
  <c r="BK24" i="10"/>
  <c r="BJ24" i="10"/>
  <c r="BJ9" i="10"/>
  <c r="BL9" i="10"/>
  <c r="BK9" i="10"/>
  <c r="BJ4" i="10"/>
  <c r="BJ23" i="10"/>
  <c r="BL23" i="10"/>
  <c r="BK23" i="10"/>
  <c r="BJ21" i="10"/>
  <c r="BL21" i="10"/>
  <c r="BK21" i="10"/>
  <c r="BL10" i="10"/>
  <c r="BK10" i="10"/>
  <c r="BJ10" i="10"/>
  <c r="BK18" i="10"/>
  <c r="BJ18" i="10"/>
  <c r="BL18" i="10"/>
  <c r="BK20" i="10"/>
  <c r="BJ20" i="10"/>
  <c r="BL20" i="10"/>
  <c r="BJ25" i="10"/>
  <c r="BK25" i="10"/>
  <c r="BL25" i="10"/>
  <c r="BL14" i="10"/>
  <c r="BK14" i="10"/>
  <c r="BJ14" i="10"/>
  <c r="BJ13" i="10"/>
  <c r="BK13" i="10"/>
  <c r="BL13" i="10"/>
  <c r="BL22" i="10"/>
  <c r="BJ22" i="10"/>
  <c r="BK22" i="10"/>
  <c r="BJ19" i="10"/>
  <c r="BL19" i="10"/>
  <c r="BK19" i="10"/>
  <c r="BK11" i="10"/>
  <c r="BJ11" i="10"/>
  <c r="BL11" i="10"/>
  <c r="BL12" i="10"/>
  <c r="BK12" i="10"/>
  <c r="BJ12" i="10"/>
  <c r="BV12" i="10"/>
  <c r="BN12" i="10" l="1"/>
  <c r="BN15" i="10"/>
  <c r="BN11" i="10"/>
  <c r="BN9" i="10"/>
  <c r="BO33" i="10" s="1"/>
  <c r="BN19" i="10"/>
  <c r="BN10" i="10"/>
  <c r="BN23" i="10"/>
  <c r="BN22" i="10"/>
  <c r="BN18" i="10"/>
  <c r="BL27" i="10"/>
  <c r="BN25" i="10"/>
  <c r="BN21" i="10"/>
  <c r="BO35" i="10" s="1"/>
  <c r="BN17" i="10"/>
  <c r="BR27" i="10"/>
  <c r="BV10" i="10"/>
  <c r="BN16" i="10"/>
  <c r="BK27" i="10"/>
  <c r="BN13" i="10"/>
  <c r="BN14" i="10"/>
  <c r="BN20" i="10"/>
  <c r="BN24" i="10"/>
  <c r="BJ27" i="10"/>
  <c r="BN8" i="10"/>
  <c r="BU14" i="10" l="1"/>
  <c r="BU15" i="10" s="1"/>
  <c r="BO32" i="10"/>
  <c r="BN27" i="10"/>
  <c r="BO11" i="10" s="1"/>
  <c r="BO37" i="10"/>
  <c r="BO24" i="10"/>
  <c r="BO16" i="10"/>
  <c r="BO15" i="10"/>
  <c r="BO18" i="10"/>
  <c r="BO36" i="10"/>
  <c r="BO34" i="10"/>
  <c r="BO19" i="10"/>
  <c r="BO22" i="10"/>
  <c r="BO14" i="10" l="1"/>
  <c r="BO25" i="10"/>
  <c r="BO8" i="10"/>
  <c r="BO20" i="10"/>
  <c r="BO23" i="10"/>
  <c r="BO17" i="10"/>
  <c r="BO9" i="10"/>
  <c r="BO13" i="10"/>
  <c r="BO21" i="10"/>
  <c r="BO10" i="10"/>
  <c r="BO12" i="10"/>
  <c r="D16" i="2"/>
  <c r="J18" i="9"/>
  <c r="G22" i="3" s="1"/>
  <c r="G108" i="3" s="1"/>
  <c r="G110" i="3" l="1"/>
  <c r="BO28" i="10"/>
  <c r="F22" i="3"/>
  <c r="F108" i="3" s="1"/>
  <c r="G171" i="3" l="1"/>
  <c r="F110" i="3"/>
  <c r="G135" i="3"/>
  <c r="F12" i="9"/>
  <c r="G12" i="9" s="1"/>
  <c r="D20" i="3" s="1"/>
  <c r="F11" i="9"/>
  <c r="G11" i="9" s="1"/>
  <c r="E20" i="3" s="1"/>
  <c r="F10" i="9"/>
  <c r="G10" i="9" s="1"/>
  <c r="I10" i="9" s="1"/>
  <c r="J10" i="9" s="1"/>
  <c r="G139" i="3"/>
  <c r="F171" i="3" l="1"/>
  <c r="G166" i="3"/>
  <c r="E142" i="3"/>
  <c r="E159" i="3"/>
  <c r="E155" i="3"/>
  <c r="E147" i="3"/>
  <c r="E144" i="3"/>
  <c r="E143" i="3"/>
  <c r="E146" i="3"/>
  <c r="E154" i="3"/>
  <c r="E153" i="3"/>
  <c r="E141" i="3"/>
  <c r="E145" i="3"/>
  <c r="G142" i="3"/>
  <c r="G159" i="3"/>
  <c r="G155" i="3"/>
  <c r="G147" i="3"/>
  <c r="G144" i="3"/>
  <c r="G143" i="3"/>
  <c r="G154" i="3"/>
  <c r="G153" i="3"/>
  <c r="G146" i="3"/>
  <c r="G141" i="3"/>
  <c r="G145" i="3"/>
  <c r="G140" i="3"/>
  <c r="C141" i="3"/>
  <c r="C145" i="3"/>
  <c r="C153" i="3"/>
  <c r="C157" i="3"/>
  <c r="C146" i="3"/>
  <c r="C140" i="3"/>
  <c r="C144" i="3"/>
  <c r="C156" i="3"/>
  <c r="C162" i="3"/>
  <c r="C139" i="3"/>
  <c r="C154" i="3"/>
  <c r="C166" i="3"/>
  <c r="C163" i="3"/>
  <c r="C143" i="3"/>
  <c r="C147" i="3"/>
  <c r="C155" i="3"/>
  <c r="C161" i="3"/>
  <c r="C164" i="3"/>
  <c r="C167" i="3"/>
  <c r="C150" i="3"/>
  <c r="C151" i="3"/>
  <c r="D142" i="3"/>
  <c r="D159" i="3"/>
  <c r="D155" i="3"/>
  <c r="D147" i="3"/>
  <c r="D144" i="3"/>
  <c r="D143" i="3"/>
  <c r="D154" i="3"/>
  <c r="D153" i="3"/>
  <c r="D146" i="3"/>
  <c r="D141" i="3"/>
  <c r="D145" i="3"/>
  <c r="F142" i="3"/>
  <c r="F159" i="3"/>
  <c r="F155" i="3"/>
  <c r="F147" i="3"/>
  <c r="F144" i="3"/>
  <c r="F143" i="3"/>
  <c r="F154" i="3"/>
  <c r="F153" i="3"/>
  <c r="F146" i="3"/>
  <c r="F141" i="3"/>
  <c r="F145" i="3"/>
  <c r="F140" i="3"/>
  <c r="H142" i="3"/>
  <c r="H159" i="3"/>
  <c r="H155" i="3"/>
  <c r="H147" i="3"/>
  <c r="H144" i="3"/>
  <c r="H143" i="3"/>
  <c r="H146" i="3"/>
  <c r="H154" i="3"/>
  <c r="H153" i="3"/>
  <c r="H141" i="3"/>
  <c r="H145" i="3"/>
  <c r="H140" i="3"/>
  <c r="H139" i="3"/>
  <c r="H166" i="3"/>
  <c r="E35" i="2" s="1"/>
  <c r="F139" i="3"/>
  <c r="F135" i="3"/>
  <c r="H8" i="3"/>
  <c r="H13" i="17"/>
  <c r="H9" i="3"/>
  <c r="C9" i="3"/>
  <c r="C85" i="3" s="1"/>
  <c r="C13" i="17"/>
  <c r="C35" i="17" s="1"/>
  <c r="C36" i="17" s="1"/>
  <c r="D9" i="3"/>
  <c r="D13" i="17"/>
  <c r="E6" i="3"/>
  <c r="E13" i="17"/>
  <c r="F14" i="17"/>
  <c r="F13" i="17"/>
  <c r="F16" i="17" s="1"/>
  <c r="G14" i="17"/>
  <c r="G13" i="17"/>
  <c r="C6" i="3"/>
  <c r="D6" i="3"/>
  <c r="G9" i="3"/>
  <c r="F9" i="3"/>
  <c r="F81" i="3" s="1"/>
  <c r="E9" i="3"/>
  <c r="E81" i="3" s="1"/>
  <c r="I11" i="9"/>
  <c r="J11" i="9" s="1"/>
  <c r="E22" i="3" s="1"/>
  <c r="E108" i="3" s="1"/>
  <c r="I12" i="9"/>
  <c r="J12" i="9" s="1"/>
  <c r="D22" i="3" s="1"/>
  <c r="D108" i="3" s="1"/>
  <c r="D110" i="3" s="1"/>
  <c r="D44" i="3" l="1"/>
  <c r="D118" i="3" s="1"/>
  <c r="D150" i="3" s="1"/>
  <c r="H105" i="3"/>
  <c r="H80" i="3"/>
  <c r="H75" i="3"/>
  <c r="H81" i="3"/>
  <c r="G80" i="3"/>
  <c r="G81" i="3"/>
  <c r="E44" i="3"/>
  <c r="E118" i="3" s="1"/>
  <c r="E150" i="3" s="1"/>
  <c r="Z26" i="16"/>
  <c r="D171" i="3"/>
  <c r="D135" i="3"/>
  <c r="G75" i="3"/>
  <c r="G105" i="3"/>
  <c r="G129" i="3" s="1"/>
  <c r="G183" i="3" s="1"/>
  <c r="G89" i="3"/>
  <c r="G73" i="3"/>
  <c r="F166" i="3"/>
  <c r="F6" i="3"/>
  <c r="AJ29" i="16" s="1"/>
  <c r="F8" i="3"/>
  <c r="G6" i="3"/>
  <c r="X26" i="16" s="1"/>
  <c r="G47" i="3" s="1"/>
  <c r="E110" i="3"/>
  <c r="E140" i="3"/>
  <c r="G85" i="3"/>
  <c r="F105" i="3"/>
  <c r="F129" i="3" s="1"/>
  <c r="F183" i="3" s="1"/>
  <c r="F85" i="3"/>
  <c r="F89" i="3"/>
  <c r="E105" i="3"/>
  <c r="E129" i="3" s="1"/>
  <c r="E183" i="3" s="1"/>
  <c r="E89" i="3"/>
  <c r="E85" i="3"/>
  <c r="D105" i="3"/>
  <c r="D129" i="3" s="1"/>
  <c r="D183" i="3" s="1"/>
  <c r="D89" i="3"/>
  <c r="D85" i="3"/>
  <c r="C105" i="3"/>
  <c r="C89" i="3"/>
  <c r="C73" i="3"/>
  <c r="H87" i="3"/>
  <c r="H85" i="3"/>
  <c r="H89" i="3"/>
  <c r="D140" i="3"/>
  <c r="G8" i="3"/>
  <c r="C87" i="3"/>
  <c r="C75" i="3"/>
  <c r="C81" i="3"/>
  <c r="C80" i="3"/>
  <c r="G87" i="3"/>
  <c r="E80" i="3"/>
  <c r="E75" i="3"/>
  <c r="E87" i="3"/>
  <c r="E73" i="3"/>
  <c r="D87" i="3"/>
  <c r="D80" i="3"/>
  <c r="D75" i="3"/>
  <c r="D81" i="3"/>
  <c r="D73" i="3"/>
  <c r="F75" i="3"/>
  <c r="F80" i="3"/>
  <c r="F87" i="3"/>
  <c r="F73" i="3"/>
  <c r="G21" i="17"/>
  <c r="G35" i="17"/>
  <c r="G36" i="17" s="1"/>
  <c r="G49" i="3" s="1"/>
  <c r="E21" i="17"/>
  <c r="E35" i="17"/>
  <c r="E36" i="17" s="1"/>
  <c r="E49" i="3" s="1"/>
  <c r="D21" i="17"/>
  <c r="D35" i="17"/>
  <c r="D36" i="17" s="1"/>
  <c r="D49" i="3" s="1"/>
  <c r="H21" i="17"/>
  <c r="H24" i="17" s="1"/>
  <c r="H35" i="17"/>
  <c r="F21" i="17"/>
  <c r="F35" i="17"/>
  <c r="F36" i="17" s="1"/>
  <c r="F49" i="3" s="1"/>
  <c r="C21" i="17"/>
  <c r="C49" i="3"/>
  <c r="AH27" i="16"/>
  <c r="AH26" i="16"/>
  <c r="D46" i="3"/>
  <c r="AH19" i="16"/>
  <c r="C18" i="17"/>
  <c r="C17" i="17"/>
  <c r="C16" i="17"/>
  <c r="E17" i="17"/>
  <c r="E16" i="17"/>
  <c r="E18" i="17"/>
  <c r="F18" i="17"/>
  <c r="F17" i="17"/>
  <c r="AI19" i="16"/>
  <c r="AI26" i="16"/>
  <c r="E46" i="3"/>
  <c r="C8" i="3"/>
  <c r="C14" i="17"/>
  <c r="E8" i="3"/>
  <c r="E14" i="17"/>
  <c r="D8" i="3"/>
  <c r="D14" i="17"/>
  <c r="G16" i="17"/>
  <c r="G18" i="17"/>
  <c r="G17" i="17"/>
  <c r="D18" i="17"/>
  <c r="D16" i="17"/>
  <c r="D17" i="17"/>
  <c r="H17" i="17"/>
  <c r="H16" i="17"/>
  <c r="H18" i="17"/>
  <c r="AG26" i="16"/>
  <c r="AF19" i="16"/>
  <c r="AF26" i="16"/>
  <c r="AG19" i="16"/>
  <c r="AE26" i="16"/>
  <c r="AE19" i="16"/>
  <c r="AJ30" i="16"/>
  <c r="AJ19" i="16"/>
  <c r="F46" i="3"/>
  <c r="AJ20" i="16"/>
  <c r="AJ23" i="16"/>
  <c r="H6" i="3"/>
  <c r="H14" i="17"/>
  <c r="L40" i="4"/>
  <c r="M32" i="4"/>
  <c r="L32" i="4"/>
  <c r="L17" i="4"/>
  <c r="L16" i="4"/>
  <c r="P13" i="4"/>
  <c r="E68" i="3" l="1"/>
  <c r="AP15" i="16"/>
  <c r="AP16" i="16" s="1"/>
  <c r="AP18" i="16"/>
  <c r="AP19" i="16" s="1"/>
  <c r="H68" i="3"/>
  <c r="G82" i="3"/>
  <c r="G83" i="3" s="1"/>
  <c r="AJ26" i="16"/>
  <c r="W26" i="16"/>
  <c r="H47" i="3" s="1"/>
  <c r="H119" i="3" s="1"/>
  <c r="H136" i="3" s="1"/>
  <c r="AJ21" i="16"/>
  <c r="I81" i="3"/>
  <c r="F44" i="3"/>
  <c r="F118" i="3" s="1"/>
  <c r="F150" i="3" s="1"/>
  <c r="Y26" i="16"/>
  <c r="F47" i="3" s="1"/>
  <c r="F119" i="3" s="1"/>
  <c r="F42" i="3"/>
  <c r="F117" i="3" s="1"/>
  <c r="F149" i="3" s="1"/>
  <c r="AJ27" i="16"/>
  <c r="AJ22" i="16"/>
  <c r="AJ28" i="16"/>
  <c r="E47" i="3"/>
  <c r="E171" i="3"/>
  <c r="H44" i="3"/>
  <c r="H36" i="17"/>
  <c r="H49" i="3" s="1"/>
  <c r="G119" i="3"/>
  <c r="G136" i="3" s="1"/>
  <c r="G44" i="3"/>
  <c r="G118" i="3" s="1"/>
  <c r="G150" i="3" s="1"/>
  <c r="AA26" i="16"/>
  <c r="D47" i="3" s="1"/>
  <c r="E161" i="3"/>
  <c r="AK19" i="16"/>
  <c r="F161" i="3"/>
  <c r="G46" i="3"/>
  <c r="AK26" i="16"/>
  <c r="D161" i="3"/>
  <c r="G161" i="3"/>
  <c r="D68" i="3"/>
  <c r="H82" i="3"/>
  <c r="H83" i="3" s="1"/>
  <c r="H79" i="3" s="1"/>
  <c r="C82" i="3"/>
  <c r="C83" i="3" s="1"/>
  <c r="C79" i="3" s="1"/>
  <c r="E82" i="3"/>
  <c r="E83" i="3" s="1"/>
  <c r="E79" i="3" s="1"/>
  <c r="F68" i="3"/>
  <c r="D82" i="3"/>
  <c r="D83" i="3" s="1"/>
  <c r="D79" i="3" s="1"/>
  <c r="H129" i="3"/>
  <c r="H183" i="3" s="1"/>
  <c r="C68" i="3"/>
  <c r="D139" i="3"/>
  <c r="E139" i="3"/>
  <c r="E135" i="3"/>
  <c r="F82" i="3"/>
  <c r="F83" i="3" s="1"/>
  <c r="F79" i="3" s="1"/>
  <c r="G79" i="3"/>
  <c r="D24" i="17"/>
  <c r="D25" i="17" s="1"/>
  <c r="D26" i="17" s="1"/>
  <c r="D48" i="3" s="1"/>
  <c r="D51" i="3" s="1"/>
  <c r="D120" i="3" s="1"/>
  <c r="D152" i="3" s="1"/>
  <c r="C24" i="17"/>
  <c r="E24" i="17"/>
  <c r="E25" i="17" s="1"/>
  <c r="E26" i="17" s="1"/>
  <c r="E48" i="3" s="1"/>
  <c r="E51" i="3" s="1"/>
  <c r="E120" i="3" s="1"/>
  <c r="E152" i="3" s="1"/>
  <c r="F24" i="17"/>
  <c r="F25" i="17" s="1"/>
  <c r="F26" i="17" s="1"/>
  <c r="F48" i="3" s="1"/>
  <c r="F51" i="3" s="1"/>
  <c r="G24" i="17"/>
  <c r="G25" i="17" s="1"/>
  <c r="G26" i="17" s="1"/>
  <c r="G48" i="3" s="1"/>
  <c r="G51" i="3" s="1"/>
  <c r="G120" i="3" s="1"/>
  <c r="G152" i="3" s="1"/>
  <c r="AL27" i="16"/>
  <c r="AL26" i="16"/>
  <c r="H46" i="3"/>
  <c r="AL28" i="16"/>
  <c r="AL19" i="16"/>
  <c r="AL20" i="16"/>
  <c r="AL29" i="16"/>
  <c r="AL22" i="16"/>
  <c r="AL30" i="16"/>
  <c r="AL23" i="16"/>
  <c r="AL21" i="16"/>
  <c r="H42" i="3"/>
  <c r="F13" i="3"/>
  <c r="E119" i="3" l="1"/>
  <c r="J47" i="3"/>
  <c r="C25" i="19" s="1"/>
  <c r="C25" i="17"/>
  <c r="C26" i="17" s="1"/>
  <c r="C48" i="3" s="1"/>
  <c r="C51" i="3" s="1"/>
  <c r="C120" i="3" s="1"/>
  <c r="C152" i="3" s="1"/>
  <c r="E90" i="3"/>
  <c r="F136" i="3"/>
  <c r="F167" i="3" s="1"/>
  <c r="F151" i="3"/>
  <c r="E136" i="3"/>
  <c r="E167" i="3" s="1"/>
  <c r="E151" i="3"/>
  <c r="D119" i="3"/>
  <c r="H118" i="3"/>
  <c r="H150" i="3" s="1"/>
  <c r="D90" i="3"/>
  <c r="D125" i="3" s="1"/>
  <c r="H25" i="17"/>
  <c r="H26" i="17" s="1"/>
  <c r="H48" i="3" s="1"/>
  <c r="H51" i="3" s="1"/>
  <c r="G151" i="3"/>
  <c r="G167" i="3"/>
  <c r="E166" i="3"/>
  <c r="D166" i="3"/>
  <c r="E125" i="3"/>
  <c r="E181" i="3" s="1"/>
  <c r="F90" i="3"/>
  <c r="F125" i="3" s="1"/>
  <c r="F181" i="3" s="1"/>
  <c r="G68" i="3"/>
  <c r="G90" i="3" s="1"/>
  <c r="G125" i="3" s="1"/>
  <c r="G181" i="3" s="1"/>
  <c r="H90" i="3"/>
  <c r="C90" i="3"/>
  <c r="H161" i="3"/>
  <c r="L183" i="3"/>
  <c r="H151" i="3"/>
  <c r="H117" i="3"/>
  <c r="F52" i="3"/>
  <c r="F121" i="3" s="1"/>
  <c r="F131" i="3" s="1"/>
  <c r="Q131" i="3" s="1"/>
  <c r="F120" i="3"/>
  <c r="F152" i="3" s="1"/>
  <c r="F20" i="19" l="1"/>
  <c r="F34" i="19" s="1"/>
  <c r="C20" i="19"/>
  <c r="C25" i="2"/>
  <c r="J119" i="3"/>
  <c r="J52" i="3"/>
  <c r="J121" i="3" s="1"/>
  <c r="F132" i="3"/>
  <c r="D181" i="3"/>
  <c r="D130" i="3"/>
  <c r="D157" i="3"/>
  <c r="D151" i="3"/>
  <c r="D136" i="3"/>
  <c r="D167" i="3" s="1"/>
  <c r="H52" i="3"/>
  <c r="H121" i="3" s="1"/>
  <c r="H120" i="3"/>
  <c r="H152" i="3" s="1"/>
  <c r="F178" i="3"/>
  <c r="E157" i="3"/>
  <c r="F157" i="3"/>
  <c r="G157" i="3"/>
  <c r="H149" i="3"/>
  <c r="F148" i="3"/>
  <c r="H167" i="3"/>
  <c r="H125" i="3"/>
  <c r="H181" i="3" s="1"/>
  <c r="F20" i="2" l="1"/>
  <c r="C20" i="2"/>
  <c r="D20" i="2" s="1"/>
  <c r="Q136" i="3"/>
  <c r="Q109" i="3"/>
  <c r="D20" i="19"/>
  <c r="D34" i="19" s="1"/>
  <c r="C34" i="19"/>
  <c r="L121" i="3"/>
  <c r="L178" i="3" s="1"/>
  <c r="J148" i="3"/>
  <c r="L148" i="3" s="1"/>
  <c r="J178" i="3"/>
  <c r="J134" i="3"/>
  <c r="U114" i="3" s="1"/>
  <c r="J131" i="3"/>
  <c r="U131" i="3" s="1"/>
  <c r="L119" i="3"/>
  <c r="J136" i="3"/>
  <c r="J151" i="3"/>
  <c r="L151" i="3" s="1"/>
  <c r="F133" i="3"/>
  <c r="H131" i="3"/>
  <c r="H134" i="3"/>
  <c r="S114" i="3" s="1"/>
  <c r="I79" i="3"/>
  <c r="H178" i="3"/>
  <c r="F184" i="3"/>
  <c r="H157" i="3"/>
  <c r="F162" i="3"/>
  <c r="Q132" i="3" s="1"/>
  <c r="H148" i="3"/>
  <c r="F65" i="4"/>
  <c r="E65" i="4"/>
  <c r="D65" i="4"/>
  <c r="C65" i="4"/>
  <c r="G65" i="4"/>
  <c r="C62" i="4"/>
  <c r="D62" i="4"/>
  <c r="E62" i="4"/>
  <c r="F62" i="4"/>
  <c r="G62" i="4"/>
  <c r="M13" i="4"/>
  <c r="N13" i="4"/>
  <c r="O13" i="4"/>
  <c r="L13" i="4"/>
  <c r="D61" i="4"/>
  <c r="E61" i="4"/>
  <c r="F61" i="4"/>
  <c r="G61" i="4"/>
  <c r="C61" i="4"/>
  <c r="A61" i="4"/>
  <c r="D60" i="4"/>
  <c r="E60" i="4"/>
  <c r="F60" i="4"/>
  <c r="G60" i="4"/>
  <c r="C60" i="4"/>
  <c r="A60" i="4"/>
  <c r="D59" i="4"/>
  <c r="E59" i="4"/>
  <c r="F59" i="4"/>
  <c r="G59" i="4"/>
  <c r="C59" i="4"/>
  <c r="A59" i="4"/>
  <c r="D57" i="4"/>
  <c r="M24" i="4" s="1"/>
  <c r="E57" i="4"/>
  <c r="N24" i="4" s="1"/>
  <c r="F57" i="4"/>
  <c r="O24" i="4" s="1"/>
  <c r="G57" i="4"/>
  <c r="P24" i="4" s="1"/>
  <c r="C57" i="4"/>
  <c r="L24" i="4" s="1"/>
  <c r="A57" i="4"/>
  <c r="D55" i="4"/>
  <c r="E55" i="4"/>
  <c r="F55" i="4"/>
  <c r="G55" i="4"/>
  <c r="C55" i="4"/>
  <c r="A55" i="4"/>
  <c r="D54" i="4"/>
  <c r="E54" i="4"/>
  <c r="F54" i="4"/>
  <c r="G54" i="4"/>
  <c r="C54" i="4"/>
  <c r="A54" i="4"/>
  <c r="D53" i="4"/>
  <c r="E53" i="4"/>
  <c r="F53" i="4"/>
  <c r="G53" i="4"/>
  <c r="C53" i="4"/>
  <c r="A53" i="4"/>
  <c r="D52" i="4"/>
  <c r="E52" i="4"/>
  <c r="F52" i="4"/>
  <c r="G52" i="4"/>
  <c r="C52" i="4"/>
  <c r="A52" i="4"/>
  <c r="D22" i="4"/>
  <c r="E22" i="4"/>
  <c r="F22" i="4"/>
  <c r="G22" i="4"/>
  <c r="C22" i="4"/>
  <c r="D44" i="4"/>
  <c r="F44" i="4"/>
  <c r="G44" i="4"/>
  <c r="C44" i="4"/>
  <c r="E44" i="4"/>
  <c r="D37" i="4"/>
  <c r="E37" i="4"/>
  <c r="F37" i="4"/>
  <c r="G37" i="4"/>
  <c r="C37" i="4"/>
  <c r="D11" i="4"/>
  <c r="E11" i="4"/>
  <c r="F11" i="4"/>
  <c r="G11" i="4"/>
  <c r="C11" i="4"/>
  <c r="D28" i="4"/>
  <c r="E28" i="4"/>
  <c r="F28" i="4"/>
  <c r="G28" i="4"/>
  <c r="C28" i="4"/>
  <c r="G4" i="4"/>
  <c r="F4" i="4"/>
  <c r="E4" i="4"/>
  <c r="D4" i="4"/>
  <c r="C4" i="4"/>
  <c r="D13" i="3"/>
  <c r="E13" i="3"/>
  <c r="G13" i="3"/>
  <c r="C13" i="3"/>
  <c r="H132" i="3" l="1"/>
  <c r="S131" i="3"/>
  <c r="S136" i="3"/>
  <c r="S109" i="3"/>
  <c r="K137" i="3"/>
  <c r="L134" i="3"/>
  <c r="J165" i="3"/>
  <c r="L131" i="3"/>
  <c r="G77" i="19" s="1"/>
  <c r="J132" i="3"/>
  <c r="J184" i="3"/>
  <c r="J162" i="3"/>
  <c r="U132" i="3" s="1"/>
  <c r="L136" i="3"/>
  <c r="J167" i="3"/>
  <c r="L167" i="3" s="1"/>
  <c r="H133" i="3"/>
  <c r="C30" i="2"/>
  <c r="C34" i="2" s="1"/>
  <c r="I125" i="3"/>
  <c r="I134" i="3" s="1"/>
  <c r="T114" i="3" s="1"/>
  <c r="I157" i="3"/>
  <c r="I132" i="3"/>
  <c r="L181" i="3"/>
  <c r="I181" i="3"/>
  <c r="I130" i="3"/>
  <c r="H184" i="3"/>
  <c r="G51" i="4"/>
  <c r="H162" i="3"/>
  <c r="S132" i="3" s="1"/>
  <c r="F51" i="4"/>
  <c r="C51" i="4"/>
  <c r="E51" i="4"/>
  <c r="D51" i="4"/>
  <c r="T136" i="3" l="1"/>
  <c r="T109" i="3"/>
  <c r="U136" i="3"/>
  <c r="U109" i="3"/>
  <c r="F35" i="2"/>
  <c r="F35" i="19"/>
  <c r="L165" i="3"/>
  <c r="D35" i="19" s="1"/>
  <c r="U115" i="3"/>
  <c r="L162" i="3"/>
  <c r="L132" i="3"/>
  <c r="J163" i="3"/>
  <c r="J133" i="3"/>
  <c r="J185" i="3"/>
  <c r="D30" i="2"/>
  <c r="D34" i="2" s="1"/>
  <c r="I156" i="3"/>
  <c r="I133" i="3"/>
  <c r="I163" i="3"/>
  <c r="I185" i="3"/>
  <c r="I165" i="3"/>
  <c r="T115" i="3" s="1"/>
  <c r="G77" i="2"/>
  <c r="L184" i="3"/>
  <c r="T137" i="3" l="1"/>
  <c r="T110" i="3"/>
  <c r="G78" i="2"/>
  <c r="G78" i="19"/>
  <c r="G97" i="2"/>
  <c r="G97" i="19"/>
  <c r="U137" i="3"/>
  <c r="U110" i="3"/>
  <c r="L133" i="3"/>
  <c r="J186" i="3"/>
  <c r="J164" i="3"/>
  <c r="L164" i="3" s="1"/>
  <c r="C35" i="19" s="1"/>
  <c r="L163" i="3"/>
  <c r="G98" i="19" s="1"/>
  <c r="I164" i="3"/>
  <c r="I186" i="3"/>
  <c r="IH19" i="15"/>
  <c r="IH23" i="15"/>
  <c r="IH24" i="15" s="1"/>
  <c r="C35" i="2" l="1"/>
  <c r="IC26" i="15"/>
  <c r="IH26" i="15"/>
  <c r="AH20" i="16"/>
  <c r="AH12" i="16"/>
  <c r="AH29" i="16" s="1"/>
  <c r="AH11" i="16"/>
  <c r="AE10" i="16"/>
  <c r="AE12" i="16" l="1"/>
  <c r="AE29" i="16" s="1"/>
  <c r="AE27" i="16"/>
  <c r="AH22" i="16"/>
  <c r="AE11" i="16"/>
  <c r="AH13" i="16"/>
  <c r="AH28" i="16"/>
  <c r="AH21" i="16"/>
  <c r="AE22" i="16"/>
  <c r="AE20" i="16"/>
  <c r="AK10" i="16"/>
  <c r="AG10" i="16"/>
  <c r="AE13" i="16"/>
  <c r="AE30" i="16" s="1"/>
  <c r="AI10" i="16"/>
  <c r="AF10" i="16"/>
  <c r="AF27" i="16" s="1"/>
  <c r="AH23" i="16" l="1"/>
  <c r="D41" i="3"/>
  <c r="AH30" i="16"/>
  <c r="AI20" i="16"/>
  <c r="AI27" i="16"/>
  <c r="AG11" i="16"/>
  <c r="AG28" i="16" s="1"/>
  <c r="AG27" i="16"/>
  <c r="AK20" i="16"/>
  <c r="AK27" i="16"/>
  <c r="AE21" i="16"/>
  <c r="AE28" i="16"/>
  <c r="AK12" i="16"/>
  <c r="AK11" i="16"/>
  <c r="AK13" i="16" s="1"/>
  <c r="AF20" i="16"/>
  <c r="AF11" i="16"/>
  <c r="AF12" i="16"/>
  <c r="AF29" i="16" s="1"/>
  <c r="AE23" i="16"/>
  <c r="AI12" i="16"/>
  <c r="AI11" i="16"/>
  <c r="AG20" i="16"/>
  <c r="AG12" i="16"/>
  <c r="AG29" i="16" s="1"/>
  <c r="D42" i="3" l="1"/>
  <c r="AK21" i="16"/>
  <c r="AK28" i="16"/>
  <c r="AI13" i="16"/>
  <c r="AI21" i="16"/>
  <c r="AI28" i="16"/>
  <c r="AI22" i="16"/>
  <c r="AI29" i="16"/>
  <c r="G41" i="3"/>
  <c r="G42" i="3" s="1"/>
  <c r="G117" i="3" s="1"/>
  <c r="AK23" i="16"/>
  <c r="AK30" i="16"/>
  <c r="AF13" i="16"/>
  <c r="AF30" i="16" s="1"/>
  <c r="AF28" i="16"/>
  <c r="AK22" i="16"/>
  <c r="AK29" i="16"/>
  <c r="AG21" i="16"/>
  <c r="AF21" i="16"/>
  <c r="AG13" i="16"/>
  <c r="AG22" i="16"/>
  <c r="AF22" i="16"/>
  <c r="G149" i="3" l="1"/>
  <c r="D52" i="3"/>
  <c r="D121" i="3" s="1"/>
  <c r="D131" i="3" s="1"/>
  <c r="O131" i="3" s="1"/>
  <c r="D117" i="3"/>
  <c r="G52" i="3"/>
  <c r="G121" i="3" s="1"/>
  <c r="G131" i="3" s="1"/>
  <c r="R131" i="3" s="1"/>
  <c r="C41" i="3"/>
  <c r="C42" i="3" s="1"/>
  <c r="C117" i="3" s="1"/>
  <c r="AG30" i="16"/>
  <c r="AI23" i="16"/>
  <c r="E41" i="3"/>
  <c r="E42" i="3" s="1"/>
  <c r="E117" i="3" s="1"/>
  <c r="AI30" i="16"/>
  <c r="AF23" i="16"/>
  <c r="AG23" i="16"/>
  <c r="G132" i="3" l="1"/>
  <c r="D132" i="3"/>
  <c r="D134" i="3"/>
  <c r="O114" i="3" s="1"/>
  <c r="G178" i="3"/>
  <c r="D178" i="3"/>
  <c r="C149" i="3"/>
  <c r="D149" i="3"/>
  <c r="E149" i="3"/>
  <c r="G148" i="3"/>
  <c r="D148" i="3"/>
  <c r="C52" i="3"/>
  <c r="E52" i="3"/>
  <c r="E121" i="3" s="1"/>
  <c r="O136" i="3" l="1"/>
  <c r="O109" i="3"/>
  <c r="G133" i="3"/>
  <c r="R136" i="3"/>
  <c r="R109" i="3"/>
  <c r="D133" i="3"/>
  <c r="E131" i="3"/>
  <c r="P131" i="3" s="1"/>
  <c r="D184" i="3"/>
  <c r="G184" i="3"/>
  <c r="E178" i="3"/>
  <c r="D162" i="3"/>
  <c r="O132" i="3" s="1"/>
  <c r="E148" i="3"/>
  <c r="G162" i="3"/>
  <c r="R132" i="3" s="1"/>
  <c r="E132" i="3" l="1"/>
  <c r="E184" i="3"/>
  <c r="E162" i="3"/>
  <c r="P132" i="3" s="1"/>
  <c r="F34" i="2"/>
  <c r="P136" i="3" l="1"/>
  <c r="P109" i="3"/>
  <c r="E133" i="3"/>
  <c r="H130" i="3"/>
  <c r="G130" i="3"/>
  <c r="G156" i="3" s="1"/>
  <c r="F130" i="3"/>
  <c r="F134" i="3" s="1"/>
  <c r="D156" i="3"/>
  <c r="E130" i="3"/>
  <c r="E134" i="3" s="1"/>
  <c r="E165" i="3" l="1"/>
  <c r="P115" i="3" s="1"/>
  <c r="P114" i="3"/>
  <c r="F165" i="3"/>
  <c r="Q115" i="3" s="1"/>
  <c r="Q114" i="3"/>
  <c r="H165" i="3"/>
  <c r="F185" i="3"/>
  <c r="E185" i="3"/>
  <c r="D165" i="3"/>
  <c r="O115" i="3" s="1"/>
  <c r="G134" i="3"/>
  <c r="H185" i="3"/>
  <c r="E156" i="3"/>
  <c r="F156" i="3"/>
  <c r="D185" i="3"/>
  <c r="G185" i="3"/>
  <c r="H156" i="3"/>
  <c r="D35" i="2" l="1"/>
  <c r="S115" i="3"/>
  <c r="G165" i="3"/>
  <c r="R115" i="3" s="1"/>
  <c r="R114" i="3"/>
  <c r="H186" i="3"/>
  <c r="H163" i="3"/>
  <c r="E163" i="3"/>
  <c r="G163" i="3"/>
  <c r="D163" i="3"/>
  <c r="F163" i="3"/>
  <c r="R137" i="3" l="1"/>
  <c r="R110" i="3"/>
  <c r="P137" i="3"/>
  <c r="P110" i="3"/>
  <c r="S137" i="3"/>
  <c r="S110" i="3"/>
  <c r="Q137" i="3"/>
  <c r="Q110" i="3"/>
  <c r="O137" i="3"/>
  <c r="O110" i="3"/>
  <c r="G98" i="2"/>
  <c r="L185" i="3"/>
  <c r="G164" i="3"/>
  <c r="G186" i="3"/>
  <c r="E164" i="3"/>
  <c r="E186" i="3"/>
  <c r="F164" i="3"/>
  <c r="F186" i="3"/>
  <c r="D164" i="3"/>
  <c r="D186" i="3"/>
  <c r="L186" i="3"/>
  <c r="H16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Stefán Þór Kristinsson</author>
  </authors>
  <commentList>
    <comment ref="H4" authorId="0" shapeId="0" xr:uid="{72C178DF-697F-4083-B584-69E32BEDF7F3}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Reykjavík+Kjalarnes</t>
        </r>
      </text>
    </comment>
    <comment ref="H5" authorId="0" shapeId="0" xr:uid="{B9427715-5AB5-41BC-9B05-0589A7D4B3CE}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RVK+HFJ+GBR+ÁTN+KÓP+STN+MSB+MSD+Strjálbýli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Stefán Þór Kristinsson</author>
  </authors>
  <commentList>
    <comment ref="I25" authorId="0" shapeId="0" xr:uid="{F91603A0-AF16-4F61-8B05-ABB33F9ED2C4}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veitur.is/kolefnisspor</t>
        </r>
      </text>
    </comment>
  </commentList>
</comments>
</file>

<file path=xl/sharedStrings.xml><?xml version="1.0" encoding="utf-8"?>
<sst xmlns="http://schemas.openxmlformats.org/spreadsheetml/2006/main" count="3017" uniqueCount="746">
  <si>
    <t>Einingar</t>
  </si>
  <si>
    <t>-</t>
  </si>
  <si>
    <t>Umhverfi</t>
  </si>
  <si>
    <t>Umfang 1</t>
  </si>
  <si>
    <t>tCO2í</t>
  </si>
  <si>
    <t>Umfang 3</t>
  </si>
  <si>
    <t>Orkunotkun</t>
  </si>
  <si>
    <t>kWst</t>
  </si>
  <si>
    <t>kg</t>
  </si>
  <si>
    <t xml:space="preserve">  Metan</t>
  </si>
  <si>
    <t>Fjöldi ökutækja</t>
  </si>
  <si>
    <t>Fjöldi skipa</t>
  </si>
  <si>
    <t>Heildar losun frá notkun kælimiðla</t>
  </si>
  <si>
    <t>tCO2Í</t>
  </si>
  <si>
    <t>Umfang 2</t>
  </si>
  <si>
    <t>Mars</t>
  </si>
  <si>
    <t>Apríl</t>
  </si>
  <si>
    <t>Maí</t>
  </si>
  <si>
    <t>Júní</t>
  </si>
  <si>
    <t>Júlí</t>
  </si>
  <si>
    <t>Ágúst</t>
  </si>
  <si>
    <t>Samtals</t>
  </si>
  <si>
    <t>Skip</t>
  </si>
  <si>
    <t>tCO2 íg</t>
  </si>
  <si>
    <t>t</t>
  </si>
  <si>
    <t>Dísil</t>
  </si>
  <si>
    <t>Hlutfall fiskiskipa</t>
  </si>
  <si>
    <t xml:space="preserve">Losun fiskiskipa </t>
  </si>
  <si>
    <t>Orka</t>
  </si>
  <si>
    <t>Iðnaður</t>
  </si>
  <si>
    <t>Iðnaður og efnanotkun</t>
  </si>
  <si>
    <t>Landbúnaður</t>
  </si>
  <si>
    <t>Úrgangur</t>
  </si>
  <si>
    <t>Losun (án landnotkunar og skógræktar)</t>
  </si>
  <si>
    <t>https://www.ust.is/loft/losun-grodurhusalofttegunda/losun-islands/</t>
  </si>
  <si>
    <t>Fiskiskip</t>
  </si>
  <si>
    <t>Vegasamgöngur</t>
  </si>
  <si>
    <t>Innanlandsflug</t>
  </si>
  <si>
    <t>Strandsiglingar</t>
  </si>
  <si>
    <t>Vélar og tæki</t>
  </si>
  <si>
    <t>Eldsneytisbruni vegna iðnaðar</t>
  </si>
  <si>
    <t>Jarðvarmavirkjanir</t>
  </si>
  <si>
    <t>Annað</t>
  </si>
  <si>
    <t>Steinefnaiðnaður</t>
  </si>
  <si>
    <t>Efnaiðnaður</t>
  </si>
  <si>
    <t>Málmiðnaður</t>
  </si>
  <si>
    <t>Leysiefni</t>
  </si>
  <si>
    <t>F-gös (m.a. kælimiðlar)</t>
  </si>
  <si>
    <t>Efnanotkun</t>
  </si>
  <si>
    <t>Iðragerjun</t>
  </si>
  <si>
    <t>Meðhöndlun húsdýraáburðar</t>
  </si>
  <si>
    <t>Nytjajarðvegur</t>
  </si>
  <si>
    <t>Áburður</t>
  </si>
  <si>
    <t>Losun skipt eftir skuldbindingu (án landnotkunar og skógræktar)</t>
  </si>
  <si>
    <t>Urðun úrgangs</t>
  </si>
  <si>
    <t>Jarðgerð</t>
  </si>
  <si>
    <t>Brennsla og opinn bruni</t>
  </si>
  <si>
    <t>Meðhöndlun skólps</t>
  </si>
  <si>
    <t>Losun BÁS</t>
  </si>
  <si>
    <t>Annað - Orka</t>
  </si>
  <si>
    <t>Annað - Iðnaður</t>
  </si>
  <si>
    <t>Eldsneytisbruni (orka), staðbundinn iðnaður (CO2)</t>
  </si>
  <si>
    <t>Kísil- og kísilmálmframleiðsla (CO2)</t>
  </si>
  <si>
    <t>Álframleiðsla (CO2 og PFC)</t>
  </si>
  <si>
    <t>Losun frá staðbundnum iðnaði sem fellur undir viðskiptakerfi ESB</t>
  </si>
  <si>
    <t>Losun</t>
  </si>
  <si>
    <t>Losunarstuðull</t>
  </si>
  <si>
    <t>Raforka</t>
  </si>
  <si>
    <t>kWh</t>
  </si>
  <si>
    <t>..</t>
  </si>
  <si>
    <t>gCO2/kWst</t>
  </si>
  <si>
    <t>Almennar upplýsingar</t>
  </si>
  <si>
    <t>Fólksfjöldi Reykjavík</t>
  </si>
  <si>
    <t>Fólksfjöldi HBS</t>
  </si>
  <si>
    <t>Hlutfall RVK</t>
  </si>
  <si>
    <t>Fólksfjöldi Ísland</t>
  </si>
  <si>
    <t>Hlutfall HBS</t>
  </si>
  <si>
    <t>Hagstofa</t>
  </si>
  <si>
    <t>Samgöngur</t>
  </si>
  <si>
    <t>Samtals Reykjavík með dreifitöpum</t>
  </si>
  <si>
    <t xml:space="preserve">Loftlagsbókhald Reykjavíkur - Tölur </t>
  </si>
  <si>
    <t xml:space="preserve">Athuga dálkar sem eru merktir með gulum lit eru þeir sem voru settir inn í CIRIS og/eða minnisblaðið. </t>
  </si>
  <si>
    <t>Magn [GWh]</t>
  </si>
  <si>
    <t>Ár</t>
  </si>
  <si>
    <t>Rauðavatn, 132 kV</t>
  </si>
  <si>
    <t>Korpa, 132 kV</t>
  </si>
  <si>
    <t>Heildarorka</t>
  </si>
  <si>
    <t>Heildarorka [kWh]</t>
  </si>
  <si>
    <t>Stuðull [g CO2 íg/kwh]</t>
  </si>
  <si>
    <t>Losun [g CO2 íg]</t>
  </si>
  <si>
    <t>Losun [tCO2 íg]</t>
  </si>
  <si>
    <t>Uppruni gagna</t>
  </si>
  <si>
    <t>Raforkuspá 2019-2050 og National Inventory report 2019</t>
  </si>
  <si>
    <t>Heitt vatn (upphitun)</t>
  </si>
  <si>
    <t>Athugasemd</t>
  </si>
  <si>
    <t>Uppruni upplýsinga</t>
  </si>
  <si>
    <t>GL</t>
  </si>
  <si>
    <t>Hitaveita í Reykjavík nýttir sér jarðhitavatn frá lághitasvæðunum í Elliðaám, Laugarnesi, Reykjum og Reykjahlíð. Að auki kemur um helmingur alls vatns frá háhitasvæðum í Henglinum (Nesjavellir og Hellisheiði), þar sem kalt grunnvatn er hitað og meðhöndlað.</t>
  </si>
  <si>
    <t>HSA-05 RVK</t>
  </si>
  <si>
    <t>HSB-01 KJN</t>
  </si>
  <si>
    <t>Samtals RVK</t>
  </si>
  <si>
    <t>Losun vegna raforku</t>
  </si>
  <si>
    <t>Samantekt</t>
  </si>
  <si>
    <t>Losun (tCO2 ígilda)</t>
  </si>
  <si>
    <t>Hitaveita</t>
  </si>
  <si>
    <t>Götuumferð</t>
  </si>
  <si>
    <t>Skipaumferð</t>
  </si>
  <si>
    <t>Flugumferð</t>
  </si>
  <si>
    <t>Urðun</t>
  </si>
  <si>
    <t>Brennsla</t>
  </si>
  <si>
    <t>Fráveita</t>
  </si>
  <si>
    <t>Landnotkun</t>
  </si>
  <si>
    <t>Búfjárræktun</t>
  </si>
  <si>
    <t>Byggingariðnaður</t>
  </si>
  <si>
    <t>Orkuspásvæði</t>
  </si>
  <si>
    <t>HSA-05 Reykjavík</t>
  </si>
  <si>
    <t>HSB-01 Kjalarnes</t>
  </si>
  <si>
    <t>Samtals HAS-05 og HSB-01</t>
  </si>
  <si>
    <t>Deifitöp*</t>
  </si>
  <si>
    <t>* Er ætlað sem hlutfall af dreifitöpum Veitna</t>
  </si>
  <si>
    <t>Veitur (Viðauki 2 í Raforkuspá)</t>
  </si>
  <si>
    <t>Afhending til notenda</t>
  </si>
  <si>
    <t>Dreifitöp</t>
  </si>
  <si>
    <t>Orkuöflun</t>
  </si>
  <si>
    <t>Töp og ómæld notkun % af orkuöflun</t>
  </si>
  <si>
    <t xml:space="preserve"> </t>
  </si>
  <si>
    <t>Eldri útreikningar á dreifitöpum</t>
  </si>
  <si>
    <t>Skekkja  í útreikningum á dreiftöpum</t>
  </si>
  <si>
    <t>Vatnsvinnsla hitaveitu í RVK [GL]</t>
  </si>
  <si>
    <t>Framleiðsla [MWth]</t>
  </si>
  <si>
    <t>Gretar Ívarsson og Simon Klüpfel. (2021). Hitaveita í Reykjavík – Vatnsvinnsla 2020. Reykjavík: Veitur / Orkuveita Reykjavíkur.</t>
  </si>
  <si>
    <t>Gretar Ívarsson, Simon Klüpfel, Sigrún Tómasdóttir og Hendrik Tómasson. (2020). Hitaveita í Reykjavík – Vatnsvinnsla 2019. Reykjavík: Veitur / Orkuveita Reykjavíkur.</t>
  </si>
  <si>
    <t>Gretar Ívarsson, Simon Klüpfel, Sigrún Tómasdóttir og Hendrik Tómasson. (2019). Hitaveita í Reykjavík – Vatnsvinnsla 2018. Reykjavík: Veitur / Orkuveita Reykjavíkur.</t>
  </si>
  <si>
    <t>Framleiðsla [MWh]</t>
  </si>
  <si>
    <t>Stuðull [g CO2 íg/m3]</t>
  </si>
  <si>
    <t>Hitavatnsvinnsla</t>
  </si>
  <si>
    <t>gCO2/m3</t>
  </si>
  <si>
    <t>Gretar Ívarsson. (2018). Hitaveita í Reykjavík – Vatnsvinnslan og efnafræði vatnsins 2017. Reykjavík: Veitur / Orkuveita Reykjavíkur.</t>
  </si>
  <si>
    <t>Gretar Ívarsson. (2017). Hitaveita í Reykjavík – Vatnsvinnslan og efnafræði vatnsins 2016. Reykjavík: Veitur / Orkuveita Reykjavíkur.</t>
  </si>
  <si>
    <t>Gretar Ívarsson. (2016). Hitaveita í Reykjavík – Vatnsvinnslan og efnafræði vatnsins 2015. Reykjavík: Veitur / Orkuveita Reykjavíkur.</t>
  </si>
  <si>
    <t>Losun vegna hitaveitu</t>
  </si>
  <si>
    <t xml:space="preserve">Tafla 1. sýnir meðalumferð á dag eftir mánuðum í þremur völdum sniðum innan höfuðborgarsvæðis. </t>
  </si>
  <si>
    <t>Höfuðborgarsvæðið</t>
  </si>
  <si>
    <t>Hafnarfjarðarvegur sunnan Kópavogslækjar</t>
  </si>
  <si>
    <t>Reykjanesbraut við Dalveg í Kópavogi</t>
  </si>
  <si>
    <r>
      <t xml:space="preserve">Vesturlandsvegur (Nesbraut) móts við Skeljung, </t>
    </r>
    <r>
      <rPr>
        <sz val="8"/>
        <rFont val="Arial"/>
        <family val="2"/>
      </rPr>
      <t>(ofan Ártúnsbrekku)</t>
    </r>
  </si>
  <si>
    <t>Samanlögð meðalumferð á talningastöðum</t>
  </si>
  <si>
    <t>Meðalumfer/dag fyrir hvern mánuð lagður saman (reiknitala)</t>
  </si>
  <si>
    <t xml:space="preserve">          ---- Mismunur ----</t>
  </si>
  <si>
    <t xml:space="preserve">samtals </t>
  </si>
  <si>
    <t>Fjöldi í úrtaki</t>
  </si>
  <si>
    <t>Hlutfall í úrtaki</t>
  </si>
  <si>
    <t>Meðalakstur á dag</t>
  </si>
  <si>
    <t>Meðalakstur á ári</t>
  </si>
  <si>
    <t>milljón km</t>
  </si>
  <si>
    <t>Lengd vegkafla í km →</t>
  </si>
  <si>
    <t>Umferð</t>
  </si>
  <si>
    <t>Meðalumferð</t>
  </si>
  <si>
    <t>Bensín</t>
  </si>
  <si>
    <t>Emission factors (T/TJ)</t>
  </si>
  <si>
    <r>
      <t>Ár↓    mán.↓   Vegnr</t>
    </r>
    <r>
      <rPr>
        <sz val="10"/>
        <rFont val="Arial"/>
        <family val="2"/>
      </rPr>
      <t>.→</t>
    </r>
  </si>
  <si>
    <t>40-03</t>
  </si>
  <si>
    <t>41-12</t>
  </si>
  <si>
    <t>49-01</t>
  </si>
  <si>
    <t>Uppsafnað</t>
  </si>
  <si>
    <t xml:space="preserve">Vegkaflar </t>
  </si>
  <si>
    <t xml:space="preserve">Samtals </t>
  </si>
  <si>
    <t>SGS  - Staða í lok árs</t>
  </si>
  <si>
    <t>Í Umferð</t>
  </si>
  <si>
    <t>Fólksbifreiðar</t>
  </si>
  <si>
    <t>L/100km</t>
  </si>
  <si>
    <t>L/km</t>
  </si>
  <si>
    <t>kg/L</t>
  </si>
  <si>
    <t>kg/km (kT/mkm)</t>
  </si>
  <si>
    <t>TJ/kT</t>
  </si>
  <si>
    <t>TJ/mkm</t>
  </si>
  <si>
    <t>CO2</t>
  </si>
  <si>
    <t>CH4</t>
  </si>
  <si>
    <t>N2O</t>
  </si>
  <si>
    <t>TJ</t>
  </si>
  <si>
    <t>CO2-íg/L</t>
  </si>
  <si>
    <t>kg CO2 íg</t>
  </si>
  <si>
    <t>T CO2 íg</t>
  </si>
  <si>
    <r>
      <t xml:space="preserve"> Umferð</t>
    </r>
    <r>
      <rPr>
        <sz val="10"/>
        <rFont val="Arial"/>
        <family val="2"/>
      </rPr>
      <t>→</t>
    </r>
  </si>
  <si>
    <t>Fjöldi bíla pr. dag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</si>
  <si>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umf/dag</t>
    </r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</si>
  <si>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umferð</t>
    </r>
  </si>
  <si>
    <t>Mánaða</t>
  </si>
  <si>
    <t>Af er árs</t>
  </si>
  <si>
    <t>Fólksbifreið</t>
  </si>
  <si>
    <t>Hópbifreiðar ≤5t</t>
  </si>
  <si>
    <t>Janúar</t>
  </si>
  <si>
    <t>Sendibifreið</t>
  </si>
  <si>
    <t>Hópbifreiðar &gt;5t</t>
  </si>
  <si>
    <t>Fólksbílar</t>
  </si>
  <si>
    <t>Febrúar</t>
  </si>
  <si>
    <t>Dráttarvél</t>
  </si>
  <si>
    <t>Sendibifreiðar</t>
  </si>
  <si>
    <t>Tjaldvagn</t>
  </si>
  <si>
    <t>Vörubifreiðar ≤12t</t>
  </si>
  <si>
    <t>Eftirvagn</t>
  </si>
  <si>
    <t>Vörubifreiðar &gt;12t</t>
  </si>
  <si>
    <t>Smáar hópbifreiðar</t>
  </si>
  <si>
    <t>Hópbifreiðar</t>
  </si>
  <si>
    <t>Hjólhýsi</t>
  </si>
  <si>
    <t>Dísel</t>
  </si>
  <si>
    <t>Vöruflutningar</t>
  </si>
  <si>
    <t>Þungt bifhjól</t>
  </si>
  <si>
    <t>Beitabifhjól</t>
  </si>
  <si>
    <t>Sendibílar</t>
  </si>
  <si>
    <t>Vörubifreið II</t>
  </si>
  <si>
    <t>September</t>
  </si>
  <si>
    <t>Vörubifreið I</t>
  </si>
  <si>
    <t>Október</t>
  </si>
  <si>
    <t>Fellihýsi</t>
  </si>
  <si>
    <t>Stærri hópbifreiðar</t>
  </si>
  <si>
    <t>Nóvember</t>
  </si>
  <si>
    <t>Desember</t>
  </si>
  <si>
    <t>Alls</t>
  </si>
  <si>
    <t>Í umferð</t>
  </si>
  <si>
    <t>Meðalumferð/dag ≈  ÁDU</t>
  </si>
  <si>
    <t>Milli áranna 2005 og 2006</t>
  </si>
  <si>
    <t>Hópbifreið I (M2)</t>
  </si>
  <si>
    <t>Hópbifreið II (M3)</t>
  </si>
  <si>
    <t>Milli áranna 2006 og 2007</t>
  </si>
  <si>
    <t>https://www.samgongustofa.is/umferd/tolfraedi/onnur-tolfraedi/</t>
  </si>
  <si>
    <t>Milli áranna 2007 og 2008</t>
  </si>
  <si>
    <t>Milli áranna 2008 og 2009</t>
  </si>
  <si>
    <t>mkm</t>
  </si>
  <si>
    <t>Skipting AK2018</t>
  </si>
  <si>
    <t>HVDU</t>
  </si>
  <si>
    <t>Milli áranna 2009 og 2010</t>
  </si>
  <si>
    <t>VU</t>
  </si>
  <si>
    <t>ÁU</t>
  </si>
  <si>
    <t>í Reykjavík</t>
  </si>
  <si>
    <t>Milli áranna 2010 og 2011</t>
  </si>
  <si>
    <t>Milli áranna 2011 og 2012</t>
  </si>
  <si>
    <r>
      <t xml:space="preserve">2013                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>(teljari 40-03, bilaður frá apríl - des)</t>
    </r>
  </si>
  <si>
    <t>Milli áranna 2012 og 2013</t>
  </si>
  <si>
    <t>Milli áranna 2019 og 2012</t>
  </si>
  <si>
    <t>Milli áranna 2013 og 2014</t>
  </si>
  <si>
    <t>Milli áranna 2014 og 2015</t>
  </si>
  <si>
    <r>
      <t>ÁDU</t>
    </r>
    <r>
      <rPr>
        <vertAlign val="subscript"/>
        <sz val="10"/>
        <rFont val="Arial"/>
        <family val="2"/>
      </rPr>
      <t>nálgað</t>
    </r>
  </si>
  <si>
    <t>Milli áranna 2015 og 2016</t>
  </si>
  <si>
    <t>Milli áranna 2016 og 2017</t>
  </si>
  <si>
    <t>Milli áranna 2017 og 2018</t>
  </si>
  <si>
    <r>
      <t>2020</t>
    </r>
    <r>
      <rPr>
        <b/>
        <sz val="20"/>
        <color rgb="FFFF0000"/>
        <rFont val="Arial"/>
        <family val="2"/>
      </rPr>
      <t>(grófrýnt)</t>
    </r>
  </si>
  <si>
    <t>g/kwh</t>
  </si>
  <si>
    <t>t/kwh</t>
  </si>
  <si>
    <t>kwh/TJ</t>
  </si>
  <si>
    <t>t/TJ</t>
  </si>
  <si>
    <t>Metan og annað eldsneyti</t>
  </si>
  <si>
    <t>Rafmagn</t>
  </si>
  <si>
    <t>Tengitvinnbílar</t>
  </si>
  <si>
    <t>Tvinnbílar</t>
  </si>
  <si>
    <t>E.þ. &lt;= 500 kg</t>
  </si>
  <si>
    <t>500 kg &lt; e.þ. &lt;= 1000 kg</t>
  </si>
  <si>
    <t>1000 kg &lt; e.þ. &lt;= 1200 kg</t>
  </si>
  <si>
    <t>1200 kg &lt; e.þ. &lt;= 1400 kg</t>
  </si>
  <si>
    <t>1400 kg &lt; e.þ. &lt;= 1600 kg</t>
  </si>
  <si>
    <t>1600 kg &lt; e.þ. &lt;= 2000 kg</t>
  </si>
  <si>
    <t>2000 kg &lt; e.þ. &lt;= 2500 kg</t>
  </si>
  <si>
    <t>2500 kg &lt; e.þ. &lt;= 3000 kg</t>
  </si>
  <si>
    <t>3000 kg &lt; e.þ. &lt;= 4000 kg</t>
  </si>
  <si>
    <t>4000 kg &lt; e.þ. &lt;= 6000 kg</t>
  </si>
  <si>
    <t>E.þ &gt; 6000 kg</t>
  </si>
  <si>
    <t>Tafla 1. sýnir</t>
  </si>
  <si>
    <t>Reykjavíkurflugvöllur</t>
  </si>
  <si>
    <r>
      <t>Ár↓    teg.↓   E</t>
    </r>
    <r>
      <rPr>
        <sz val="10"/>
        <rFont val="Arial"/>
        <family val="2"/>
      </rPr>
      <t>.→</t>
    </r>
  </si>
  <si>
    <t>Farþegar</t>
  </si>
  <si>
    <t>Hreyfingar</t>
  </si>
  <si>
    <t>Cargo</t>
  </si>
  <si>
    <t>Yfirflug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</si>
  <si>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</t>
    </r>
  </si>
  <si>
    <t>Milli áranna 2018 og 2019</t>
  </si>
  <si>
    <t>Milli áranna 2019 og 2020</t>
  </si>
  <si>
    <t>Kef apr 2019-20</t>
  </si>
  <si>
    <t>Milli áranna 2020 og 2021</t>
  </si>
  <si>
    <t>2015M07</t>
  </si>
  <si>
    <t>2015M08</t>
  </si>
  <si>
    <t>Sundahöfn</t>
  </si>
  <si>
    <t>Gamla höfnin</t>
  </si>
  <si>
    <t>2015M09</t>
  </si>
  <si>
    <t>2015M10</t>
  </si>
  <si>
    <t>2015M11</t>
  </si>
  <si>
    <t>2015M12</t>
  </si>
  <si>
    <t>2016M01</t>
  </si>
  <si>
    <t>Losun (tonn)</t>
  </si>
  <si>
    <t>2016M02</t>
  </si>
  <si>
    <t>Þurrflutningaskip</t>
  </si>
  <si>
    <t>2016M03</t>
  </si>
  <si>
    <t>Gámaskip</t>
  </si>
  <si>
    <t>2016M04</t>
  </si>
  <si>
    <t>Almenn flutningaskip</t>
  </si>
  <si>
    <t>2016M05</t>
  </si>
  <si>
    <t>Tankskip</t>
  </si>
  <si>
    <t>2016M06</t>
  </si>
  <si>
    <t>Flutningaskip</t>
  </si>
  <si>
    <t>2016M07</t>
  </si>
  <si>
    <t>RoRo og ferjur</t>
  </si>
  <si>
    <t>2016M08</t>
  </si>
  <si>
    <t>Skemmtiferðaskip</t>
  </si>
  <si>
    <t>2016M09</t>
  </si>
  <si>
    <t>Farþegaskip</t>
  </si>
  <si>
    <t>2016M10</t>
  </si>
  <si>
    <t>Flutninga- og farþegaskip</t>
  </si>
  <si>
    <t>2016M11</t>
  </si>
  <si>
    <t>2016M12</t>
  </si>
  <si>
    <t>Hvalaskoðunarskip</t>
  </si>
  <si>
    <t>2017M01</t>
  </si>
  <si>
    <t>Önnur skip</t>
  </si>
  <si>
    <t>2017M02</t>
  </si>
  <si>
    <t>2017M03</t>
  </si>
  <si>
    <t>Af því gámar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</si>
  <si>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</si>
  <si>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</si>
  <si>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</si>
  <si>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</si>
  <si>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</si>
  <si>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</si>
  <si>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</si>
  <si>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</si>
  <si>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</si>
  <si>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</si>
  <si>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</si>
  <si>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</si>
  <si>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</si>
  <si>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</si>
  <si>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</si>
  <si>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</si>
  <si>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</si>
  <si>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</si>
  <si>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</si>
  <si>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</si>
  <si>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</si>
  <si>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</si>
  <si>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</si>
  <si>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</si>
  <si>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</si>
  <si>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</si>
  <si>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Farþega- og flutningaskip</t>
  </si>
  <si>
    <t>2019M06</t>
  </si>
  <si>
    <t>2019M07</t>
  </si>
  <si>
    <t>2019M08</t>
  </si>
  <si>
    <t>http://www.faxafloahafnir.is/cruiseships/index.php?pid=1&amp;w=v</t>
  </si>
  <si>
    <t>2019M09</t>
  </si>
  <si>
    <t>2019M10</t>
  </si>
  <si>
    <t>GRT</t>
  </si>
  <si>
    <t>Áhöfn</t>
  </si>
  <si>
    <t>Farþegar og áhöfn</t>
  </si>
  <si>
    <t>Skipakomur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</si>
  <si>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</si>
  <si>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</si>
  <si>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</si>
  <si>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</si>
  <si>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</si>
  <si>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</si>
  <si>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</si>
  <si>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</si>
  <si>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</si>
  <si>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</si>
  <si>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58.235,02020M0855.303,6</t>
  </si>
  <si>
    <t xml:space="preserve">  -- Breytingar --</t>
  </si>
  <si>
    <t xml:space="preserve"> -- Breytingar --</t>
  </si>
  <si>
    <t>Hafnarsvæði Reykjavíkur</t>
  </si>
  <si>
    <t>Breytingar á milli ára</t>
  </si>
  <si>
    <t>Losun vegna skipa</t>
  </si>
  <si>
    <t>Magn ekið</t>
  </si>
  <si>
    <t>Losun vegna götuumferðar</t>
  </si>
  <si>
    <t>Fjöldi skipakoma</t>
  </si>
  <si>
    <t>Losun vegna flugumferðar</t>
  </si>
  <si>
    <t>Úrgangur og fráveita</t>
  </si>
  <si>
    <t>Magn urðað</t>
  </si>
  <si>
    <t>Losun vegna urðunar</t>
  </si>
  <si>
    <t>Magn brennt</t>
  </si>
  <si>
    <t>Losun vegna brennslu</t>
  </si>
  <si>
    <t>Loftslagsbókhald Reykjavíkur</t>
  </si>
  <si>
    <t>Losun (tCO2 íg)</t>
  </si>
  <si>
    <t>Losun vegna fráveitu</t>
  </si>
  <si>
    <t>Hlutfall sauðfé</t>
  </si>
  <si>
    <t>Hlutfall nautgripa</t>
  </si>
  <si>
    <t>Án mjólkurkúa</t>
  </si>
  <si>
    <t>Hlutfall svín</t>
  </si>
  <si>
    <t>Losun vegna meðferðar og geymslu mykju</t>
  </si>
  <si>
    <t>Ær</t>
  </si>
  <si>
    <t>Mjólkurkýr</t>
  </si>
  <si>
    <t>Gyltur</t>
  </si>
  <si>
    <t>Hrútar og sauðir</t>
  </si>
  <si>
    <t>Naut</t>
  </si>
  <si>
    <t>Grísir</t>
  </si>
  <si>
    <t>CO2 íg</t>
  </si>
  <si>
    <t>Melting</t>
  </si>
  <si>
    <t>Table3.As1</t>
  </si>
  <si>
    <t>Ásetningslömb</t>
  </si>
  <si>
    <t>Kálfar</t>
  </si>
  <si>
    <t>Nautgripir</t>
  </si>
  <si>
    <t>Table3.B(a)s1</t>
  </si>
  <si>
    <t>Sláturlömb</t>
  </si>
  <si>
    <t>Mjólkandi kýr</t>
  </si>
  <si>
    <t>Table3.B(b)</t>
  </si>
  <si>
    <t>Sauðfé alls</t>
  </si>
  <si>
    <t>Aðrir fullorðnir</t>
  </si>
  <si>
    <t>NEX</t>
  </si>
  <si>
    <t>Ungneyti</t>
  </si>
  <si>
    <t>AK2018</t>
  </si>
  <si>
    <t>Metan</t>
  </si>
  <si>
    <t>Tegund</t>
  </si>
  <si>
    <t>Fjöldi</t>
  </si>
  <si>
    <t>Vot</t>
  </si>
  <si>
    <t>Þurr</t>
  </si>
  <si>
    <t>Hagi</t>
  </si>
  <si>
    <t>NEX-umbreytt</t>
  </si>
  <si>
    <t>Hross</t>
  </si>
  <si>
    <t>RVK2019</t>
  </si>
  <si>
    <t>Heildarfjöldi</t>
  </si>
  <si>
    <t>Geymsla</t>
  </si>
  <si>
    <t>Nautgripir alls</t>
  </si>
  <si>
    <t>Svín alls</t>
  </si>
  <si>
    <t/>
  </si>
  <si>
    <t>Geitur</t>
  </si>
  <si>
    <t>Hænur</t>
  </si>
  <si>
    <t>2013 - alls</t>
  </si>
  <si>
    <t>2013 - rvk</t>
  </si>
  <si>
    <t>rvk - hlutfall</t>
  </si>
  <si>
    <t>2019 - alls</t>
  </si>
  <si>
    <t>Losun frá framræstu votlendi</t>
  </si>
  <si>
    <t>Binding í nýlegri skógrækt</t>
  </si>
  <si>
    <t>Aðrir nautgripir</t>
  </si>
  <si>
    <t>Sauðfé</t>
  </si>
  <si>
    <t>Hestar</t>
  </si>
  <si>
    <t>Svín</t>
  </si>
  <si>
    <t>Varphænur</t>
  </si>
  <si>
    <t>Fjöldi RVK</t>
  </si>
  <si>
    <t>NIR</t>
  </si>
  <si>
    <t>Losun (CO2 íg)</t>
  </si>
  <si>
    <t>Losun vegna landnotkunar</t>
  </si>
  <si>
    <t>Losun vegna búfjárræktunar</t>
  </si>
  <si>
    <t>Áætlunar/leiguflug</t>
  </si>
  <si>
    <t>Annað flug</t>
  </si>
  <si>
    <t>Snertilendingar</t>
  </si>
  <si>
    <t>Samtals innanlands</t>
  </si>
  <si>
    <t>Samtals milli landa</t>
  </si>
  <si>
    <t>Reykjavíkurflugvöllur  -  Hreyfingar</t>
  </si>
  <si>
    <t>Aviation gasoline</t>
  </si>
  <si>
    <t>Jet kerosene</t>
  </si>
  <si>
    <t>Biomass</t>
  </si>
  <si>
    <t>NO</t>
  </si>
  <si>
    <t>a.  Domestic aviation</t>
  </si>
  <si>
    <t>IMPLIED EMISSION FACTORS</t>
  </si>
  <si>
    <r>
      <t>CH</t>
    </r>
    <r>
      <rPr>
        <b/>
        <vertAlign val="subscript"/>
        <sz val="9"/>
        <rFont val="Times New Roman"/>
        <family val="1"/>
      </rPr>
      <t>4</t>
    </r>
  </si>
  <si>
    <r>
      <t>N</t>
    </r>
    <r>
      <rPr>
        <b/>
        <vertAlign val="subscript"/>
        <sz val="9"/>
        <rFont val="Times New Roman"/>
        <family val="1"/>
      </rPr>
      <t>2</t>
    </r>
    <r>
      <rPr>
        <b/>
        <sz val="9"/>
        <rFont val="Times New Roman"/>
        <family val="1"/>
      </rPr>
      <t>O</t>
    </r>
  </si>
  <si>
    <t>(t/TJ)</t>
  </si>
  <si>
    <t>(kg/TJ)</t>
  </si>
  <si>
    <t>Energy content</t>
  </si>
  <si>
    <t>(MJ/kg)</t>
  </si>
  <si>
    <t>Emission factor</t>
  </si>
  <si>
    <r>
      <t xml:space="preserve"> CO</t>
    </r>
    <r>
      <rPr>
        <b/>
        <vertAlign val="subscript"/>
        <sz val="9"/>
        <rFont val="Times New Roman"/>
        <family val="1"/>
      </rPr>
      <t>2</t>
    </r>
  </si>
  <si>
    <t>Total</t>
  </si>
  <si>
    <t>(kg/LTO)</t>
  </si>
  <si>
    <t>t CO2-íg</t>
  </si>
  <si>
    <t>LTO</t>
  </si>
  <si>
    <t>kg/LTO</t>
  </si>
  <si>
    <t>Önnur losun</t>
  </si>
  <si>
    <t>Losun vegna kælimiðla innan RVK</t>
  </si>
  <si>
    <t>Losun vegna jarðgerðar</t>
  </si>
  <si>
    <r>
      <t>2021</t>
    </r>
    <r>
      <rPr>
        <b/>
        <i/>
        <sz val="18"/>
        <color rgb="FFFF0000"/>
        <rFont val="Arial"/>
        <family val="2"/>
      </rPr>
      <t xml:space="preserve"> (grófrýnt)</t>
    </r>
  </si>
  <si>
    <t>Fólksbifreiðar, aðrir orkugjafar</t>
  </si>
  <si>
    <t>Bensín / Rafmagn</t>
  </si>
  <si>
    <t>Bensín / Raftengill</t>
  </si>
  <si>
    <t>Dísel / Rafmagn</t>
  </si>
  <si>
    <t>Dísel / Raftengill</t>
  </si>
  <si>
    <t>Bensín / Metan</t>
  </si>
  <si>
    <t>UST stuðlar</t>
  </si>
  <si>
    <t>gCO2/km</t>
  </si>
  <si>
    <t>Leið 1</t>
  </si>
  <si>
    <t>UST 1</t>
  </si>
  <si>
    <t>UST 2</t>
  </si>
  <si>
    <t>Þéttleiki</t>
  </si>
  <si>
    <t>Orkuþéttleiki</t>
  </si>
  <si>
    <t>Vörubifreiðar</t>
  </si>
  <si>
    <t>Hópferðabifreiðar</t>
  </si>
  <si>
    <t>HVDU (Mkm)</t>
  </si>
  <si>
    <t>Vikuumferð (Mkm)</t>
  </si>
  <si>
    <t>Árdagsumferð (Mkm)</t>
  </si>
  <si>
    <t>Innan RVK (Mkm)</t>
  </si>
  <si>
    <t>Ferðir</t>
  </si>
  <si>
    <t>Annað, þmt rafmagn</t>
  </si>
  <si>
    <t>Akstur</t>
  </si>
  <si>
    <t>M km</t>
  </si>
  <si>
    <t>Alifuglar</t>
  </si>
  <si>
    <t>Geltir</t>
  </si>
  <si>
    <t>Kýr</t>
  </si>
  <si>
    <t>Geldneyti</t>
  </si>
  <si>
    <t>Fjöldi dýra</t>
  </si>
  <si>
    <t>Binding vegna skógræktar</t>
  </si>
  <si>
    <t>Landbúnaður og landnotkun</t>
  </si>
  <si>
    <t xml:space="preserve">  Þar af vegna sauðfés</t>
  </si>
  <si>
    <t xml:space="preserve">  Þar af vegna nautgripa</t>
  </si>
  <si>
    <t xml:space="preserve">  Þar af vegna svína</t>
  </si>
  <si>
    <t xml:space="preserve">  Þar af vegna hrossa</t>
  </si>
  <si>
    <t xml:space="preserve">  Þar af vegna geita</t>
  </si>
  <si>
    <t xml:space="preserve">  Þar af vegna hænsna</t>
  </si>
  <si>
    <t>https://www.stjornarradid.is/verkefni/atvinnuvegir/landbunadur/maelabord-landbunadarins-/</t>
  </si>
  <si>
    <t xml:space="preserve">  Þar af vegna fólksbifreiða</t>
  </si>
  <si>
    <t xml:space="preserve">  Þar af vegna hópferðabifreiða</t>
  </si>
  <si>
    <t xml:space="preserve">  Þar af vegna vörubifreiða</t>
  </si>
  <si>
    <t>Fjöldi flughreyfinga</t>
  </si>
  <si>
    <t>https://www.isavia.is/fyrirtaekid/um-isavia/utgefid-efni/flugtolur/flugtolur</t>
  </si>
  <si>
    <t>https://www.faxafloahafnir.is/utstreymisbokhald/</t>
  </si>
  <si>
    <t>https://ssh.is/images/stories/Samgongumal/2017_Greinagerd_Umferdarspa_2030_LOKA.pdf</t>
  </si>
  <si>
    <t>Mannvit - umferðarlíkan</t>
  </si>
  <si>
    <t>Eldsneytisspá</t>
  </si>
  <si>
    <t>Raforkuspá</t>
  </si>
  <si>
    <t>https://www.veitur.is/utgefid-efni/hitaveita</t>
  </si>
  <si>
    <t>https://sorpa.is/um-sorpu/utgefid-efni/arsskyrslur</t>
  </si>
  <si>
    <t>https://www.kalka.is/is/um-fyrirtaekid/stjorn-kolku-sorpeydingarstodvar-sf-2018-2022/fundargerdir/adalfundir</t>
  </si>
  <si>
    <t>Álfsnes</t>
  </si>
  <si>
    <t>Baggar</t>
  </si>
  <si>
    <t>Baggaður úrgangur í Álfsnes</t>
  </si>
  <si>
    <t>Mánuður</t>
  </si>
  <si>
    <t>Magn í tonnum</t>
  </si>
  <si>
    <t>Magn í tonnum (síðasta ár)</t>
  </si>
  <si>
    <t>2017-18</t>
  </si>
  <si>
    <t>2018-19</t>
  </si>
  <si>
    <t>2019-20</t>
  </si>
  <si>
    <t>Magn urðað (tonn)</t>
  </si>
  <si>
    <t>CH4 (tonn)</t>
  </si>
  <si>
    <t>CO2 (tonn)</t>
  </si>
  <si>
    <t>CH4 fangað (tonn)</t>
  </si>
  <si>
    <t>CO2 ígildi (tonn)</t>
  </si>
  <si>
    <t>C/PE (2017)</t>
  </si>
  <si>
    <t>C/PE (2018)</t>
  </si>
  <si>
    <t>Mannfjöldi RVK</t>
  </si>
  <si>
    <t>Mannfjöldi stór RVK</t>
  </si>
  <si>
    <t>Urðað</t>
  </si>
  <si>
    <t xml:space="preserve">  Þar af upprunið í Reykjavík</t>
  </si>
  <si>
    <t>Tímabil</t>
  </si>
  <si>
    <t>Sorphirða sveitarfélög</t>
  </si>
  <si>
    <t>Gámafyrirtæki</t>
  </si>
  <si>
    <t>Önnur fyrirtæki</t>
  </si>
  <si>
    <t>Gámaplön</t>
  </si>
  <si>
    <t>Samtals móttekið (kg)</t>
  </si>
  <si>
    <t>Frákeyrt í urðun</t>
  </si>
  <si>
    <t>Frákeyrt í endurvinnslu</t>
  </si>
  <si>
    <t>Samtals (kg)</t>
  </si>
  <si>
    <t>Magntölur Kölku 2020</t>
  </si>
  <si>
    <t>Búfjárrækt</t>
  </si>
  <si>
    <t>Efnanotkun og iðnaður</t>
  </si>
  <si>
    <t>BASIC</t>
  </si>
  <si>
    <t>BASIC+</t>
  </si>
  <si>
    <t>BASIC+ S3</t>
  </si>
  <si>
    <t>Samtals losun vegna úrgangs</t>
  </si>
  <si>
    <t>Upprunið í RVK</t>
  </si>
  <si>
    <t>kg/t</t>
  </si>
  <si>
    <t>Losun (tonn CO2 íg)</t>
  </si>
  <si>
    <t>Verkaður fiskur</t>
  </si>
  <si>
    <t>Þar af í Reyjavík</t>
  </si>
  <si>
    <t>Reikningar fráveitu breyttir til að vera í samræmi við NIR - fiskvinnsla bætt við</t>
  </si>
  <si>
    <t>Nýtt samgöngulíkan innleitt</t>
  </si>
  <si>
    <t>Nýjir eldsneytisnotkunarstuðlar nýttir - eldsneytisspá</t>
  </si>
  <si>
    <t>Protein consumption (kg/person/y)</t>
  </si>
  <si>
    <t>Heildarmagn</t>
  </si>
  <si>
    <t>TOW (t BOD/y)</t>
  </si>
  <si>
    <t>m3/t</t>
  </si>
  <si>
    <t>kg COD/m3</t>
  </si>
  <si>
    <t>t COD</t>
  </si>
  <si>
    <t>Losun CO2 íg</t>
  </si>
  <si>
    <t>Sludge removed</t>
  </si>
  <si>
    <t>B0</t>
  </si>
  <si>
    <t>kg CH4/kg BOD</t>
  </si>
  <si>
    <t>EF</t>
  </si>
  <si>
    <t>MCF</t>
  </si>
  <si>
    <t>Losun metans vegna dom fráveitu</t>
  </si>
  <si>
    <t>Losun glaðlofts vegna dom fráveitu</t>
  </si>
  <si>
    <t>Losun metans vegna fiskverkunar</t>
  </si>
  <si>
    <t>Losun vegna glaðlofts spítala</t>
  </si>
  <si>
    <t>Gufuframleiðsla spítala</t>
  </si>
  <si>
    <t>Kælimiðlar í fiskveiði dregnir frá</t>
  </si>
  <si>
    <t>Annar iðnaður</t>
  </si>
  <si>
    <t>LPG almenningur</t>
  </si>
  <si>
    <t>LPG commercial, institutional</t>
  </si>
  <si>
    <t>LPG notkun samtals</t>
  </si>
  <si>
    <t>Losun vegna notkunar kósangasa</t>
  </si>
  <si>
    <t>Aerosols í heildina</t>
  </si>
  <si>
    <t>Losun vegna Aerosols</t>
  </si>
  <si>
    <t>ktCO2í</t>
  </si>
  <si>
    <t>Paraffin í heildina</t>
  </si>
  <si>
    <t>Losun vegna Paraffin vax</t>
  </si>
  <si>
    <t>Efni í stað ósóneyðandi efna</t>
  </si>
  <si>
    <t>Glaðloft og gufa frá landspítala</t>
  </si>
  <si>
    <t>Sumolía í heildina</t>
  </si>
  <si>
    <t>Annað (2D3) í heildina</t>
  </si>
  <si>
    <t>Losun vegna smurolíu</t>
  </si>
  <si>
    <t>Losun vegna annað (2D3)</t>
  </si>
  <si>
    <t>Leysiefni og eldsneytistengt (CFR 2D)</t>
  </si>
  <si>
    <t>Magn jarðgert (tonn)</t>
  </si>
  <si>
    <t>sorpagraentbokhald2020undirritad.pdf (dccweb.net)</t>
  </si>
  <si>
    <t>Samtals losun vegna efnanotkunar</t>
  </si>
  <si>
    <t>Samantekt losunar</t>
  </si>
  <si>
    <t>Hafin smíði á íbúðum í RVK</t>
  </si>
  <si>
    <t>Fimm ára meðaltal</t>
  </si>
  <si>
    <t>m2</t>
  </si>
  <si>
    <t>Urðun úrgangs Reykjavíkur</t>
  </si>
  <si>
    <t>Jarðgerð úrgangs Reykjavíkur</t>
  </si>
  <si>
    <t xml:space="preserve">  Upprunið utan RVK</t>
  </si>
  <si>
    <t>Innlend matvælaframleiðsla</t>
  </si>
  <si>
    <t>Losun matvælaframleiðslu í RVK</t>
  </si>
  <si>
    <t xml:space="preserve">  Glaðloft</t>
  </si>
  <si>
    <t>kt CO2e</t>
  </si>
  <si>
    <t xml:space="preserve">Efnanotkun og iðnaður - </t>
  </si>
  <si>
    <t xml:space="preserve">Orkunotkun - </t>
  </si>
  <si>
    <t xml:space="preserve">Samgöngur - </t>
  </si>
  <si>
    <t>Úrgangur -</t>
  </si>
  <si>
    <t>Landbúnaður og landnotkun -</t>
  </si>
  <si>
    <t xml:space="preserve">Samantekt - </t>
  </si>
  <si>
    <t>Losunarflokkur</t>
  </si>
  <si>
    <t>Ár:</t>
  </si>
  <si>
    <t>t CO2-ígilda</t>
  </si>
  <si>
    <t>t CO2 ígilda á íbúa</t>
  </si>
  <si>
    <t>Samtals á íbúa</t>
  </si>
  <si>
    <t>Fyrir graf</t>
  </si>
  <si>
    <t>Undirflokkur</t>
  </si>
  <si>
    <t>Losun vegna dreifitapa</t>
  </si>
  <si>
    <r>
      <t xml:space="preserve"> </t>
    </r>
    <r>
      <rPr>
        <sz val="10"/>
        <color rgb="FF000000"/>
        <rFont val="Arial"/>
        <family val="2"/>
      </rPr>
      <t>Þar af vegna dreifitapa</t>
    </r>
  </si>
  <si>
    <t xml:space="preserve"> Vegna dreifitapa</t>
  </si>
  <si>
    <t>kg tot</t>
  </si>
  <si>
    <t>TJ tot</t>
  </si>
  <si>
    <t>(kg CO2/kg)</t>
  </si>
  <si>
    <t>Dreifitöp raforku sett í umfang 3</t>
  </si>
  <si>
    <t>Stuðlar heitavatns frá Veitum notað (á m3 í stað á kWh)</t>
  </si>
  <si>
    <t>Betri tölur búfjár miða við mælaborð landbúnaðarins</t>
  </si>
  <si>
    <t>Jarðgerð bætt við vegna GAJA</t>
  </si>
  <si>
    <t>Betri sundurliðun skipakoma og losunar</t>
  </si>
  <si>
    <t>Losun vegna bygginga leiðrétt miðað við LCA skýrslu</t>
  </si>
  <si>
    <t>Reykjavíkurborg</t>
  </si>
  <si>
    <t>Kópavogsbær</t>
  </si>
  <si>
    <t>Seltjarnarnesbær</t>
  </si>
  <si>
    <t>Garðabær</t>
  </si>
  <si>
    <t>Hafnarfjarðarkaupstaður</t>
  </si>
  <si>
    <t>Mosfellsbær</t>
  </si>
  <si>
    <t>HBS</t>
  </si>
  <si>
    <t>https://ust.is/loft/losun-grodurhusalofttegunda/gagnabirtir/</t>
  </si>
  <si>
    <t>Milli áranna 2021 og 2022</t>
  </si>
  <si>
    <t>Cap</t>
  </si>
  <si>
    <t>Load</t>
  </si>
  <si>
    <t>5,665,840</t>
  </si>
  <si>
    <t>5,206,990</t>
  </si>
  <si>
    <t>5,071,450</t>
  </si>
  <si>
    <t>5,491,917</t>
  </si>
  <si>
    <t>6,024,555</t>
  </si>
  <si>
    <t>5,817,095</t>
  </si>
  <si>
    <t>1,953,397</t>
  </si>
  <si>
    <t>2,038,243</t>
  </si>
  <si>
    <t>2,164,068</t>
  </si>
  <si>
    <t>5,792,899</t>
  </si>
  <si>
    <t>5,062,161</t>
  </si>
  <si>
    <t>5,479,655</t>
  </si>
  <si>
    <t>Grenndarstöðvar</t>
  </si>
  <si>
    <t>Ómeðhöndlað (brennsla, endurvinnsla, urðun)</t>
  </si>
  <si>
    <t>20,100,253</t>
  </si>
  <si>
    <t>18,904,053</t>
  </si>
  <si>
    <t>18,331,949</t>
  </si>
  <si>
    <t>18,532,268</t>
  </si>
  <si>
    <t>11,023,463</t>
  </si>
  <si>
    <t>11,479,101</t>
  </si>
  <si>
    <t>11,529,789</t>
  </si>
  <si>
    <t>4,030,708</t>
  </si>
  <si>
    <t>4,817,544</t>
  </si>
  <si>
    <t>4,979,817</t>
  </si>
  <si>
    <t>3,849,882</t>
  </si>
  <si>
    <t>2,035,304</t>
  </si>
  <si>
    <t>2,022,662</t>
  </si>
  <si>
    <t>Botnaska til urðunar</t>
  </si>
  <si>
    <t>2021</t>
  </si>
  <si>
    <t>2020</t>
  </si>
  <si>
    <t>2019</t>
  </si>
  <si>
    <t>2018</t>
  </si>
  <si>
    <t>2017</t>
  </si>
  <si>
    <t>2016</t>
  </si>
  <si>
    <t>Íbúðir á framkvæmdarstigi</t>
  </si>
  <si>
    <t>https://reykjavik.is/husnaedi/uppbygging-ibuda-eftir-skipulagsflokkum</t>
  </si>
  <si>
    <t>SI Íbúðir í byggingu</t>
  </si>
  <si>
    <t>https://www.si.is/media/_eplica-uppsetning/Fridrik_glaerur_Final.pdf</t>
  </si>
  <si>
    <t>https://www.si.is/starfsemi/ibudamarkadurinn/</t>
  </si>
  <si>
    <t>Byggingariðnaður - efni</t>
  </si>
  <si>
    <t>Byggingariðnaður - orka á verkstað</t>
  </si>
  <si>
    <t>Staðbundin eldsneytisnotkun</t>
  </si>
  <si>
    <t>Byggingar - staðbundin eldsneytisnotkun</t>
  </si>
  <si>
    <t>úr ársskýrslu 2022</t>
  </si>
  <si>
    <r>
      <t>2023</t>
    </r>
    <r>
      <rPr>
        <b/>
        <i/>
        <sz val="18"/>
        <color rgb="FFFF0000"/>
        <rFont val="Arial"/>
        <family val="2"/>
      </rPr>
      <t xml:space="preserve"> (grófrýnt)</t>
    </r>
  </si>
  <si>
    <t>e</t>
  </si>
  <si>
    <t>tékka hvort þetta breytist ekki úr 0 þegar það bætist við lína!!</t>
  </si>
  <si>
    <t>gera eitthvað hér?</t>
  </si>
  <si>
    <t>skoða alla þessa töflu eftir uppf. Á úrgangi</t>
  </si>
  <si>
    <t>Ekki til hitaveituskýrsla f 2023!!!</t>
  </si>
  <si>
    <t>fj. Ferða</t>
  </si>
  <si>
    <t>fj. Skipa</t>
  </si>
  <si>
    <t>?</t>
  </si>
  <si>
    <t>Year:</t>
  </si>
  <si>
    <t>Inventory</t>
  </si>
  <si>
    <r>
      <t>Emissions (tCO</t>
    </r>
    <r>
      <rPr>
        <b/>
        <u/>
        <vertAlign val="subscript"/>
        <sz val="12"/>
        <color theme="1"/>
        <rFont val="Arial"/>
        <family val="2"/>
        <scheme val="minor"/>
      </rPr>
      <t>2</t>
    </r>
    <r>
      <rPr>
        <b/>
        <u/>
        <sz val="12"/>
        <color theme="1"/>
        <rFont val="Arial"/>
        <family val="2"/>
        <scheme val="minor"/>
      </rPr>
      <t xml:space="preserve"> íg)</t>
    </r>
  </si>
  <si>
    <t>Scope 1</t>
  </si>
  <si>
    <t>Scope 2</t>
  </si>
  <si>
    <t>Scope 3</t>
  </si>
  <si>
    <t>Energy</t>
  </si>
  <si>
    <t>Electricity</t>
  </si>
  <si>
    <t xml:space="preserve">  Distribution losses</t>
  </si>
  <si>
    <t>Heat</t>
  </si>
  <si>
    <t>Construction - stationary energy</t>
  </si>
  <si>
    <t>Transport</t>
  </si>
  <si>
    <t>On-road</t>
  </si>
  <si>
    <t>Waterborne navigation</t>
  </si>
  <si>
    <t>Aviation</t>
  </si>
  <si>
    <t>Waste</t>
  </si>
  <si>
    <t>Landfilling</t>
  </si>
  <si>
    <t xml:space="preserve">  Originating outside Reykjavík</t>
  </si>
  <si>
    <t>Composting</t>
  </si>
  <si>
    <t>Incineration</t>
  </si>
  <si>
    <t>Wastewater discharge</t>
  </si>
  <si>
    <t>AFOLU</t>
  </si>
  <si>
    <t>Livestock farming</t>
  </si>
  <si>
    <t>Land use</t>
  </si>
  <si>
    <t>IPPU</t>
  </si>
  <si>
    <t>Product use</t>
  </si>
  <si>
    <t>Construction materials</t>
  </si>
  <si>
    <t>Other industry</t>
  </si>
  <si>
    <t>Total per capita</t>
  </si>
  <si>
    <t>Emissions sector</t>
  </si>
  <si>
    <t>Sub-sector</t>
  </si>
  <si>
    <t>Summary -</t>
  </si>
  <si>
    <r>
      <t>t CO</t>
    </r>
    <r>
      <rPr>
        <vertAlign val="subscript"/>
        <sz val="12"/>
        <color rgb="FF000000"/>
        <rFont val="Arial"/>
        <family val="2"/>
      </rPr>
      <t>2</t>
    </r>
    <r>
      <rPr>
        <sz val="12"/>
        <color rgb="FF000000"/>
        <rFont val="Arial"/>
        <family val="2"/>
      </rPr>
      <t>-equivalents</t>
    </r>
  </si>
  <si>
    <r>
      <t>t CO</t>
    </r>
    <r>
      <rPr>
        <vertAlign val="subscript"/>
        <sz val="12"/>
        <color rgb="FF000000"/>
        <rFont val="Arial"/>
        <family val="2"/>
      </rPr>
      <t>2</t>
    </r>
    <r>
      <rPr>
        <sz val="12"/>
        <color rgb="FF000000"/>
        <rFont val="Arial"/>
        <family val="2"/>
      </rPr>
      <t>-equivalents per capita</t>
    </r>
  </si>
  <si>
    <t>Energy -</t>
  </si>
  <si>
    <t>Transport -</t>
  </si>
  <si>
    <t>Waste -</t>
  </si>
  <si>
    <t>AFOLU -</t>
  </si>
  <si>
    <t>IPPU -</t>
  </si>
  <si>
    <t>Private cars</t>
  </si>
  <si>
    <t>Public vehicles</t>
  </si>
  <si>
    <t>Construction</t>
  </si>
  <si>
    <t>Goods vehicles</t>
  </si>
  <si>
    <t>Afolu</t>
  </si>
  <si>
    <t>Construction industry</t>
  </si>
  <si>
    <t>Stationary energy</t>
  </si>
  <si>
    <t>Simon Klüpfel og Bjarni Reyr Kristjánsson. (2023). Hitaveita í Reykjavík – Vatnsvinnsla 2022. Reykjavík: Veitur / Orkuveita Reykjavíkur.</t>
  </si>
  <si>
    <t>Simon Klüpfel og Bjarni Reyr Kristjánsson. (2022). Hitaveita í Reykjavík – Vatnsvinnsla 2021. Reykjavík: Veitur / Orkuveita Reykjavíkur.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</si>
</sst>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\ _k_r_._-;\-* #,##0\ _k_r_._-;_-* &quot;-&quot;\ _k_r_._-;_-@_-"/>
    <numFmt numFmtId="167" formatCode="_-* #,##0\ _I_S_K_-;\-* #,##0\ _I_S_K_-;_-* &quot;-&quot;\ _I_S_K_-;_-@_-"/>
    <numFmt numFmtId="168" formatCode="_(* #,##0_);_(* \(#,##0\);_(* &quot;-&quot;??_);_(@_)"/>
    <numFmt numFmtId="169" formatCode="0.0%"/>
    <numFmt numFmtId="170" formatCode="#,##0.0"/>
    <numFmt numFmtId="171" formatCode="0.0"/>
    <numFmt numFmtId="172" formatCode="0.000%"/>
    <numFmt numFmtId="173" formatCode="_(* #,##0.000_);_(* \(#,##0.000\);_(* &quot;-&quot;??_);_(@_)"/>
    <numFmt numFmtId="174" formatCode="#,##0.000"/>
    <numFmt numFmtId="175" formatCode="m/d/yy;@"/>
    <numFmt numFmtId="176" formatCode="#,##0_ ;[Red]\-#,##0\ "/>
    <numFmt numFmtId="177" formatCode="#,##0.0_ ;[Red]\-#,##0.0\ "/>
    <numFmt numFmtId="178" formatCode="0.000"/>
    <numFmt numFmtId="179" formatCode="#,##0,000"/>
    <numFmt numFmtId="180" formatCode="0.00000"/>
    <numFmt numFmtId="181" formatCode="0.0000"/>
    <numFmt numFmtId="182" formatCode="_(* #,##0.00000_);_(* \(#,##0.00000\);_(* &quot;-&quot;??_);_(@_)"/>
    <numFmt numFmtId="183" formatCode="#,##0.0000"/>
    <numFmt numFmtId="184" formatCode="0.0000000"/>
    <numFmt numFmtId="185" formatCode="_-* #,##0.00\ _F_-;\-* #,##0.00\ _F_-;_-* &quot;-&quot;??\ _F_-;_-@_-"/>
  </numFmts>
  <fonts count="144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rgb="FF000000"/>
      <name val="Calibri"/>
      <family val="2"/>
    </font>
    <font>
      <b/>
      <sz val="9"/>
      <color rgb="FFFFFFFF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394C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b/>
      <u/>
      <sz val="16"/>
      <color theme="1"/>
      <name val="Arial"/>
      <family val="2"/>
      <scheme val="minor"/>
    </font>
    <font>
      <b/>
      <u/>
      <sz val="14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9"/>
      <color rgb="FF000000"/>
      <name val="Arial"/>
      <family val="2"/>
    </font>
    <font>
      <i/>
      <sz val="8"/>
      <color theme="1"/>
      <name val="Arial"/>
      <family val="2"/>
      <scheme val="minor"/>
    </font>
    <font>
      <sz val="13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8.8000000000000007"/>
      <color rgb="FFFFFFFF"/>
      <name val="Arial"/>
      <family val="2"/>
    </font>
    <font>
      <b/>
      <sz val="10"/>
      <name val="Arial"/>
      <family val="2"/>
    </font>
    <font>
      <b/>
      <sz val="8.8000000000000007"/>
      <color rgb="FF303030"/>
      <name val="Arial"/>
      <family val="2"/>
    </font>
    <font>
      <sz val="9.9"/>
      <color rgb="FF303030"/>
      <name val="Georgia"/>
      <family val="1"/>
    </font>
    <font>
      <sz val="11"/>
      <name val="Arial"/>
      <family val="2"/>
    </font>
    <font>
      <sz val="14"/>
      <name val="Arial"/>
      <family val="2"/>
    </font>
    <font>
      <sz val="12"/>
      <color theme="1"/>
      <name val="Arial"/>
      <family val="2"/>
      <scheme val="minor"/>
    </font>
    <font>
      <sz val="12"/>
      <color rgb="FF000000"/>
      <name val="Calibri"/>
      <family val="2"/>
    </font>
    <font>
      <sz val="13.5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vertAlign val="subscript"/>
      <sz val="10"/>
      <name val="Arial"/>
      <family val="2"/>
    </font>
    <font>
      <b/>
      <i/>
      <sz val="10"/>
      <color rgb="FF538DD5"/>
      <name val="Arial"/>
      <family val="2"/>
    </font>
    <font>
      <b/>
      <sz val="20"/>
      <color rgb="FFFF0000"/>
      <name val="Arial"/>
      <family val="2"/>
    </font>
    <font>
      <b/>
      <sz val="11"/>
      <color rgb="FF000000"/>
      <name val="Calibri"/>
      <family val="2"/>
    </font>
    <font>
      <b/>
      <u/>
      <sz val="14"/>
      <color rgb="FF000000"/>
      <name val="Arial"/>
      <family val="2"/>
    </font>
    <font>
      <b/>
      <u/>
      <sz val="12"/>
      <color theme="1"/>
      <name val="Arial"/>
      <family val="2"/>
      <scheme val="minor"/>
    </font>
    <font>
      <sz val="9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vertAlign val="subscript"/>
      <sz val="9"/>
      <name val="Times New Roman"/>
      <family val="1"/>
    </font>
    <font>
      <sz val="10"/>
      <name val="Arial"/>
      <family val="2"/>
    </font>
    <font>
      <i/>
      <sz val="10"/>
      <color theme="3"/>
      <name val="Arial"/>
      <family val="2"/>
    </font>
    <font>
      <b/>
      <i/>
      <sz val="10"/>
      <color theme="3" tint="0.39997558519241921"/>
      <name val="Arial"/>
      <family val="2"/>
    </font>
    <font>
      <b/>
      <i/>
      <sz val="18"/>
      <color rgb="FFFF0000"/>
      <name val="Arial"/>
      <family val="2"/>
    </font>
    <font>
      <sz val="10"/>
      <color rgb="FFFFCC99"/>
      <name val="Arial"/>
      <family val="2"/>
    </font>
    <font>
      <i/>
      <sz val="10"/>
      <color rgb="FFFF0000"/>
      <name val="Arial"/>
      <family val="2"/>
    </font>
    <font>
      <sz val="10"/>
      <color rgb="FFF7FC28"/>
      <name val="Arial"/>
      <family val="2"/>
    </font>
    <font>
      <i/>
      <sz val="10"/>
      <color rgb="FFF7FC28"/>
      <name val="Arial"/>
      <family val="2"/>
    </font>
    <font>
      <b/>
      <sz val="8"/>
      <color rgb="FFFFFFFF"/>
      <name val="Arial"/>
      <family val="2"/>
    </font>
    <font>
      <sz val="9"/>
      <color rgb="FF303030"/>
      <name val="Georgia"/>
      <family val="1"/>
    </font>
    <font>
      <b/>
      <sz val="8"/>
      <color rgb="FF303030"/>
      <name val="Arial"/>
      <family val="2"/>
    </font>
    <font>
      <b/>
      <sz val="14"/>
      <color theme="0"/>
      <name val="Arial"/>
      <family val="2"/>
    </font>
    <font>
      <b/>
      <u/>
      <sz val="18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Arial"/>
      <family val="2"/>
      <scheme val="minor"/>
    </font>
    <font>
      <sz val="12"/>
      <color rgb="FF000000"/>
      <name val="Arial"/>
      <family val="2"/>
    </font>
    <font>
      <b/>
      <u/>
      <sz val="16"/>
      <color rgb="FF00000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8"/>
      <color rgb="FF000070"/>
      <name val="Work Sans"/>
    </font>
    <font>
      <sz val="9"/>
      <color rgb="FF000025"/>
      <name val="Work Sans"/>
    </font>
    <font>
      <sz val="8"/>
      <color theme="0"/>
      <name val="Work Sans"/>
    </font>
    <font>
      <b/>
      <sz val="12"/>
      <name val="Times New Roman"/>
      <family val="1"/>
    </font>
    <font>
      <sz val="9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u/>
      <sz val="10"/>
      <color indexed="12"/>
      <name val="Times New Roma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</font>
    <font>
      <sz val="11"/>
      <color indexed="9"/>
      <name val="Calibri"/>
      <family val="2"/>
      <charset val="186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8"/>
      <name val="Helvetica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sz val="10"/>
      <name val="Arial"/>
      <family val="2"/>
      <charset val="186"/>
    </font>
    <font>
      <b/>
      <sz val="11"/>
      <color indexed="63"/>
      <name val="Calibri"/>
      <family val="2"/>
      <charset val="186"/>
    </font>
    <font>
      <sz val="11"/>
      <color indexed="20"/>
      <name val="Calibri"/>
      <family val="2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86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  <charset val="186"/>
    </font>
    <font>
      <sz val="10"/>
      <name val="Arial"/>
      <family val="2"/>
      <charset val="204"/>
    </font>
    <font>
      <b/>
      <sz val="11"/>
      <color indexed="12"/>
      <name val="Arial"/>
      <family val="2"/>
      <charset val="204"/>
    </font>
    <font>
      <sz val="8"/>
      <name val="Helvetica"/>
      <family val="2"/>
    </font>
    <font>
      <b/>
      <sz val="9"/>
      <color rgb="FFFFFFFF"/>
      <name val="Work Sans"/>
    </font>
    <font>
      <sz val="8"/>
      <color rgb="FF000070"/>
      <name val="Work Sans"/>
    </font>
    <font>
      <sz val="9"/>
      <color rgb="FFFF0000"/>
      <name val="Work Sans"/>
    </font>
    <font>
      <b/>
      <sz val="10"/>
      <color rgb="FFFF0000"/>
      <name val="Arial"/>
      <family val="2"/>
    </font>
    <font>
      <sz val="10"/>
      <color rgb="FFFE2906"/>
      <name val="Arial"/>
      <family val="2"/>
    </font>
    <font>
      <sz val="9"/>
      <color rgb="FFFF0000"/>
      <name val="Calibri"/>
      <family val="2"/>
    </font>
    <font>
      <b/>
      <u/>
      <vertAlign val="subscript"/>
      <sz val="12"/>
      <color theme="1"/>
      <name val="Arial"/>
      <family val="2"/>
      <scheme val="minor"/>
    </font>
    <font>
      <vertAlign val="subscript"/>
      <sz val="12"/>
      <color rgb="FF00000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00394C"/>
        <bgColor rgb="FF00394C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2A9FC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8F5EA"/>
        <bgColor indexed="64"/>
      </patternFill>
    </fill>
    <fill>
      <patternFill patternType="solid">
        <fgColor rgb="FFFBF9F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969696"/>
      </patternFill>
    </fill>
    <fill>
      <patternFill patternType="solid">
        <fgColor rgb="FFFFFFFF"/>
      </patternFill>
    </fill>
    <fill>
      <patternFill patternType="solid">
        <fgColor rgb="FF157D9E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33338D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Trellis"/>
    </fill>
  </fills>
  <borders count="218">
    <border>
      <left/>
      <right/>
      <top/>
      <bottom/>
      <diagonal/>
    </border>
    <border>
      <left/>
      <right/>
      <top style="thin">
        <color rgb="FFF3F3F3"/>
      </top>
      <bottom style="thin">
        <color rgb="FFF3F3F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BCBBB5"/>
      </left>
      <right/>
      <top style="medium">
        <color rgb="FFBCBBB5"/>
      </top>
      <bottom/>
      <diagonal/>
    </border>
    <border>
      <left/>
      <right/>
      <top style="medium">
        <color rgb="FFBCBBB5"/>
      </top>
      <bottom/>
      <diagonal/>
    </border>
    <border>
      <left/>
      <right style="medium">
        <color rgb="FFBCBBB5"/>
      </right>
      <top style="medium">
        <color rgb="FFBCBBB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rgb="FFBCBBB5"/>
      </left>
      <right/>
      <top/>
      <bottom style="medium">
        <color rgb="FFDBD9D4"/>
      </bottom>
      <diagonal/>
    </border>
    <border>
      <left/>
      <right/>
      <top/>
      <bottom style="medium">
        <color rgb="FFDBD9D4"/>
      </bottom>
      <diagonal/>
    </border>
    <border>
      <left/>
      <right style="medium">
        <color rgb="FFBCBBB5"/>
      </right>
      <top/>
      <bottom style="medium">
        <color rgb="FFDBD9D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BCBBB5"/>
      </left>
      <right/>
      <top style="medium">
        <color rgb="FFDBD9D4"/>
      </top>
      <bottom/>
      <diagonal/>
    </border>
    <border>
      <left style="medium">
        <color rgb="FFDBD9D4"/>
      </left>
      <right/>
      <top style="medium">
        <color rgb="FFDBD9D4"/>
      </top>
      <bottom/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DBD9D4"/>
      </bottom>
      <diagonal/>
    </border>
    <border>
      <left/>
      <right/>
      <top style="medium">
        <color rgb="FFDBD9D4"/>
      </top>
      <bottom style="medium">
        <color rgb="FFDBD9D4"/>
      </bottom>
      <diagonal/>
    </border>
    <border>
      <left/>
      <right style="medium">
        <color rgb="FFBCBBB5"/>
      </right>
      <top style="medium">
        <color rgb="FFDBD9D4"/>
      </top>
      <bottom style="medium">
        <color rgb="FFDBD9D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 style="medium">
        <color rgb="FFBCBBB5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rgb="FFEBEBEB"/>
      </top>
      <bottom/>
      <diagonal/>
    </border>
    <border>
      <left style="medium">
        <color rgb="FFEBEBEB"/>
      </left>
      <right/>
      <top style="medium">
        <color rgb="FFEBEBEB"/>
      </top>
      <bottom/>
      <diagonal/>
    </border>
    <border>
      <left/>
      <right style="medium">
        <color rgb="FFEBEBEB"/>
      </right>
      <top style="medium">
        <color rgb="FFEBEBEB"/>
      </top>
      <bottom/>
      <diagonal/>
    </border>
    <border>
      <left style="medium">
        <color rgb="FFEBEBEB"/>
      </left>
      <right style="medium">
        <color rgb="FFEBEBEB"/>
      </right>
      <top style="medium">
        <color rgb="FFEBEBEB"/>
      </top>
      <bottom/>
      <diagonal/>
    </border>
    <border>
      <left style="medium">
        <color rgb="FFEBEBEB"/>
      </left>
      <right/>
      <top style="medium">
        <color rgb="FFEBEBEB"/>
      </top>
      <bottom style="medium">
        <color rgb="FFEBEBEB"/>
      </bottom>
      <diagonal/>
    </border>
    <border>
      <left style="medium">
        <color rgb="FFEBEBEB"/>
      </left>
      <right style="medium">
        <color rgb="FFEBEBEB"/>
      </right>
      <top style="medium">
        <color rgb="FFEBEBEB"/>
      </top>
      <bottom style="medium">
        <color rgb="FFEBEBEB"/>
      </bottom>
      <diagonal/>
    </border>
    <border>
      <left style="medium">
        <color rgb="FFEBEBEB"/>
      </left>
      <right/>
      <top/>
      <bottom style="medium">
        <color rgb="FFEBEBEB"/>
      </bottom>
      <diagonal/>
    </border>
    <border>
      <left/>
      <right/>
      <top/>
      <bottom style="medium">
        <color rgb="FFEBEBEB"/>
      </bottom>
      <diagonal/>
    </border>
    <border>
      <left/>
      <right style="medium">
        <color rgb="FFEBEBEB"/>
      </right>
      <top/>
      <bottom style="medium">
        <color rgb="FFEBEBEB"/>
      </bottom>
      <diagonal/>
    </border>
    <border>
      <left/>
      <right/>
      <top style="medium">
        <color rgb="FFEBEBEB"/>
      </top>
      <bottom style="medium">
        <color rgb="FFEBEBEB"/>
      </bottom>
      <diagonal/>
    </border>
    <border>
      <left/>
      <right style="medium">
        <color rgb="FFEBEBEB"/>
      </right>
      <top style="medium">
        <color rgb="FFEBEBEB"/>
      </top>
      <bottom style="medium">
        <color rgb="FFEBEBEB"/>
      </bottom>
      <diagonal/>
    </border>
  </borders>
  <cellStyleXfs count="2275">
    <xf numFmtId="0" fontId="0" fillId="0" borderId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" fillId="0" borderId="0"/>
    <xf numFmtId="0" fontId="22" fillId="0" borderId="0" applyNumberFormat="0" applyFill="0" applyBorder="0" applyAlignment="0" applyProtection="0"/>
    <xf numFmtId="175" fontId="21" fillId="0" borderId="0" applyFont="0" applyFill="0" applyBorder="0" applyAlignment="0">
      <alignment wrapText="1"/>
    </xf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44" fillId="0" borderId="0"/>
    <xf numFmtId="0" fontId="58" fillId="0" borderId="0"/>
    <xf numFmtId="0" fontId="36" fillId="0" borderId="0" applyNumberFormat="0" applyFont="0" applyFill="0" applyBorder="0" applyProtection="0">
      <alignment horizontal="left" vertical="center" indent="5"/>
    </xf>
    <xf numFmtId="0" fontId="62" fillId="0" borderId="0"/>
    <xf numFmtId="9" fontId="36" fillId="0" borderId="0" applyFont="0" applyFill="0" applyBorder="0" applyAlignment="0" applyProtection="0"/>
    <xf numFmtId="0" fontId="36" fillId="0" borderId="0"/>
    <xf numFmtId="43" fontId="82" fillId="0" borderId="0" applyFont="0" applyFill="0" applyBorder="0" applyAlignment="0" applyProtection="0"/>
    <xf numFmtId="0" fontId="2" fillId="0" borderId="0"/>
    <xf numFmtId="0" fontId="83" fillId="20" borderId="153" applyNumberFormat="0" applyAlignment="0" applyProtection="0"/>
    <xf numFmtId="0" fontId="92" fillId="0" borderId="0" applyNumberFormat="0" applyFill="0" applyBorder="0" applyAlignment="0" applyProtection="0"/>
    <xf numFmtId="0" fontId="93" fillId="0" borderId="0" applyNumberFormat="0">
      <alignment horizontal="right"/>
    </xf>
    <xf numFmtId="4" fontId="93" fillId="16" borderId="183">
      <alignment horizontal="right" vertical="center"/>
    </xf>
    <xf numFmtId="0" fontId="60" fillId="0" borderId="0" applyNumberFormat="0" applyFill="0" applyBorder="0" applyProtection="0">
      <alignment horizontal="left" vertical="center"/>
    </xf>
    <xf numFmtId="0" fontId="58" fillId="49" borderId="0" applyBorder="0">
      <alignment horizontal="right" vertical="center"/>
    </xf>
    <xf numFmtId="0" fontId="58" fillId="49" borderId="158">
      <alignment horizontal="right" vertical="center"/>
    </xf>
    <xf numFmtId="0" fontId="36" fillId="0" borderId="0" applyNumberFormat="0" applyFont="0" applyFill="0" applyBorder="0" applyProtection="0">
      <alignment horizontal="left" vertical="center" indent="2"/>
    </xf>
    <xf numFmtId="0" fontId="58" fillId="49" borderId="0" applyBorder="0">
      <alignment horizontal="right" vertical="center"/>
    </xf>
    <xf numFmtId="0" fontId="58" fillId="0" borderId="0" applyBorder="0">
      <alignment horizontal="right" vertical="center"/>
    </xf>
    <xf numFmtId="0" fontId="58" fillId="0" borderId="181" applyNumberFormat="0" applyFill="0" applyAlignment="0" applyProtection="0"/>
    <xf numFmtId="0" fontId="36" fillId="50" borderId="0" applyNumberFormat="0" applyFont="0" applyBorder="0" applyAlignment="0" applyProtection="0"/>
    <xf numFmtId="0" fontId="58" fillId="50" borderId="181"/>
    <xf numFmtId="0" fontId="58" fillId="0" borderId="4" applyNumberFormat="0" applyFill="0" applyAlignment="0" applyProtection="0"/>
    <xf numFmtId="0" fontId="93" fillId="0" borderId="162">
      <alignment horizontal="left" vertical="top" wrapText="1"/>
    </xf>
    <xf numFmtId="0" fontId="93" fillId="16" borderId="4">
      <alignment horizontal="right" vertical="center"/>
    </xf>
    <xf numFmtId="0" fontId="93" fillId="16" borderId="4">
      <alignment horizontal="right" vertical="center"/>
    </xf>
    <xf numFmtId="0" fontId="58" fillId="0" borderId="163">
      <alignment horizontal="left" vertical="center" wrapText="1" indent="2"/>
    </xf>
    <xf numFmtId="0" fontId="93" fillId="16" borderId="160">
      <alignment horizontal="right" vertical="center"/>
    </xf>
    <xf numFmtId="0" fontId="58" fillId="0" borderId="4">
      <alignment horizontal="right" vertical="center"/>
    </xf>
    <xf numFmtId="0" fontId="36" fillId="0" borderId="38"/>
    <xf numFmtId="0" fontId="95" fillId="49" borderId="4">
      <alignment horizontal="right" vertical="center"/>
    </xf>
    <xf numFmtId="0" fontId="58" fillId="50" borderId="4"/>
    <xf numFmtId="0" fontId="93" fillId="49" borderId="4">
      <alignment horizontal="right" vertical="center"/>
    </xf>
    <xf numFmtId="0" fontId="93" fillId="49" borderId="5">
      <alignment horizontal="right" vertical="center"/>
    </xf>
    <xf numFmtId="0" fontId="58" fillId="0" borderId="5">
      <alignment horizontal="right" vertical="center"/>
    </xf>
    <xf numFmtId="4" fontId="36" fillId="0" borderId="0"/>
    <xf numFmtId="0" fontId="93" fillId="16" borderId="161">
      <alignment horizontal="right" vertical="center"/>
    </xf>
    <xf numFmtId="0" fontId="93" fillId="16" borderId="5">
      <alignment horizontal="right" vertical="center"/>
    </xf>
    <xf numFmtId="0" fontId="93" fillId="16" borderId="159">
      <alignment horizontal="right" vertical="center"/>
    </xf>
    <xf numFmtId="4" fontId="93" fillId="16" borderId="160">
      <alignment horizontal="right" vertical="center"/>
    </xf>
    <xf numFmtId="0" fontId="58" fillId="0" borderId="0"/>
    <xf numFmtId="0" fontId="58" fillId="53" borderId="4">
      <alignment horizontal="right" vertical="center"/>
    </xf>
    <xf numFmtId="0" fontId="58" fillId="53" borderId="0" applyBorder="0">
      <alignment horizontal="right" vertical="center"/>
    </xf>
    <xf numFmtId="0" fontId="36" fillId="0" borderId="0"/>
    <xf numFmtId="0" fontId="36" fillId="52" borderId="4"/>
    <xf numFmtId="4" fontId="36" fillId="0" borderId="0"/>
    <xf numFmtId="4" fontId="58" fillId="0" borderId="4" applyFill="0" applyBorder="0" applyProtection="0">
      <alignment horizontal="right" vertical="center"/>
    </xf>
    <xf numFmtId="0" fontId="97" fillId="0" borderId="0" applyNumberFormat="0" applyFill="0" applyBorder="0" applyAlignment="0" applyProtection="0"/>
    <xf numFmtId="0" fontId="58" fillId="0" borderId="0"/>
    <xf numFmtId="4" fontId="36" fillId="0" borderId="0"/>
    <xf numFmtId="4" fontId="36" fillId="0" borderId="0"/>
    <xf numFmtId="0" fontId="2" fillId="0" borderId="0"/>
    <xf numFmtId="0" fontId="103" fillId="72" borderId="193" applyNumberFormat="0" applyAlignment="0" applyProtection="0"/>
    <xf numFmtId="0" fontId="58" fillId="50" borderId="4"/>
    <xf numFmtId="0" fontId="93" fillId="16" borderId="160">
      <alignment horizontal="right" vertical="center"/>
    </xf>
    <xf numFmtId="4" fontId="93" fillId="16" borderId="183">
      <alignment horizontal="right" vertical="center"/>
    </xf>
    <xf numFmtId="0" fontId="116" fillId="59" borderId="186" applyNumberFormat="0" applyAlignment="0" applyProtection="0"/>
    <xf numFmtId="0" fontId="58" fillId="0" borderId="181">
      <alignment horizontal="right" vertical="center"/>
    </xf>
    <xf numFmtId="0" fontId="108" fillId="0" borderId="194" applyNumberFormat="0" applyFill="0" applyAlignment="0" applyProtection="0"/>
    <xf numFmtId="0" fontId="58" fillId="50" borderId="196"/>
    <xf numFmtId="0" fontId="84" fillId="27" borderId="154" applyNumberFormat="0" applyAlignment="0" applyProtection="0"/>
    <xf numFmtId="0" fontId="85" fillId="27" borderId="153" applyNumberFormat="0" applyAlignment="0" applyProtection="0"/>
    <xf numFmtId="49" fontId="58" fillId="0" borderId="182" applyNumberFormat="0" applyFont="0" applyFill="0" applyBorder="0" applyProtection="0">
      <alignment horizontal="left" vertical="center" indent="5"/>
    </xf>
    <xf numFmtId="0" fontId="86" fillId="0" borderId="0" applyNumberFormat="0" applyFill="0" applyBorder="0" applyAlignment="0" applyProtection="0"/>
    <xf numFmtId="0" fontId="93" fillId="16" borderId="181">
      <alignment horizontal="right" vertical="center"/>
    </xf>
    <xf numFmtId="0" fontId="87" fillId="0" borderId="0" applyNumberFormat="0" applyFill="0" applyBorder="0" applyAlignment="0" applyProtection="0"/>
    <xf numFmtId="0" fontId="27" fillId="0" borderId="155" applyNumberFormat="0" applyFill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88" fillId="30" borderId="0" applyNumberFormat="0" applyBorder="0" applyAlignment="0" applyProtection="0"/>
    <xf numFmtId="0" fontId="58" fillId="16" borderId="192">
      <alignment horizontal="left" vertical="center" wrapText="1" indent="2"/>
    </xf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88" fillId="33" borderId="0" applyNumberFormat="0" applyBorder="0" applyAlignment="0" applyProtection="0"/>
    <xf numFmtId="0" fontId="120" fillId="72" borderId="177" applyNumberForma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88" fillId="36" borderId="0" applyNumberFormat="0" applyBorder="0" applyAlignment="0" applyProtection="0"/>
    <xf numFmtId="0" fontId="101" fillId="72" borderId="177" applyNumberFormat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88" fillId="39" borderId="0" applyNumberFormat="0" applyBorder="0" applyAlignment="0" applyProtection="0"/>
    <xf numFmtId="0" fontId="58" fillId="50" borderId="181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8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8" fillId="45" borderId="0" applyNumberFormat="0" applyBorder="0" applyAlignment="0" applyProtection="0"/>
    <xf numFmtId="0" fontId="58" fillId="0" borderId="4" applyNumberFormat="0" applyFill="0" applyAlignment="0" applyProtection="0"/>
    <xf numFmtId="0" fontId="93" fillId="16" borderId="4">
      <alignment horizontal="right" vertical="center"/>
    </xf>
    <xf numFmtId="0" fontId="93" fillId="16" borderId="4">
      <alignment horizontal="right" vertical="center"/>
    </xf>
    <xf numFmtId="0" fontId="58" fillId="0" borderId="163">
      <alignment horizontal="left" vertical="center" wrapText="1" indent="2"/>
    </xf>
    <xf numFmtId="0" fontId="93" fillId="16" borderId="160">
      <alignment horizontal="right" vertical="center"/>
    </xf>
    <xf numFmtId="0" fontId="58" fillId="0" borderId="4">
      <alignment horizontal="right" vertical="center"/>
    </xf>
    <xf numFmtId="0" fontId="95" fillId="49" borderId="4">
      <alignment horizontal="right" vertical="center"/>
    </xf>
    <xf numFmtId="0" fontId="58" fillId="50" borderId="4"/>
    <xf numFmtId="0" fontId="93" fillId="49" borderId="4">
      <alignment horizontal="right" vertical="center"/>
    </xf>
    <xf numFmtId="0" fontId="93" fillId="16" borderId="159">
      <alignment horizontal="right" vertical="center"/>
    </xf>
    <xf numFmtId="0" fontId="39" fillId="0" borderId="0" applyNumberFormat="0" applyFill="0" applyBorder="0" applyAlignment="0" applyProtection="0"/>
    <xf numFmtId="0" fontId="98" fillId="54" borderId="0" applyNumberFormat="0" applyBorder="0" applyAlignment="0" applyProtection="0"/>
    <xf numFmtId="0" fontId="98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8" borderId="0" applyNumberFormat="0" applyBorder="0" applyAlignment="0" applyProtection="0"/>
    <xf numFmtId="0" fontId="98" fillId="59" borderId="0" applyNumberFormat="0" applyBorder="0" applyAlignment="0" applyProtection="0"/>
    <xf numFmtId="0" fontId="36" fillId="0" borderId="0" applyNumberFormat="0" applyFont="0" applyFill="0" applyBorder="0" applyProtection="0">
      <alignment horizontal="left" vertical="center" indent="2"/>
    </xf>
    <xf numFmtId="0" fontId="36" fillId="0" borderId="0" applyNumberFormat="0" applyFont="0" applyFill="0" applyBorder="0" applyProtection="0">
      <alignment horizontal="left" vertical="center" indent="2"/>
    </xf>
    <xf numFmtId="49" fontId="58" fillId="0" borderId="4" applyNumberFormat="0" applyFont="0" applyFill="0" applyBorder="0" applyProtection="0">
      <alignment horizontal="left" vertical="center" indent="2"/>
    </xf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8" fillId="62" borderId="0" applyNumberFormat="0" applyBorder="0" applyAlignment="0" applyProtection="0"/>
    <xf numFmtId="0" fontId="98" fillId="57" borderId="0" applyNumberFormat="0" applyBorder="0" applyAlignment="0" applyProtection="0"/>
    <xf numFmtId="0" fontId="98" fillId="60" borderId="0" applyNumberFormat="0" applyBorder="0" applyAlignment="0" applyProtection="0"/>
    <xf numFmtId="0" fontId="98" fillId="63" borderId="0" applyNumberFormat="0" applyBorder="0" applyAlignment="0" applyProtection="0"/>
    <xf numFmtId="0" fontId="36" fillId="0" borderId="0" applyNumberFormat="0" applyFont="0" applyFill="0" applyBorder="0" applyProtection="0">
      <alignment horizontal="left" vertical="center" indent="5"/>
    </xf>
    <xf numFmtId="0" fontId="36" fillId="0" borderId="0" applyNumberFormat="0" applyFont="0" applyFill="0" applyBorder="0" applyProtection="0">
      <alignment horizontal="left" vertical="center" indent="5"/>
    </xf>
    <xf numFmtId="49" fontId="58" fillId="0" borderId="159" applyNumberFormat="0" applyFont="0" applyFill="0" applyBorder="0" applyProtection="0">
      <alignment horizontal="left" vertical="center" indent="5"/>
    </xf>
    <xf numFmtId="0" fontId="100" fillId="64" borderId="0" applyNumberFormat="0" applyBorder="0" applyAlignment="0" applyProtection="0"/>
    <xf numFmtId="0" fontId="100" fillId="61" borderId="0" applyNumberFormat="0" applyBorder="0" applyAlignment="0" applyProtection="0"/>
    <xf numFmtId="0" fontId="100" fillId="62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67" borderId="0" applyNumberFormat="0" applyBorder="0" applyAlignment="0" applyProtection="0"/>
    <xf numFmtId="0" fontId="100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71" borderId="0" applyNumberFormat="0" applyBorder="0" applyAlignment="0" applyProtection="0"/>
    <xf numFmtId="0" fontId="60" fillId="53" borderId="0" applyBorder="0" applyAlignment="0"/>
    <xf numFmtId="4" fontId="60" fillId="53" borderId="0" applyBorder="0" applyAlignment="0"/>
    <xf numFmtId="4" fontId="58" fillId="53" borderId="0" applyBorder="0">
      <alignment horizontal="right" vertical="center"/>
    </xf>
    <xf numFmtId="4" fontId="58" fillId="49" borderId="0" applyBorder="0">
      <alignment horizontal="right" vertical="center"/>
    </xf>
    <xf numFmtId="4" fontId="58" fillId="49" borderId="0" applyBorder="0">
      <alignment horizontal="right" vertical="center"/>
    </xf>
    <xf numFmtId="4" fontId="93" fillId="49" borderId="4">
      <alignment horizontal="right" vertical="center"/>
    </xf>
    <xf numFmtId="4" fontId="95" fillId="49" borderId="4">
      <alignment horizontal="right" vertical="center"/>
    </xf>
    <xf numFmtId="4" fontId="93" fillId="16" borderId="4">
      <alignment horizontal="right" vertical="center"/>
    </xf>
    <xf numFmtId="4" fontId="93" fillId="16" borderId="4">
      <alignment horizontal="right" vertical="center"/>
    </xf>
    <xf numFmtId="4" fontId="93" fillId="16" borderId="159">
      <alignment horizontal="right" vertical="center"/>
    </xf>
    <xf numFmtId="4" fontId="93" fillId="16" borderId="160">
      <alignment horizontal="right" vertical="center"/>
    </xf>
    <xf numFmtId="0" fontId="99" fillId="68" borderId="0" applyNumberFormat="0" applyBorder="0" applyAlignment="0" applyProtection="0"/>
    <xf numFmtId="0" fontId="99" fillId="69" borderId="0" applyNumberFormat="0" applyBorder="0" applyAlignment="0" applyProtection="0"/>
    <xf numFmtId="0" fontId="99" fillId="70" borderId="0" applyNumberFormat="0" applyBorder="0" applyAlignment="0" applyProtection="0"/>
    <xf numFmtId="0" fontId="99" fillId="65" borderId="0" applyNumberFormat="0" applyBorder="0" applyAlignment="0" applyProtection="0"/>
    <xf numFmtId="0" fontId="99" fillId="66" borderId="0" applyNumberFormat="0" applyBorder="0" applyAlignment="0" applyProtection="0"/>
    <xf numFmtId="0" fontId="99" fillId="71" borderId="0" applyNumberFormat="0" applyBorder="0" applyAlignment="0" applyProtection="0"/>
    <xf numFmtId="0" fontId="102" fillId="55" borderId="0" applyNumberFormat="0" applyBorder="0" applyAlignment="0" applyProtection="0"/>
    <xf numFmtId="4" fontId="60" fillId="0" borderId="122" applyFill="0" applyBorder="0" applyProtection="0">
      <alignment horizontal="right" vertical="center"/>
    </xf>
    <xf numFmtId="0" fontId="104" fillId="72" borderId="165" applyNumberFormat="0" applyAlignment="0" applyProtection="0"/>
    <xf numFmtId="0" fontId="105" fillId="73" borderId="166" applyNumberFormat="0" applyAlignment="0" applyProtection="0"/>
    <xf numFmtId="165" fontId="96" fillId="0" borderId="0" applyFont="0" applyFill="0" applyBorder="0" applyAlignment="0" applyProtection="0"/>
    <xf numFmtId="185" fontId="106" fillId="0" borderId="0" applyFont="0" applyFill="0" applyBorder="0" applyAlignment="0" applyProtection="0"/>
    <xf numFmtId="165" fontId="96" fillId="0" borderId="0" applyFont="0" applyFill="0" applyBorder="0" applyAlignment="0" applyProtection="0"/>
    <xf numFmtId="0" fontId="58" fillId="16" borderId="163">
      <alignment horizontal="left" vertical="center" wrapText="1" indent="2"/>
    </xf>
    <xf numFmtId="0" fontId="58" fillId="49" borderId="159">
      <alignment horizontal="left" vertical="center"/>
    </xf>
    <xf numFmtId="0" fontId="110" fillId="0" borderId="0" applyNumberFormat="0" applyFill="0" applyBorder="0" applyAlignment="0" applyProtection="0"/>
    <xf numFmtId="0" fontId="111" fillId="56" borderId="0" applyNumberFormat="0" applyBorder="0" applyAlignment="0" applyProtection="0"/>
    <xf numFmtId="0" fontId="112" fillId="56" borderId="0" applyNumberFormat="0" applyBorder="0" applyAlignment="0" applyProtection="0"/>
    <xf numFmtId="0" fontId="113" fillId="0" borderId="168" applyNumberFormat="0" applyFill="0" applyAlignment="0" applyProtection="0"/>
    <xf numFmtId="0" fontId="114" fillId="0" borderId="169" applyNumberFormat="0" applyFill="0" applyAlignment="0" applyProtection="0"/>
    <xf numFmtId="0" fontId="115" fillId="0" borderId="170" applyNumberFormat="0" applyFill="0" applyAlignment="0" applyProtection="0"/>
    <xf numFmtId="0" fontId="115" fillId="0" borderId="0" applyNumberFormat="0" applyFill="0" applyBorder="0" applyAlignment="0" applyProtection="0"/>
    <xf numFmtId="0" fontId="116" fillId="59" borderId="165" applyNumberFormat="0" applyAlignment="0" applyProtection="0"/>
    <xf numFmtId="4" fontId="58" fillId="0" borderId="0" applyBorder="0">
      <alignment horizontal="right" vertical="center"/>
    </xf>
    <xf numFmtId="0" fontId="58" fillId="0" borderId="6">
      <alignment horizontal="right" vertical="center"/>
    </xf>
    <xf numFmtId="4" fontId="58" fillId="0" borderId="4">
      <alignment horizontal="right" vertical="center"/>
    </xf>
    <xf numFmtId="1" fontId="94" fillId="49" borderId="0" applyBorder="0">
      <alignment horizontal="right" vertical="center"/>
    </xf>
    <xf numFmtId="0" fontId="117" fillId="0" borderId="171" applyNumberFormat="0" applyFill="0" applyAlignment="0" applyProtection="0"/>
    <xf numFmtId="0" fontId="118" fillId="74" borderId="0" applyNumberFormat="0" applyBorder="0" applyAlignment="0" applyProtection="0"/>
    <xf numFmtId="0" fontId="36" fillId="0" borderId="0"/>
    <xf numFmtId="0" fontId="36" fillId="0" borderId="0"/>
    <xf numFmtId="0" fontId="93" fillId="16" borderId="181">
      <alignment horizontal="right" vertical="center"/>
    </xf>
    <xf numFmtId="0" fontId="36" fillId="0" borderId="0"/>
    <xf numFmtId="0" fontId="106" fillId="0" borderId="0"/>
    <xf numFmtId="4" fontId="11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4" fontId="58" fillId="0" borderId="0" applyFill="0" applyBorder="0" applyProtection="0">
      <alignment horizontal="right" vertical="center"/>
    </xf>
    <xf numFmtId="4" fontId="58" fillId="0" borderId="0" applyFill="0" applyBorder="0" applyProtection="0">
      <alignment horizontal="right" vertical="center"/>
    </xf>
    <xf numFmtId="4" fontId="58" fillId="0" borderId="4" applyFill="0" applyBorder="0" applyProtection="0">
      <alignment horizontal="right" vertical="center"/>
    </xf>
    <xf numFmtId="0" fontId="60" fillId="0" borderId="0" applyNumberFormat="0" applyFill="0" applyBorder="0" applyProtection="0">
      <alignment horizontal="left" vertical="center"/>
    </xf>
    <xf numFmtId="49" fontId="60" fillId="0" borderId="4" applyNumberFormat="0" applyFill="0" applyBorder="0" applyProtection="0">
      <alignment horizontal="left" vertical="center"/>
    </xf>
    <xf numFmtId="0" fontId="36" fillId="50" borderId="0" applyNumberFormat="0" applyFont="0" applyBorder="0" applyAlignment="0" applyProtection="0"/>
    <xf numFmtId="4" fontId="36" fillId="50" borderId="0" applyNumberFormat="0" applyFont="0" applyBorder="0" applyAlignment="0" applyProtection="0"/>
    <xf numFmtId="4" fontId="36" fillId="50" borderId="0" applyNumberFormat="0" applyFont="0" applyBorder="0" applyAlignment="0" applyProtection="0"/>
    <xf numFmtId="0" fontId="36" fillId="50" borderId="0" applyNumberFormat="0" applyFont="0" applyBorder="0" applyAlignment="0" applyProtection="0"/>
    <xf numFmtId="0" fontId="36" fillId="50" borderId="0" applyNumberFormat="0" applyFont="0" applyBorder="0" applyAlignment="0" applyProtection="0"/>
    <xf numFmtId="0" fontId="106" fillId="51" borderId="0" applyNumberFormat="0" applyFont="0" applyBorder="0" applyAlignment="0" applyProtection="0"/>
    <xf numFmtId="0" fontId="98" fillId="75" borderId="172" applyNumberFormat="0" applyFont="0" applyAlignment="0" applyProtection="0"/>
    <xf numFmtId="0" fontId="36" fillId="75" borderId="172" applyNumberFormat="0" applyFont="0" applyAlignment="0" applyProtection="0"/>
    <xf numFmtId="0" fontId="120" fillId="72" borderId="164" applyNumberFormat="0" applyAlignment="0" applyProtection="0"/>
    <xf numFmtId="183" fontId="58" fillId="76" borderId="4" applyNumberFormat="0" applyFont="0" applyBorder="0" applyAlignment="0" applyProtection="0">
      <alignment horizontal="right" vertical="center"/>
    </xf>
    <xf numFmtId="9" fontId="106" fillId="0" borderId="0" applyFont="0" applyFill="0" applyBorder="0" applyAlignment="0" applyProtection="0"/>
    <xf numFmtId="0" fontId="121" fillId="55" borderId="0" applyNumberFormat="0" applyBorder="0" applyAlignment="0" applyProtection="0"/>
    <xf numFmtId="4" fontId="58" fillId="50" borderId="4"/>
    <xf numFmtId="0" fontId="58" fillId="50" borderId="5"/>
    <xf numFmtId="0" fontId="122" fillId="0" borderId="0" applyNumberFormat="0" applyFill="0" applyBorder="0" applyAlignment="0" applyProtection="0"/>
    <xf numFmtId="0" fontId="123" fillId="0" borderId="167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68" applyNumberFormat="0" applyFill="0" applyAlignment="0" applyProtection="0"/>
    <xf numFmtId="0" fontId="126" fillId="0" borderId="169" applyNumberFormat="0" applyFill="0" applyAlignment="0" applyProtection="0"/>
    <xf numFmtId="0" fontId="127" fillId="0" borderId="170" applyNumberFormat="0" applyFill="0" applyAlignment="0" applyProtection="0"/>
    <xf numFmtId="0" fontId="127" fillId="0" borderId="0" applyNumberFormat="0" applyFill="0" applyBorder="0" applyAlignment="0" applyProtection="0"/>
    <xf numFmtId="0" fontId="128" fillId="0" borderId="171" applyNumberFormat="0" applyFill="0" applyAlignment="0" applyProtection="0"/>
    <xf numFmtId="0" fontId="130" fillId="0" borderId="0" applyNumberFormat="0" applyFill="0" applyBorder="0" applyAlignment="0" applyProtection="0"/>
    <xf numFmtId="0" fontId="131" fillId="73" borderId="166" applyNumberFormat="0" applyAlignment="0" applyProtection="0"/>
    <xf numFmtId="0" fontId="9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6" fillId="0" borderId="0" applyNumberFormat="0" applyFont="0" applyFill="0" applyBorder="0" applyProtection="0">
      <alignment horizontal="left" vertical="center"/>
    </xf>
    <xf numFmtId="0" fontId="58" fillId="49" borderId="0" applyBorder="0">
      <alignment horizontal="right" vertical="center"/>
    </xf>
    <xf numFmtId="0" fontId="58" fillId="49" borderId="0" applyBorder="0">
      <alignment horizontal="right" vertical="center"/>
    </xf>
    <xf numFmtId="0" fontId="58" fillId="0" borderId="0" applyBorder="0">
      <alignment horizontal="right" vertical="center"/>
    </xf>
    <xf numFmtId="4" fontId="36" fillId="0" borderId="0"/>
    <xf numFmtId="0" fontId="133" fillId="0" borderId="0"/>
    <xf numFmtId="0" fontId="36" fillId="50" borderId="0" applyNumberFormat="0" applyFont="0" applyBorder="0" applyAlignment="0" applyProtection="0"/>
    <xf numFmtId="0" fontId="97" fillId="0" borderId="0" applyNumberFormat="0" applyFill="0" applyBorder="0" applyAlignment="0" applyProtection="0"/>
    <xf numFmtId="0" fontId="98" fillId="54" borderId="0" applyNumberFormat="0" applyBorder="0" applyAlignment="0" applyProtection="0"/>
    <xf numFmtId="0" fontId="98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8" borderId="0" applyNumberFormat="0" applyBorder="0" applyAlignment="0" applyProtection="0"/>
    <xf numFmtId="0" fontId="98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8" fillId="62" borderId="0" applyNumberFormat="0" applyBorder="0" applyAlignment="0" applyProtection="0"/>
    <xf numFmtId="0" fontId="98" fillId="57" borderId="0" applyNumberFormat="0" applyBorder="0" applyAlignment="0" applyProtection="0"/>
    <xf numFmtId="0" fontId="98" fillId="60" borderId="0" applyNumberFormat="0" applyBorder="0" applyAlignment="0" applyProtection="0"/>
    <xf numFmtId="0" fontId="98" fillId="63" borderId="0" applyNumberFormat="0" applyBorder="0" applyAlignment="0" applyProtection="0"/>
    <xf numFmtId="0" fontId="100" fillId="64" borderId="0" applyNumberFormat="0" applyBorder="0" applyAlignment="0" applyProtection="0"/>
    <xf numFmtId="0" fontId="100" fillId="61" borderId="0" applyNumberFormat="0" applyBorder="0" applyAlignment="0" applyProtection="0"/>
    <xf numFmtId="0" fontId="100" fillId="62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67" borderId="0" applyNumberFormat="0" applyBorder="0" applyAlignment="0" applyProtection="0"/>
    <xf numFmtId="0" fontId="100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71" borderId="0" applyNumberFormat="0" applyBorder="0" applyAlignment="0" applyProtection="0"/>
    <xf numFmtId="0" fontId="102" fillId="55" borderId="0" applyNumberFormat="0" applyBorder="0" applyAlignment="0" applyProtection="0"/>
    <xf numFmtId="0" fontId="104" fillId="72" borderId="165" applyNumberFormat="0" applyAlignment="0" applyProtection="0"/>
    <xf numFmtId="0" fontId="105" fillId="73" borderId="166" applyNumberFormat="0" applyAlignment="0" applyProtection="0"/>
    <xf numFmtId="0" fontId="110" fillId="0" borderId="0" applyNumberFormat="0" applyFill="0" applyBorder="0" applyAlignment="0" applyProtection="0"/>
    <xf numFmtId="0" fontId="111" fillId="56" borderId="0" applyNumberFormat="0" applyBorder="0" applyAlignment="0" applyProtection="0"/>
    <xf numFmtId="0" fontId="113" fillId="0" borderId="168" applyNumberFormat="0" applyFill="0" applyAlignment="0" applyProtection="0"/>
    <xf numFmtId="0" fontId="114" fillId="0" borderId="169" applyNumberFormat="0" applyFill="0" applyAlignment="0" applyProtection="0"/>
    <xf numFmtId="0" fontId="115" fillId="0" borderId="170" applyNumberFormat="0" applyFill="0" applyAlignment="0" applyProtection="0"/>
    <xf numFmtId="0" fontId="115" fillId="0" borderId="0" applyNumberFormat="0" applyFill="0" applyBorder="0" applyAlignment="0" applyProtection="0"/>
    <xf numFmtId="0" fontId="116" fillId="59" borderId="165" applyNumberFormat="0" applyAlignment="0" applyProtection="0"/>
    <xf numFmtId="0" fontId="117" fillId="0" borderId="171" applyNumberFormat="0" applyFill="0" applyAlignment="0" applyProtection="0"/>
    <xf numFmtId="0" fontId="118" fillId="74" borderId="0" applyNumberFormat="0" applyBorder="0" applyAlignment="0" applyProtection="0"/>
    <xf numFmtId="0" fontId="36" fillId="0" borderId="0"/>
    <xf numFmtId="0" fontId="98" fillId="75" borderId="172" applyNumberFormat="0" applyFont="0" applyAlignment="0" applyProtection="0"/>
    <xf numFmtId="0" fontId="120" fillId="72" borderId="164" applyNumberFormat="0" applyAlignment="0" applyProtection="0"/>
    <xf numFmtId="0" fontId="122" fillId="0" borderId="0" applyNumberFormat="0" applyFill="0" applyBorder="0" applyAlignment="0" applyProtection="0"/>
    <xf numFmtId="0" fontId="123" fillId="0" borderId="167" applyNumberFormat="0" applyFill="0" applyAlignment="0" applyProtection="0"/>
    <xf numFmtId="0" fontId="130" fillId="0" borderId="0" applyNumberFormat="0" applyFill="0" applyBorder="0" applyAlignment="0" applyProtection="0"/>
    <xf numFmtId="0" fontId="134" fillId="0" borderId="0">
      <alignment horizontal="left" vertical="center" indent="1"/>
    </xf>
    <xf numFmtId="0" fontId="98" fillId="54" borderId="0" applyNumberFormat="0" applyBorder="0" applyAlignment="0" applyProtection="0"/>
    <xf numFmtId="0" fontId="98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8" borderId="0" applyNumberFormat="0" applyBorder="0" applyAlignment="0" applyProtection="0"/>
    <xf numFmtId="0" fontId="98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8" fillId="62" borderId="0" applyNumberFormat="0" applyBorder="0" applyAlignment="0" applyProtection="0"/>
    <xf numFmtId="0" fontId="98" fillId="57" borderId="0" applyNumberFormat="0" applyBorder="0" applyAlignment="0" applyProtection="0"/>
    <xf numFmtId="0" fontId="98" fillId="60" borderId="0" applyNumberFormat="0" applyBorder="0" applyAlignment="0" applyProtection="0"/>
    <xf numFmtId="0" fontId="98" fillId="63" borderId="0" applyNumberFormat="0" applyBorder="0" applyAlignment="0" applyProtection="0"/>
    <xf numFmtId="0" fontId="100" fillId="64" borderId="0" applyNumberFormat="0" applyBorder="0" applyAlignment="0" applyProtection="0"/>
    <xf numFmtId="0" fontId="100" fillId="61" borderId="0" applyNumberFormat="0" applyBorder="0" applyAlignment="0" applyProtection="0"/>
    <xf numFmtId="0" fontId="100" fillId="62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67" borderId="0" applyNumberFormat="0" applyBorder="0" applyAlignment="0" applyProtection="0"/>
    <xf numFmtId="0" fontId="93" fillId="49" borderId="173">
      <alignment horizontal="right" vertical="center"/>
    </xf>
    <xf numFmtId="4" fontId="93" fillId="49" borderId="173">
      <alignment horizontal="right" vertical="center"/>
    </xf>
    <xf numFmtId="0" fontId="95" fillId="49" borderId="173">
      <alignment horizontal="right" vertical="center"/>
    </xf>
    <xf numFmtId="4" fontId="95" fillId="49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4">
      <alignment horizontal="right" vertical="center"/>
    </xf>
    <xf numFmtId="4" fontId="93" fillId="16" borderId="174">
      <alignment horizontal="right" vertical="center"/>
    </xf>
    <xf numFmtId="0" fontId="93" fillId="16" borderId="175">
      <alignment horizontal="right" vertical="center"/>
    </xf>
    <xf numFmtId="4" fontId="93" fillId="16" borderId="175">
      <alignment horizontal="right" vertical="center"/>
    </xf>
    <xf numFmtId="0" fontId="104" fillId="72" borderId="165" applyNumberFormat="0" applyAlignment="0" applyProtection="0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58" fillId="49" borderId="174">
      <alignment horizontal="left" vertical="center"/>
    </xf>
    <xf numFmtId="0" fontId="110" fillId="0" borderId="0" applyNumberFormat="0" applyFill="0" applyBorder="0" applyAlignment="0" applyProtection="0"/>
    <xf numFmtId="0" fontId="116" fillId="59" borderId="165" applyNumberFormat="0" applyAlignment="0" applyProtection="0"/>
    <xf numFmtId="0" fontId="58" fillId="0" borderId="173">
      <alignment horizontal="right" vertical="center"/>
    </xf>
    <xf numFmtId="4" fontId="58" fillId="0" borderId="173">
      <alignment horizontal="right" vertical="center"/>
    </xf>
    <xf numFmtId="0" fontId="2" fillId="0" borderId="0"/>
    <xf numFmtId="0" fontId="58" fillId="0" borderId="173" applyNumberFormat="0" applyFill="0" applyAlignment="0" applyProtection="0"/>
    <xf numFmtId="0" fontId="120" fillId="72" borderId="164" applyNumberFormat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58" fillId="50" borderId="173"/>
    <xf numFmtId="4" fontId="58" fillId="50" borderId="173"/>
    <xf numFmtId="0" fontId="123" fillId="0" borderId="167" applyNumberFormat="0" applyFill="0" applyAlignment="0" applyProtection="0"/>
    <xf numFmtId="0" fontId="1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20" borderId="153" applyNumberFormat="0" applyAlignment="0" applyProtection="0"/>
    <xf numFmtId="0" fontId="58" fillId="49" borderId="0" applyBorder="0">
      <alignment horizontal="right" vertical="center"/>
    </xf>
    <xf numFmtId="0" fontId="58" fillId="49" borderId="0" applyBorder="0">
      <alignment horizontal="right" vertical="center"/>
    </xf>
    <xf numFmtId="0" fontId="58" fillId="0" borderId="0" applyBorder="0">
      <alignment horizontal="right" vertical="center"/>
    </xf>
    <xf numFmtId="0" fontId="36" fillId="0" borderId="0"/>
    <xf numFmtId="49" fontId="58" fillId="0" borderId="173" applyNumberFormat="0" applyFont="0" applyFill="0" applyBorder="0" applyProtection="0">
      <alignment horizontal="left" vertical="center" indent="2"/>
    </xf>
    <xf numFmtId="49" fontId="58" fillId="0" borderId="174" applyNumberFormat="0" applyFont="0" applyFill="0" applyBorder="0" applyProtection="0">
      <alignment horizontal="left" vertical="center" indent="5"/>
    </xf>
    <xf numFmtId="0" fontId="99" fillId="68" borderId="0" applyNumberFormat="0" applyBorder="0" applyAlignment="0" applyProtection="0"/>
    <xf numFmtId="0" fontId="99" fillId="69" borderId="0" applyNumberFormat="0" applyBorder="0" applyAlignment="0" applyProtection="0"/>
    <xf numFmtId="0" fontId="99" fillId="70" borderId="0" applyNumberFormat="0" applyBorder="0" applyAlignment="0" applyProtection="0"/>
    <xf numFmtId="0" fontId="99" fillId="65" borderId="0" applyNumberFormat="0" applyBorder="0" applyAlignment="0" applyProtection="0"/>
    <xf numFmtId="0" fontId="99" fillId="66" borderId="0" applyNumberFormat="0" applyBorder="0" applyAlignment="0" applyProtection="0"/>
    <xf numFmtId="0" fontId="99" fillId="71" borderId="0" applyNumberFormat="0" applyBorder="0" applyAlignment="0" applyProtection="0"/>
    <xf numFmtId="0" fontId="112" fillId="56" borderId="0" applyNumberFormat="0" applyBorder="0" applyAlignment="0" applyProtection="0"/>
    <xf numFmtId="4" fontId="36" fillId="0" borderId="0"/>
    <xf numFmtId="0" fontId="36" fillId="0" borderId="0"/>
    <xf numFmtId="0" fontId="2" fillId="0" borderId="0"/>
    <xf numFmtId="4" fontId="58" fillId="0" borderId="173" applyFill="0" applyBorder="0" applyProtection="0">
      <alignment horizontal="right" vertical="center"/>
    </xf>
    <xf numFmtId="49" fontId="60" fillId="0" borderId="173" applyNumberFormat="0" applyFill="0" applyBorder="0" applyProtection="0">
      <alignment horizontal="left" vertical="center"/>
    </xf>
    <xf numFmtId="0" fontId="36" fillId="50" borderId="0" applyNumberFormat="0" applyFont="0" applyBorder="0" applyAlignment="0" applyProtection="0"/>
    <xf numFmtId="0" fontId="121" fillId="55" borderId="0" applyNumberFormat="0" applyBorder="0" applyAlignment="0" applyProtection="0"/>
    <xf numFmtId="0" fontId="125" fillId="0" borderId="168" applyNumberFormat="0" applyFill="0" applyAlignment="0" applyProtection="0"/>
    <xf numFmtId="0" fontId="126" fillId="0" borderId="169" applyNumberFormat="0" applyFill="0" applyAlignment="0" applyProtection="0"/>
    <xf numFmtId="0" fontId="127" fillId="0" borderId="170" applyNumberFormat="0" applyFill="0" applyAlignment="0" applyProtection="0"/>
    <xf numFmtId="0" fontId="127" fillId="0" borderId="0" applyNumberFormat="0" applyFill="0" applyBorder="0" applyAlignment="0" applyProtection="0"/>
    <xf numFmtId="0" fontId="128" fillId="0" borderId="171" applyNumberFormat="0" applyFill="0" applyAlignment="0" applyProtection="0"/>
    <xf numFmtId="0" fontId="131" fillId="73" borderId="166" applyNumberFormat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83" fillId="20" borderId="153" applyNumberFormat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57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9" fillId="64" borderId="0" applyNumberFormat="0" applyBorder="0" applyAlignment="0" applyProtection="0"/>
    <xf numFmtId="0" fontId="99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65" borderId="0" applyNumberFormat="0" applyBorder="0" applyAlignment="0" applyProtection="0"/>
    <xf numFmtId="0" fontId="99" fillId="66" borderId="0" applyNumberFormat="0" applyBorder="0" applyAlignment="0" applyProtection="0"/>
    <xf numFmtId="0" fontId="99" fillId="67" borderId="0" applyNumberFormat="0" applyBorder="0" applyAlignment="0" applyProtection="0"/>
    <xf numFmtId="0" fontId="101" fillId="72" borderId="164" applyNumberFormat="0" applyAlignment="0" applyProtection="0"/>
    <xf numFmtId="0" fontId="103" fillId="72" borderId="165" applyNumberFormat="0" applyAlignment="0" applyProtection="0"/>
    <xf numFmtId="0" fontId="108" fillId="0" borderId="167" applyNumberFormat="0" applyFill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2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49" fontId="58" fillId="0" borderId="4" applyNumberFormat="0" applyFont="0" applyFill="0" applyBorder="0" applyProtection="0">
      <alignment horizontal="left" vertical="center" indent="2"/>
    </xf>
    <xf numFmtId="49" fontId="58" fillId="0" borderId="159" applyNumberFormat="0" applyFont="0" applyFill="0" applyBorder="0" applyProtection="0">
      <alignment horizontal="left" vertical="center" indent="5"/>
    </xf>
    <xf numFmtId="0" fontId="93" fillId="49" borderId="4">
      <alignment horizontal="right" vertical="center"/>
    </xf>
    <xf numFmtId="4" fontId="93" fillId="49" borderId="4">
      <alignment horizontal="right" vertical="center"/>
    </xf>
    <xf numFmtId="0" fontId="95" fillId="49" borderId="4">
      <alignment horizontal="right" vertical="center"/>
    </xf>
    <xf numFmtId="4" fontId="95" fillId="49" borderId="4">
      <alignment horizontal="right" vertical="center"/>
    </xf>
    <xf numFmtId="0" fontId="93" fillId="16" borderId="4">
      <alignment horizontal="right" vertical="center"/>
    </xf>
    <xf numFmtId="4" fontId="93" fillId="16" borderId="4">
      <alignment horizontal="right" vertical="center"/>
    </xf>
    <xf numFmtId="0" fontId="93" fillId="16" borderId="4">
      <alignment horizontal="right" vertical="center"/>
    </xf>
    <xf numFmtId="4" fontId="93" fillId="16" borderId="4">
      <alignment horizontal="right" vertical="center"/>
    </xf>
    <xf numFmtId="0" fontId="93" fillId="16" borderId="159">
      <alignment horizontal="right" vertical="center"/>
    </xf>
    <xf numFmtId="4" fontId="93" fillId="16" borderId="159">
      <alignment horizontal="right" vertical="center"/>
    </xf>
    <xf numFmtId="0" fontId="93" fillId="16" borderId="160">
      <alignment horizontal="right" vertical="center"/>
    </xf>
    <xf numFmtId="4" fontId="93" fillId="16" borderId="160">
      <alignment horizontal="right" vertical="center"/>
    </xf>
    <xf numFmtId="185" fontId="135" fillId="0" borderId="0" applyFont="0" applyFill="0" applyBorder="0" applyAlignment="0" applyProtection="0"/>
    <xf numFmtId="0" fontId="58" fillId="16" borderId="163">
      <alignment horizontal="left" vertical="center" wrapText="1" indent="2"/>
    </xf>
    <xf numFmtId="0" fontId="58" fillId="0" borderId="163">
      <alignment horizontal="left" vertical="center" wrapText="1" indent="2"/>
    </xf>
    <xf numFmtId="0" fontId="58" fillId="49" borderId="159">
      <alignment horizontal="left" vertical="center"/>
    </xf>
    <xf numFmtId="0" fontId="107" fillId="59" borderId="165" applyNumberFormat="0" applyAlignment="0" applyProtection="0"/>
    <xf numFmtId="0" fontId="58" fillId="0" borderId="4">
      <alignment horizontal="right" vertical="center"/>
    </xf>
    <xf numFmtId="4" fontId="58" fillId="0" borderId="4">
      <alignment horizontal="right" vertical="center"/>
    </xf>
    <xf numFmtId="0" fontId="135" fillId="0" borderId="0"/>
    <xf numFmtId="0" fontId="13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36" fillId="0" borderId="0"/>
    <xf numFmtId="4" fontId="58" fillId="0" borderId="4" applyFill="0" applyBorder="0" applyProtection="0">
      <alignment horizontal="right" vertical="center"/>
    </xf>
    <xf numFmtId="49" fontId="60" fillId="0" borderId="4" applyNumberFormat="0" applyFill="0" applyBorder="0" applyProtection="0">
      <alignment horizontal="left" vertical="center"/>
    </xf>
    <xf numFmtId="0" fontId="58" fillId="0" borderId="4" applyNumberFormat="0" applyFill="0" applyAlignment="0" applyProtection="0"/>
    <xf numFmtId="0" fontId="135" fillId="51" borderId="0" applyNumberFormat="0" applyFont="0" applyBorder="0" applyAlignment="0" applyProtection="0"/>
    <xf numFmtId="183" fontId="58" fillId="76" borderId="4" applyNumberFormat="0" applyFont="0" applyBorder="0" applyAlignment="0" applyProtection="0">
      <alignment horizontal="right" vertical="center"/>
    </xf>
    <xf numFmtId="9" fontId="135" fillId="0" borderId="0" applyFont="0" applyFill="0" applyBorder="0" applyAlignment="0" applyProtection="0"/>
    <xf numFmtId="0" fontId="58" fillId="50" borderId="4"/>
    <xf numFmtId="4" fontId="58" fillId="50" borderId="4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16" borderId="163">
      <alignment horizontal="left" vertical="center" wrapText="1" indent="2"/>
    </xf>
    <xf numFmtId="0" fontId="58" fillId="0" borderId="163">
      <alignment horizontal="left" vertical="center" wrapText="1" indent="2"/>
    </xf>
    <xf numFmtId="0" fontId="36" fillId="0" borderId="0"/>
    <xf numFmtId="4" fontId="93" fillId="16" borderId="173">
      <alignment horizontal="right" vertical="center"/>
    </xf>
    <xf numFmtId="0" fontId="58" fillId="50" borderId="173"/>
    <xf numFmtId="0" fontId="103" fillId="72" borderId="165" applyNumberFormat="0" applyAlignment="0" applyProtection="0"/>
    <xf numFmtId="0" fontId="93" fillId="49" borderId="173">
      <alignment horizontal="right" vertical="center"/>
    </xf>
    <xf numFmtId="0" fontId="58" fillId="0" borderId="173">
      <alignment horizontal="right" vertical="center"/>
    </xf>
    <xf numFmtId="0" fontId="123" fillId="0" borderId="167" applyNumberFormat="0" applyFill="0" applyAlignment="0" applyProtection="0"/>
    <xf numFmtId="0" fontId="58" fillId="49" borderId="174">
      <alignment horizontal="left" vertical="center"/>
    </xf>
    <xf numFmtId="0" fontId="116" fillId="59" borderId="165" applyNumberFormat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98" fillId="75" borderId="172" applyNumberFormat="0" applyFont="0" applyAlignment="0" applyProtection="0"/>
    <xf numFmtId="0" fontId="58" fillId="0" borderId="176">
      <alignment horizontal="left" vertical="center" wrapText="1" indent="2"/>
    </xf>
    <xf numFmtId="4" fontId="58" fillId="50" borderId="173"/>
    <xf numFmtId="49" fontId="60" fillId="0" borderId="173" applyNumberFormat="0" applyFill="0" applyBorder="0" applyProtection="0">
      <alignment horizontal="left" vertical="center"/>
    </xf>
    <xf numFmtId="0" fontId="58" fillId="0" borderId="173">
      <alignment horizontal="right" vertical="center"/>
    </xf>
    <xf numFmtId="4" fontId="93" fillId="16" borderId="175">
      <alignment horizontal="right" vertical="center"/>
    </xf>
    <xf numFmtId="4" fontId="93" fillId="16" borderId="173">
      <alignment horizontal="right" vertical="center"/>
    </xf>
    <xf numFmtId="4" fontId="93" fillId="16" borderId="173">
      <alignment horizontal="right" vertical="center"/>
    </xf>
    <xf numFmtId="0" fontId="95" fillId="49" borderId="173">
      <alignment horizontal="right" vertical="center"/>
    </xf>
    <xf numFmtId="0" fontId="93" fillId="49" borderId="173">
      <alignment horizontal="right" vertical="center"/>
    </xf>
    <xf numFmtId="49" fontId="58" fillId="0" borderId="173" applyNumberFormat="0" applyFont="0" applyFill="0" applyBorder="0" applyProtection="0">
      <alignment horizontal="left" vertical="center" indent="2"/>
    </xf>
    <xf numFmtId="0" fontId="116" fillId="59" borderId="165" applyNumberFormat="0" applyAlignment="0" applyProtection="0"/>
    <xf numFmtId="0" fontId="101" fillId="72" borderId="164" applyNumberFormat="0" applyAlignment="0" applyProtection="0"/>
    <xf numFmtId="49" fontId="58" fillId="0" borderId="173" applyNumberFormat="0" applyFont="0" applyFill="0" applyBorder="0" applyProtection="0">
      <alignment horizontal="left" vertical="center" indent="2"/>
    </xf>
    <xf numFmtId="0" fontId="107" fillId="59" borderId="165" applyNumberFormat="0" applyAlignment="0" applyProtection="0"/>
    <xf numFmtId="4" fontId="58" fillId="0" borderId="173" applyFill="0" applyBorder="0" applyProtection="0">
      <alignment horizontal="right" vertical="center"/>
    </xf>
    <xf numFmtId="0" fontId="104" fillId="72" borderId="165" applyNumberFormat="0" applyAlignment="0" applyProtection="0"/>
    <xf numFmtId="0" fontId="123" fillId="0" borderId="167" applyNumberFormat="0" applyFill="0" applyAlignment="0" applyProtection="0"/>
    <xf numFmtId="0" fontId="120" fillId="72" borderId="164" applyNumberFormat="0" applyAlignment="0" applyProtection="0"/>
    <xf numFmtId="0" fontId="58" fillId="0" borderId="173" applyNumberFormat="0" applyFill="0" applyAlignment="0" applyProtection="0"/>
    <xf numFmtId="4" fontId="58" fillId="0" borderId="173">
      <alignment horizontal="right" vertical="center"/>
    </xf>
    <xf numFmtId="0" fontId="58" fillId="0" borderId="173">
      <alignment horizontal="right" vertical="center"/>
    </xf>
    <xf numFmtId="0" fontId="116" fillId="59" borderId="165" applyNumberFormat="0" applyAlignment="0" applyProtection="0"/>
    <xf numFmtId="0" fontId="101" fillId="72" borderId="164" applyNumberFormat="0" applyAlignment="0" applyProtection="0"/>
    <xf numFmtId="0" fontId="103" fillId="72" borderId="165" applyNumberFormat="0" applyAlignment="0" applyProtection="0"/>
    <xf numFmtId="0" fontId="58" fillId="16" borderId="176">
      <alignment horizontal="left" vertical="center" wrapText="1" indent="2"/>
    </xf>
    <xf numFmtId="0" fontId="104" fillId="72" borderId="165" applyNumberFormat="0" applyAlignment="0" applyProtection="0"/>
    <xf numFmtId="0" fontId="104" fillId="72" borderId="165" applyNumberFormat="0" applyAlignment="0" applyProtection="0"/>
    <xf numFmtId="4" fontId="93" fillId="16" borderId="174">
      <alignment horizontal="right" vertical="center"/>
    </xf>
    <xf numFmtId="0" fontId="93" fillId="16" borderId="174">
      <alignment horizontal="right" vertical="center"/>
    </xf>
    <xf numFmtId="0" fontId="93" fillId="16" borderId="173">
      <alignment horizontal="right" vertical="center"/>
    </xf>
    <xf numFmtId="4" fontId="95" fillId="49" borderId="173">
      <alignment horizontal="right" vertical="center"/>
    </xf>
    <xf numFmtId="0" fontId="107" fillId="59" borderId="165" applyNumberFormat="0" applyAlignment="0" applyProtection="0"/>
    <xf numFmtId="0" fontId="108" fillId="0" borderId="167" applyNumberFormat="0" applyFill="0" applyAlignment="0" applyProtection="0"/>
    <xf numFmtId="0" fontId="123" fillId="0" borderId="167" applyNumberFormat="0" applyFill="0" applyAlignment="0" applyProtection="0"/>
    <xf numFmtId="0" fontId="98" fillId="75" borderId="172" applyNumberFormat="0" applyFont="0" applyAlignment="0" applyProtection="0"/>
    <xf numFmtId="0" fontId="116" fillId="59" borderId="165" applyNumberFormat="0" applyAlignment="0" applyProtection="0"/>
    <xf numFmtId="49" fontId="60" fillId="0" borderId="173" applyNumberFormat="0" applyFill="0" applyBorder="0" applyProtection="0">
      <alignment horizontal="left" vertical="center"/>
    </xf>
    <xf numFmtId="0" fontId="58" fillId="16" borderId="176">
      <alignment horizontal="left" vertical="center" wrapText="1" indent="2"/>
    </xf>
    <xf numFmtId="0" fontId="104" fillId="72" borderId="165" applyNumberFormat="0" applyAlignment="0" applyProtection="0"/>
    <xf numFmtId="0" fontId="58" fillId="0" borderId="176">
      <alignment horizontal="left" vertical="center" wrapText="1" indent="2"/>
    </xf>
    <xf numFmtId="0" fontId="98" fillId="75" borderId="172" applyNumberFormat="0" applyFont="0" applyAlignment="0" applyProtection="0"/>
    <xf numFmtId="0" fontId="36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4" fontId="58" fillId="50" borderId="173"/>
    <xf numFmtId="0" fontId="93" fillId="16" borderId="173">
      <alignment horizontal="right" vertical="center"/>
    </xf>
    <xf numFmtId="0" fontId="123" fillId="0" borderId="167" applyNumberFormat="0" applyFill="0" applyAlignment="0" applyProtection="0"/>
    <xf numFmtId="4" fontId="93" fillId="16" borderId="175">
      <alignment horizontal="right" vertical="center"/>
    </xf>
    <xf numFmtId="0" fontId="103" fillId="72" borderId="165" applyNumberFormat="0" applyAlignment="0" applyProtection="0"/>
    <xf numFmtId="0" fontId="93" fillId="16" borderId="174">
      <alignment horizontal="right" vertical="center"/>
    </xf>
    <xf numFmtId="0" fontId="104" fillId="72" borderId="165" applyNumberFormat="0" applyAlignment="0" applyProtection="0"/>
    <xf numFmtId="0" fontId="108" fillId="0" borderId="167" applyNumberFormat="0" applyFill="0" applyAlignment="0" applyProtection="0"/>
    <xf numFmtId="0" fontId="98" fillId="75" borderId="172" applyNumberFormat="0" applyFont="0" applyAlignment="0" applyProtection="0"/>
    <xf numFmtId="4" fontId="93" fillId="16" borderId="174">
      <alignment horizontal="right" vertical="center"/>
    </xf>
    <xf numFmtId="0" fontId="58" fillId="16" borderId="176">
      <alignment horizontal="left" vertical="center" wrapText="1" indent="2"/>
    </xf>
    <xf numFmtId="0" fontId="58" fillId="50" borderId="173"/>
    <xf numFmtId="183" fontId="58" fillId="76" borderId="173" applyNumberFormat="0" applyFont="0" applyBorder="0" applyAlignment="0" applyProtection="0">
      <alignment horizontal="right" vertical="center"/>
    </xf>
    <xf numFmtId="0" fontId="58" fillId="0" borderId="173" applyNumberFormat="0" applyFill="0" applyAlignment="0" applyProtection="0"/>
    <xf numFmtId="4" fontId="58" fillId="0" borderId="173" applyFill="0" applyBorder="0" applyProtection="0">
      <alignment horizontal="right" vertical="center"/>
    </xf>
    <xf numFmtId="4" fontId="93" fillId="49" borderId="173">
      <alignment horizontal="right" vertical="center"/>
    </xf>
    <xf numFmtId="0" fontId="108" fillId="0" borderId="167" applyNumberFormat="0" applyFill="0" applyAlignment="0" applyProtection="0"/>
    <xf numFmtId="49" fontId="60" fillId="0" borderId="173" applyNumberFormat="0" applyFill="0" applyBorder="0" applyProtection="0">
      <alignment horizontal="left" vertical="center"/>
    </xf>
    <xf numFmtId="49" fontId="58" fillId="0" borderId="174" applyNumberFormat="0" applyFont="0" applyFill="0" applyBorder="0" applyProtection="0">
      <alignment horizontal="left" vertical="center" indent="5"/>
    </xf>
    <xf numFmtId="0" fontId="58" fillId="49" borderId="174">
      <alignment horizontal="left" vertical="center"/>
    </xf>
    <xf numFmtId="0" fontId="104" fillId="72" borderId="165" applyNumberFormat="0" applyAlignment="0" applyProtection="0"/>
    <xf numFmtId="4" fontId="93" fillId="16" borderId="175">
      <alignment horizontal="right" vertical="center"/>
    </xf>
    <xf numFmtId="0" fontId="116" fillId="59" borderId="165" applyNumberFormat="0" applyAlignment="0" applyProtection="0"/>
    <xf numFmtId="0" fontId="116" fillId="59" borderId="165" applyNumberFormat="0" applyAlignment="0" applyProtection="0"/>
    <xf numFmtId="0" fontId="98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0" fontId="93" fillId="16" borderId="173">
      <alignment horizontal="right" vertical="center"/>
    </xf>
    <xf numFmtId="0" fontId="36" fillId="75" borderId="172" applyNumberFormat="0" applyFont="0" applyAlignment="0" applyProtection="0"/>
    <xf numFmtId="4" fontId="58" fillId="0" borderId="173">
      <alignment horizontal="right" vertical="center"/>
    </xf>
    <xf numFmtId="0" fontId="123" fillId="0" borderId="167" applyNumberFormat="0" applyFill="0" applyAlignment="0" applyProtection="0"/>
    <xf numFmtId="0" fontId="93" fillId="16" borderId="173">
      <alignment horizontal="right" vertical="center"/>
    </xf>
    <xf numFmtId="0" fontId="93" fillId="16" borderId="173">
      <alignment horizontal="right" vertical="center"/>
    </xf>
    <xf numFmtId="4" fontId="95" fillId="49" borderId="173">
      <alignment horizontal="right" vertical="center"/>
    </xf>
    <xf numFmtId="0" fontId="93" fillId="49" borderId="173">
      <alignment horizontal="right" vertical="center"/>
    </xf>
    <xf numFmtId="4" fontId="93" fillId="49" borderId="173">
      <alignment horizontal="right" vertical="center"/>
    </xf>
    <xf numFmtId="0" fontId="95" fillId="49" borderId="173">
      <alignment horizontal="right" vertical="center"/>
    </xf>
    <xf numFmtId="4" fontId="95" fillId="49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4">
      <alignment horizontal="right" vertical="center"/>
    </xf>
    <xf numFmtId="4" fontId="93" fillId="16" borderId="174">
      <alignment horizontal="right" vertical="center"/>
    </xf>
    <xf numFmtId="0" fontId="93" fillId="16" borderId="175">
      <alignment horizontal="right" vertical="center"/>
    </xf>
    <xf numFmtId="4" fontId="93" fillId="16" borderId="175">
      <alignment horizontal="right" vertical="center"/>
    </xf>
    <xf numFmtId="0" fontId="104" fillId="72" borderId="165" applyNumberFormat="0" applyAlignment="0" applyProtection="0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58" fillId="49" borderId="174">
      <alignment horizontal="left" vertical="center"/>
    </xf>
    <xf numFmtId="0" fontId="116" fillId="59" borderId="165" applyNumberFormat="0" applyAlignment="0" applyProtection="0"/>
    <xf numFmtId="0" fontId="58" fillId="0" borderId="173">
      <alignment horizontal="right" vertical="center"/>
    </xf>
    <xf numFmtId="4" fontId="58" fillId="0" borderId="173">
      <alignment horizontal="right" vertical="center"/>
    </xf>
    <xf numFmtId="0" fontId="58" fillId="0" borderId="173" applyNumberFormat="0" applyFill="0" applyAlignment="0" applyProtection="0"/>
    <xf numFmtId="0" fontId="120" fillId="72" borderId="164" applyNumberFormat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58" fillId="50" borderId="173"/>
    <xf numFmtId="4" fontId="58" fillId="50" borderId="173"/>
    <xf numFmtId="0" fontId="123" fillId="0" borderId="167" applyNumberFormat="0" applyFill="0" applyAlignment="0" applyProtection="0"/>
    <xf numFmtId="0" fontId="36" fillId="75" borderId="172" applyNumberFormat="0" applyFont="0" applyAlignment="0" applyProtection="0"/>
    <xf numFmtId="0" fontId="98" fillId="75" borderId="172" applyNumberFormat="0" applyFont="0" applyAlignment="0" applyProtection="0"/>
    <xf numFmtId="0" fontId="58" fillId="0" borderId="173" applyNumberFormat="0" applyFill="0" applyAlignment="0" applyProtection="0"/>
    <xf numFmtId="0" fontId="108" fillId="0" borderId="167" applyNumberFormat="0" applyFill="0" applyAlignment="0" applyProtection="0"/>
    <xf numFmtId="0" fontId="123" fillId="0" borderId="167" applyNumberFormat="0" applyFill="0" applyAlignment="0" applyProtection="0"/>
    <xf numFmtId="0" fontId="107" fillId="59" borderId="165" applyNumberFormat="0" applyAlignment="0" applyProtection="0"/>
    <xf numFmtId="0" fontId="104" fillId="72" borderId="165" applyNumberFormat="0" applyAlignment="0" applyProtection="0"/>
    <xf numFmtId="4" fontId="95" fillId="49" borderId="173">
      <alignment horizontal="right" vertical="center"/>
    </xf>
    <xf numFmtId="0" fontId="93" fillId="49" borderId="173">
      <alignment horizontal="right" vertical="center"/>
    </xf>
    <xf numFmtId="183" fontId="58" fillId="76" borderId="173" applyNumberFormat="0" applyFont="0" applyBorder="0" applyAlignment="0" applyProtection="0">
      <alignment horizontal="right" vertical="center"/>
    </xf>
    <xf numFmtId="0" fontId="108" fillId="0" borderId="167" applyNumberFormat="0" applyFill="0" applyAlignment="0" applyProtection="0"/>
    <xf numFmtId="49" fontId="58" fillId="0" borderId="173" applyNumberFormat="0" applyFont="0" applyFill="0" applyBorder="0" applyProtection="0">
      <alignment horizontal="left" vertical="center" indent="2"/>
    </xf>
    <xf numFmtId="49" fontId="58" fillId="0" borderId="174" applyNumberFormat="0" applyFont="0" applyFill="0" applyBorder="0" applyProtection="0">
      <alignment horizontal="left" vertical="center" indent="5"/>
    </xf>
    <xf numFmtId="49" fontId="58" fillId="0" borderId="173" applyNumberFormat="0" applyFont="0" applyFill="0" applyBorder="0" applyProtection="0">
      <alignment horizontal="left" vertical="center" indent="2"/>
    </xf>
    <xf numFmtId="4" fontId="58" fillId="0" borderId="173" applyFill="0" applyBorder="0" applyProtection="0">
      <alignment horizontal="right" vertical="center"/>
    </xf>
    <xf numFmtId="49" fontId="60" fillId="0" borderId="173" applyNumberFormat="0" applyFill="0" applyBorder="0" applyProtection="0">
      <alignment horizontal="left" vertical="center"/>
    </xf>
    <xf numFmtId="0" fontId="58" fillId="0" borderId="176">
      <alignment horizontal="left" vertical="center" wrapText="1" indent="2"/>
    </xf>
    <xf numFmtId="0" fontId="120" fillId="72" borderId="164" applyNumberFormat="0" applyAlignment="0" applyProtection="0"/>
    <xf numFmtId="0" fontId="93" fillId="16" borderId="175">
      <alignment horizontal="right" vertical="center"/>
    </xf>
    <xf numFmtId="0" fontId="107" fillId="59" borderId="165" applyNumberFormat="0" applyAlignment="0" applyProtection="0"/>
    <xf numFmtId="0" fontId="93" fillId="16" borderId="175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0" fontId="101" fillId="72" borderId="164" applyNumberFormat="0" applyAlignment="0" applyProtection="0"/>
    <xf numFmtId="0" fontId="103" fillId="72" borderId="165" applyNumberFormat="0" applyAlignment="0" applyProtection="0"/>
    <xf numFmtId="0" fontId="108" fillId="0" borderId="167" applyNumberFormat="0" applyFill="0" applyAlignment="0" applyProtection="0"/>
    <xf numFmtId="0" fontId="58" fillId="50" borderId="173"/>
    <xf numFmtId="4" fontId="58" fillId="50" borderId="173"/>
    <xf numFmtId="4" fontId="93" fillId="16" borderId="173">
      <alignment horizontal="right" vertical="center"/>
    </xf>
    <xf numFmtId="0" fontId="95" fillId="49" borderId="173">
      <alignment horizontal="right" vertical="center"/>
    </xf>
    <xf numFmtId="0" fontId="107" fillId="59" borderId="165" applyNumberFormat="0" applyAlignment="0" applyProtection="0"/>
    <xf numFmtId="0" fontId="104" fillId="72" borderId="165" applyNumberFormat="0" applyAlignment="0" applyProtection="0"/>
    <xf numFmtId="4" fontId="58" fillId="0" borderId="173">
      <alignment horizontal="right" vertical="center"/>
    </xf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120" fillId="72" borderId="164" applyNumberFormat="0" applyAlignment="0" applyProtection="0"/>
    <xf numFmtId="0" fontId="116" fillId="59" borderId="165" applyNumberFormat="0" applyAlignment="0" applyProtection="0"/>
    <xf numFmtId="0" fontId="103" fillId="72" borderId="165" applyNumberFormat="0" applyAlignment="0" applyProtection="0"/>
    <xf numFmtId="0" fontId="101" fillId="72" borderId="164" applyNumberFormat="0" applyAlignment="0" applyProtection="0"/>
    <xf numFmtId="0" fontId="93" fillId="16" borderId="175">
      <alignment horizontal="right" vertical="center"/>
    </xf>
    <xf numFmtId="0" fontId="95" fillId="49" borderId="173">
      <alignment horizontal="right" vertical="center"/>
    </xf>
    <xf numFmtId="4" fontId="93" fillId="49" borderId="173">
      <alignment horizontal="right" vertical="center"/>
    </xf>
    <xf numFmtId="4" fontId="93" fillId="16" borderId="173">
      <alignment horizontal="right" vertical="center"/>
    </xf>
    <xf numFmtId="49" fontId="58" fillId="0" borderId="174" applyNumberFormat="0" applyFont="0" applyFill="0" applyBorder="0" applyProtection="0">
      <alignment horizontal="left" vertical="center" indent="5"/>
    </xf>
    <xf numFmtId="4" fontId="58" fillId="0" borderId="173" applyFill="0" applyBorder="0" applyProtection="0">
      <alignment horizontal="right" vertical="center"/>
    </xf>
    <xf numFmtId="4" fontId="93" fillId="49" borderId="173">
      <alignment horizontal="right" vertical="center"/>
    </xf>
    <xf numFmtId="0" fontId="36" fillId="0" borderId="0"/>
    <xf numFmtId="0" fontId="116" fillId="59" borderId="165" applyNumberFormat="0" applyAlignment="0" applyProtection="0"/>
    <xf numFmtId="0" fontId="107" fillId="59" borderId="165" applyNumberFormat="0" applyAlignment="0" applyProtection="0"/>
    <xf numFmtId="0" fontId="103" fillId="72" borderId="165" applyNumberFormat="0" applyAlignment="0" applyProtection="0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101" fillId="72" borderId="164" applyNumberFormat="0" applyAlignment="0" applyProtection="0"/>
    <xf numFmtId="0" fontId="103" fillId="72" borderId="165" applyNumberFormat="0" applyAlignment="0" applyProtection="0"/>
    <xf numFmtId="0" fontId="104" fillId="72" borderId="165" applyNumberFormat="0" applyAlignment="0" applyProtection="0"/>
    <xf numFmtId="0" fontId="107" fillId="59" borderId="165" applyNumberFormat="0" applyAlignment="0" applyProtection="0"/>
    <xf numFmtId="0" fontId="108" fillId="0" borderId="167" applyNumberFormat="0" applyFill="0" applyAlignment="0" applyProtection="0"/>
    <xf numFmtId="0" fontId="116" fillId="59" borderId="165" applyNumberFormat="0" applyAlignment="0" applyProtection="0"/>
    <xf numFmtId="0" fontId="98" fillId="75" borderId="172" applyNumberFormat="0" applyFont="0" applyAlignment="0" applyProtection="0"/>
    <xf numFmtId="0" fontId="36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0" fontId="104" fillId="72" borderId="165" applyNumberFormat="0" applyAlignment="0" applyProtection="0"/>
    <xf numFmtId="0" fontId="116" fillId="59" borderId="165" applyNumberFormat="0" applyAlignment="0" applyProtection="0"/>
    <xf numFmtId="0" fontId="98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0" fontId="93" fillId="16" borderId="159">
      <alignment horizontal="right" vertical="center"/>
    </xf>
    <xf numFmtId="4" fontId="93" fillId="16" borderId="159">
      <alignment horizontal="right" vertical="center"/>
    </xf>
    <xf numFmtId="0" fontId="93" fillId="16" borderId="160">
      <alignment horizontal="right" vertical="center"/>
    </xf>
    <xf numFmtId="4" fontId="93" fillId="16" borderId="160">
      <alignment horizontal="right" vertical="center"/>
    </xf>
    <xf numFmtId="0" fontId="104" fillId="72" borderId="165" applyNumberFormat="0" applyAlignment="0" applyProtection="0"/>
    <xf numFmtId="0" fontId="58" fillId="16" borderId="163">
      <alignment horizontal="left" vertical="center" wrapText="1" indent="2"/>
    </xf>
    <xf numFmtId="0" fontId="58" fillId="0" borderId="163">
      <alignment horizontal="left" vertical="center" wrapText="1" indent="2"/>
    </xf>
    <xf numFmtId="0" fontId="58" fillId="49" borderId="159">
      <alignment horizontal="left" vertical="center"/>
    </xf>
    <xf numFmtId="0" fontId="116" fillId="59" borderId="165" applyNumberForma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49" fontId="58" fillId="0" borderId="159" applyNumberFormat="0" applyFont="0" applyFill="0" applyBorder="0" applyProtection="0">
      <alignment horizontal="left" vertical="center" indent="5"/>
    </xf>
    <xf numFmtId="0" fontId="101" fillId="72" borderId="164" applyNumberFormat="0" applyAlignment="0" applyProtection="0"/>
    <xf numFmtId="0" fontId="103" fillId="72" borderId="165" applyNumberFormat="0" applyAlignment="0" applyProtection="0"/>
    <xf numFmtId="0" fontId="108" fillId="0" borderId="167" applyNumberFormat="0" applyFill="0" applyAlignment="0" applyProtection="0"/>
    <xf numFmtId="49" fontId="58" fillId="0" borderId="173" applyNumberFormat="0" applyFont="0" applyFill="0" applyBorder="0" applyProtection="0">
      <alignment horizontal="left" vertical="center" indent="2"/>
    </xf>
    <xf numFmtId="0" fontId="93" fillId="49" borderId="173">
      <alignment horizontal="right" vertical="center"/>
    </xf>
    <xf numFmtId="4" fontId="93" fillId="49" borderId="173">
      <alignment horizontal="right" vertical="center"/>
    </xf>
    <xf numFmtId="0" fontId="95" fillId="49" borderId="173">
      <alignment horizontal="right" vertical="center"/>
    </xf>
    <xf numFmtId="4" fontId="95" fillId="49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107" fillId="59" borderId="165" applyNumberFormat="0" applyAlignment="0" applyProtection="0"/>
    <xf numFmtId="0" fontId="58" fillId="0" borderId="173">
      <alignment horizontal="right" vertical="center"/>
    </xf>
    <xf numFmtId="4" fontId="58" fillId="0" borderId="173">
      <alignment horizontal="right" vertical="center"/>
    </xf>
    <xf numFmtId="4" fontId="58" fillId="0" borderId="173" applyFill="0" applyBorder="0" applyProtection="0">
      <alignment horizontal="right" vertical="center"/>
    </xf>
    <xf numFmtId="49" fontId="60" fillId="0" borderId="173" applyNumberFormat="0" applyFill="0" applyBorder="0" applyProtection="0">
      <alignment horizontal="left" vertical="center"/>
    </xf>
    <xf numFmtId="0" fontId="58" fillId="0" borderId="173" applyNumberFormat="0" applyFill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58" fillId="50" borderId="173"/>
    <xf numFmtId="4" fontId="58" fillId="50" borderId="173"/>
    <xf numFmtId="4" fontId="93" fillId="16" borderId="173">
      <alignment horizontal="right" vertical="center"/>
    </xf>
    <xf numFmtId="0" fontId="58" fillId="50" borderId="173"/>
    <xf numFmtId="0" fontId="103" fillId="72" borderId="165" applyNumberFormat="0" applyAlignment="0" applyProtection="0"/>
    <xf numFmtId="0" fontId="93" fillId="49" borderId="173">
      <alignment horizontal="right" vertical="center"/>
    </xf>
    <xf numFmtId="0" fontId="58" fillId="0" borderId="173">
      <alignment horizontal="right" vertical="center"/>
    </xf>
    <xf numFmtId="0" fontId="123" fillId="0" borderId="167" applyNumberFormat="0" applyFill="0" applyAlignment="0" applyProtection="0"/>
    <xf numFmtId="0" fontId="58" fillId="49" borderId="174">
      <alignment horizontal="left" vertical="center"/>
    </xf>
    <xf numFmtId="0" fontId="116" fillId="59" borderId="165" applyNumberFormat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98" fillId="75" borderId="172" applyNumberFormat="0" applyFont="0" applyAlignment="0" applyProtection="0"/>
    <xf numFmtId="0" fontId="58" fillId="0" borderId="176">
      <alignment horizontal="left" vertical="center" wrapText="1" indent="2"/>
    </xf>
    <xf numFmtId="4" fontId="58" fillId="50" borderId="173"/>
    <xf numFmtId="49" fontId="60" fillId="0" borderId="173" applyNumberFormat="0" applyFill="0" applyBorder="0" applyProtection="0">
      <alignment horizontal="left" vertical="center"/>
    </xf>
    <xf numFmtId="0" fontId="58" fillId="0" borderId="173">
      <alignment horizontal="right" vertical="center"/>
    </xf>
    <xf numFmtId="4" fontId="93" fillId="16" borderId="175">
      <alignment horizontal="right" vertical="center"/>
    </xf>
    <xf numFmtId="4" fontId="93" fillId="16" borderId="173">
      <alignment horizontal="right" vertical="center"/>
    </xf>
    <xf numFmtId="4" fontId="93" fillId="16" borderId="173">
      <alignment horizontal="right" vertical="center"/>
    </xf>
    <xf numFmtId="0" fontId="95" fillId="49" borderId="173">
      <alignment horizontal="right" vertical="center"/>
    </xf>
    <xf numFmtId="0" fontId="93" fillId="49" borderId="173">
      <alignment horizontal="right" vertical="center"/>
    </xf>
    <xf numFmtId="49" fontId="58" fillId="0" borderId="173" applyNumberFormat="0" applyFont="0" applyFill="0" applyBorder="0" applyProtection="0">
      <alignment horizontal="left" vertical="center" indent="2"/>
    </xf>
    <xf numFmtId="0" fontId="116" fillId="59" borderId="165" applyNumberFormat="0" applyAlignment="0" applyProtection="0"/>
    <xf numFmtId="0" fontId="101" fillId="72" borderId="164" applyNumberFormat="0" applyAlignment="0" applyProtection="0"/>
    <xf numFmtId="49" fontId="58" fillId="0" borderId="173" applyNumberFormat="0" applyFont="0" applyFill="0" applyBorder="0" applyProtection="0">
      <alignment horizontal="left" vertical="center" indent="2"/>
    </xf>
    <xf numFmtId="0" fontId="107" fillId="59" borderId="165" applyNumberFormat="0" applyAlignment="0" applyProtection="0"/>
    <xf numFmtId="4" fontId="58" fillId="0" borderId="173" applyFill="0" applyBorder="0" applyProtection="0">
      <alignment horizontal="right" vertical="center"/>
    </xf>
    <xf numFmtId="0" fontId="104" fillId="72" borderId="165" applyNumberFormat="0" applyAlignment="0" applyProtection="0"/>
    <xf numFmtId="0" fontId="123" fillId="0" borderId="167" applyNumberFormat="0" applyFill="0" applyAlignment="0" applyProtection="0"/>
    <xf numFmtId="0" fontId="120" fillId="72" borderId="164" applyNumberFormat="0" applyAlignment="0" applyProtection="0"/>
    <xf numFmtId="0" fontId="58" fillId="0" borderId="173" applyNumberFormat="0" applyFill="0" applyAlignment="0" applyProtection="0"/>
    <xf numFmtId="4" fontId="58" fillId="0" borderId="173">
      <alignment horizontal="right" vertical="center"/>
    </xf>
    <xf numFmtId="0" fontId="58" fillId="0" borderId="173">
      <alignment horizontal="right" vertical="center"/>
    </xf>
    <xf numFmtId="0" fontId="116" fillId="59" borderId="165" applyNumberFormat="0" applyAlignment="0" applyProtection="0"/>
    <xf numFmtId="0" fontId="101" fillId="72" borderId="164" applyNumberFormat="0" applyAlignment="0" applyProtection="0"/>
    <xf numFmtId="0" fontId="103" fillId="72" borderId="165" applyNumberFormat="0" applyAlignment="0" applyProtection="0"/>
    <xf numFmtId="0" fontId="58" fillId="16" borderId="176">
      <alignment horizontal="left" vertical="center" wrapText="1" indent="2"/>
    </xf>
    <xf numFmtId="0" fontId="104" fillId="72" borderId="165" applyNumberFormat="0" applyAlignment="0" applyProtection="0"/>
    <xf numFmtId="0" fontId="104" fillId="72" borderId="165" applyNumberFormat="0" applyAlignment="0" applyProtection="0"/>
    <xf numFmtId="4" fontId="93" fillId="16" borderId="174">
      <alignment horizontal="right" vertical="center"/>
    </xf>
    <xf numFmtId="0" fontId="93" fillId="16" borderId="174">
      <alignment horizontal="right" vertical="center"/>
    </xf>
    <xf numFmtId="0" fontId="93" fillId="16" borderId="173">
      <alignment horizontal="right" vertical="center"/>
    </xf>
    <xf numFmtId="4" fontId="95" fillId="49" borderId="173">
      <alignment horizontal="right" vertical="center"/>
    </xf>
    <xf numFmtId="0" fontId="107" fillId="59" borderId="165" applyNumberFormat="0" applyAlignment="0" applyProtection="0"/>
    <xf numFmtId="0" fontId="108" fillId="0" borderId="167" applyNumberFormat="0" applyFill="0" applyAlignment="0" applyProtection="0"/>
    <xf numFmtId="0" fontId="123" fillId="0" borderId="167" applyNumberFormat="0" applyFill="0" applyAlignment="0" applyProtection="0"/>
    <xf numFmtId="0" fontId="98" fillId="75" borderId="172" applyNumberFormat="0" applyFont="0" applyAlignment="0" applyProtection="0"/>
    <xf numFmtId="0" fontId="116" fillId="59" borderId="165" applyNumberFormat="0" applyAlignment="0" applyProtection="0"/>
    <xf numFmtId="49" fontId="60" fillId="0" borderId="173" applyNumberFormat="0" applyFill="0" applyBorder="0" applyProtection="0">
      <alignment horizontal="left" vertical="center"/>
    </xf>
    <xf numFmtId="0" fontId="58" fillId="16" borderId="176">
      <alignment horizontal="left" vertical="center" wrapText="1" indent="2"/>
    </xf>
    <xf numFmtId="0" fontId="104" fillId="72" borderId="165" applyNumberFormat="0" applyAlignment="0" applyProtection="0"/>
    <xf numFmtId="0" fontId="58" fillId="0" borderId="176">
      <alignment horizontal="left" vertical="center" wrapText="1" indent="2"/>
    </xf>
    <xf numFmtId="0" fontId="98" fillId="75" borderId="172" applyNumberFormat="0" applyFont="0" applyAlignment="0" applyProtection="0"/>
    <xf numFmtId="0" fontId="36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4" fontId="58" fillId="50" borderId="173"/>
    <xf numFmtId="0" fontId="93" fillId="16" borderId="173">
      <alignment horizontal="right" vertical="center"/>
    </xf>
    <xf numFmtId="0" fontId="123" fillId="0" borderId="167" applyNumberFormat="0" applyFill="0" applyAlignment="0" applyProtection="0"/>
    <xf numFmtId="4" fontId="93" fillId="16" borderId="175">
      <alignment horizontal="right" vertical="center"/>
    </xf>
    <xf numFmtId="0" fontId="103" fillId="72" borderId="165" applyNumberFormat="0" applyAlignment="0" applyProtection="0"/>
    <xf numFmtId="0" fontId="93" fillId="16" borderId="174">
      <alignment horizontal="right" vertical="center"/>
    </xf>
    <xf numFmtId="0" fontId="104" fillId="72" borderId="165" applyNumberFormat="0" applyAlignment="0" applyProtection="0"/>
    <xf numFmtId="0" fontId="108" fillId="0" borderId="167" applyNumberFormat="0" applyFill="0" applyAlignment="0" applyProtection="0"/>
    <xf numFmtId="0" fontId="98" fillId="75" borderId="172" applyNumberFormat="0" applyFont="0" applyAlignment="0" applyProtection="0"/>
    <xf numFmtId="4" fontId="93" fillId="16" borderId="174">
      <alignment horizontal="right" vertical="center"/>
    </xf>
    <xf numFmtId="0" fontId="58" fillId="16" borderId="176">
      <alignment horizontal="left" vertical="center" wrapText="1" indent="2"/>
    </xf>
    <xf numFmtId="0" fontId="58" fillId="50" borderId="173"/>
    <xf numFmtId="183" fontId="58" fillId="76" borderId="173" applyNumberFormat="0" applyFont="0" applyBorder="0" applyAlignment="0" applyProtection="0">
      <alignment horizontal="right" vertical="center"/>
    </xf>
    <xf numFmtId="0" fontId="58" fillId="0" borderId="173" applyNumberFormat="0" applyFill="0" applyAlignment="0" applyProtection="0"/>
    <xf numFmtId="4" fontId="58" fillId="0" borderId="173" applyFill="0" applyBorder="0" applyProtection="0">
      <alignment horizontal="right" vertical="center"/>
    </xf>
    <xf numFmtId="4" fontId="93" fillId="49" borderId="173">
      <alignment horizontal="right" vertical="center"/>
    </xf>
    <xf numFmtId="0" fontId="108" fillId="0" borderId="167" applyNumberFormat="0" applyFill="0" applyAlignment="0" applyProtection="0"/>
    <xf numFmtId="49" fontId="60" fillId="0" borderId="173" applyNumberFormat="0" applyFill="0" applyBorder="0" applyProtection="0">
      <alignment horizontal="left" vertical="center"/>
    </xf>
    <xf numFmtId="49" fontId="58" fillId="0" borderId="174" applyNumberFormat="0" applyFont="0" applyFill="0" applyBorder="0" applyProtection="0">
      <alignment horizontal="left" vertical="center" indent="5"/>
    </xf>
    <xf numFmtId="0" fontId="58" fillId="49" borderId="174">
      <alignment horizontal="left" vertical="center"/>
    </xf>
    <xf numFmtId="0" fontId="104" fillId="72" borderId="165" applyNumberFormat="0" applyAlignment="0" applyProtection="0"/>
    <xf numFmtId="4" fontId="93" fillId="16" borderId="175">
      <alignment horizontal="right" vertical="center"/>
    </xf>
    <xf numFmtId="0" fontId="116" fillId="59" borderId="165" applyNumberFormat="0" applyAlignment="0" applyProtection="0"/>
    <xf numFmtId="0" fontId="116" fillId="59" borderId="165" applyNumberFormat="0" applyAlignment="0" applyProtection="0"/>
    <xf numFmtId="0" fontId="98" fillId="75" borderId="172" applyNumberFormat="0" applyFont="0" applyAlignment="0" applyProtection="0"/>
    <xf numFmtId="0" fontId="120" fillId="72" borderId="164" applyNumberFormat="0" applyAlignment="0" applyProtection="0"/>
    <xf numFmtId="0" fontId="123" fillId="0" borderId="167" applyNumberFormat="0" applyFill="0" applyAlignment="0" applyProtection="0"/>
    <xf numFmtId="0" fontId="93" fillId="16" borderId="173">
      <alignment horizontal="right" vertical="center"/>
    </xf>
    <xf numFmtId="0" fontId="36" fillId="75" borderId="172" applyNumberFormat="0" applyFont="0" applyAlignment="0" applyProtection="0"/>
    <xf numFmtId="4" fontId="58" fillId="0" borderId="173">
      <alignment horizontal="right" vertical="center"/>
    </xf>
    <xf numFmtId="0" fontId="123" fillId="0" borderId="167" applyNumberFormat="0" applyFill="0" applyAlignment="0" applyProtection="0"/>
    <xf numFmtId="0" fontId="93" fillId="16" borderId="173">
      <alignment horizontal="right" vertical="center"/>
    </xf>
    <xf numFmtId="0" fontId="93" fillId="16" borderId="173">
      <alignment horizontal="right" vertical="center"/>
    </xf>
    <xf numFmtId="4" fontId="95" fillId="49" borderId="173">
      <alignment horizontal="right" vertical="center"/>
    </xf>
    <xf numFmtId="0" fontId="93" fillId="49" borderId="173">
      <alignment horizontal="right" vertical="center"/>
    </xf>
    <xf numFmtId="4" fontId="93" fillId="49" borderId="173">
      <alignment horizontal="right" vertical="center"/>
    </xf>
    <xf numFmtId="0" fontId="95" fillId="49" borderId="173">
      <alignment horizontal="right" vertical="center"/>
    </xf>
    <xf numFmtId="4" fontId="95" fillId="49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4" fontId="93" fillId="16" borderId="173">
      <alignment horizontal="right" vertical="center"/>
    </xf>
    <xf numFmtId="0" fontId="93" fillId="16" borderId="174">
      <alignment horizontal="right" vertical="center"/>
    </xf>
    <xf numFmtId="4" fontId="93" fillId="16" borderId="174">
      <alignment horizontal="right" vertical="center"/>
    </xf>
    <xf numFmtId="0" fontId="93" fillId="16" borderId="175">
      <alignment horizontal="right" vertical="center"/>
    </xf>
    <xf numFmtId="4" fontId="93" fillId="16" borderId="175">
      <alignment horizontal="right" vertical="center"/>
    </xf>
    <xf numFmtId="0" fontId="104" fillId="72" borderId="165" applyNumberFormat="0" applyAlignment="0" applyProtection="0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58" fillId="49" borderId="174">
      <alignment horizontal="left" vertical="center"/>
    </xf>
    <xf numFmtId="0" fontId="116" fillId="59" borderId="165" applyNumberFormat="0" applyAlignment="0" applyProtection="0"/>
    <xf numFmtId="0" fontId="58" fillId="0" borderId="173">
      <alignment horizontal="right" vertical="center"/>
    </xf>
    <xf numFmtId="4" fontId="58" fillId="0" borderId="173">
      <alignment horizontal="right" vertical="center"/>
    </xf>
    <xf numFmtId="0" fontId="58" fillId="0" borderId="173" applyNumberFormat="0" applyFill="0" applyAlignment="0" applyProtection="0"/>
    <xf numFmtId="0" fontId="120" fillId="72" borderId="164" applyNumberFormat="0" applyAlignment="0" applyProtection="0"/>
    <xf numFmtId="183" fontId="58" fillId="76" borderId="173" applyNumberFormat="0" applyFont="0" applyBorder="0" applyAlignment="0" applyProtection="0">
      <alignment horizontal="right" vertical="center"/>
    </xf>
    <xf numFmtId="0" fontId="58" fillId="50" borderId="173"/>
    <xf numFmtId="4" fontId="58" fillId="50" borderId="173"/>
    <xf numFmtId="0" fontId="123" fillId="0" borderId="167" applyNumberFormat="0" applyFill="0" applyAlignment="0" applyProtection="0"/>
    <xf numFmtId="0" fontId="36" fillId="75" borderId="172" applyNumberFormat="0" applyFont="0" applyAlignment="0" applyProtection="0"/>
    <xf numFmtId="0" fontId="98" fillId="75" borderId="172" applyNumberFormat="0" applyFont="0" applyAlignment="0" applyProtection="0"/>
    <xf numFmtId="0" fontId="58" fillId="0" borderId="173" applyNumberFormat="0" applyFill="0" applyAlignment="0" applyProtection="0"/>
    <xf numFmtId="0" fontId="108" fillId="0" borderId="167" applyNumberFormat="0" applyFill="0" applyAlignment="0" applyProtection="0"/>
    <xf numFmtId="0" fontId="123" fillId="0" borderId="167" applyNumberFormat="0" applyFill="0" applyAlignment="0" applyProtection="0"/>
    <xf numFmtId="0" fontId="107" fillId="59" borderId="165" applyNumberFormat="0" applyAlignment="0" applyProtection="0"/>
    <xf numFmtId="0" fontId="104" fillId="72" borderId="165" applyNumberFormat="0" applyAlignment="0" applyProtection="0"/>
    <xf numFmtId="4" fontId="95" fillId="49" borderId="173">
      <alignment horizontal="right" vertical="center"/>
    </xf>
    <xf numFmtId="0" fontId="93" fillId="49" borderId="173">
      <alignment horizontal="right" vertical="center"/>
    </xf>
    <xf numFmtId="183" fontId="58" fillId="76" borderId="173" applyNumberFormat="0" applyFont="0" applyBorder="0" applyAlignment="0" applyProtection="0">
      <alignment horizontal="right" vertical="center"/>
    </xf>
    <xf numFmtId="0" fontId="108" fillId="0" borderId="167" applyNumberFormat="0" applyFill="0" applyAlignment="0" applyProtection="0"/>
    <xf numFmtId="49" fontId="58" fillId="0" borderId="173" applyNumberFormat="0" applyFont="0" applyFill="0" applyBorder="0" applyProtection="0">
      <alignment horizontal="left" vertical="center" indent="2"/>
    </xf>
    <xf numFmtId="49" fontId="58" fillId="0" borderId="174" applyNumberFormat="0" applyFont="0" applyFill="0" applyBorder="0" applyProtection="0">
      <alignment horizontal="left" vertical="center" indent="5"/>
    </xf>
    <xf numFmtId="49" fontId="58" fillId="0" borderId="173" applyNumberFormat="0" applyFont="0" applyFill="0" applyBorder="0" applyProtection="0">
      <alignment horizontal="left" vertical="center" indent="2"/>
    </xf>
    <xf numFmtId="4" fontId="58" fillId="0" borderId="173" applyFill="0" applyBorder="0" applyProtection="0">
      <alignment horizontal="right" vertical="center"/>
    </xf>
    <xf numFmtId="49" fontId="60" fillId="0" borderId="173" applyNumberFormat="0" applyFill="0" applyBorder="0" applyProtection="0">
      <alignment horizontal="left" vertical="center"/>
    </xf>
    <xf numFmtId="0" fontId="58" fillId="0" borderId="176">
      <alignment horizontal="left" vertical="center" wrapText="1" indent="2"/>
    </xf>
    <xf numFmtId="0" fontId="120" fillId="72" borderId="164" applyNumberFormat="0" applyAlignment="0" applyProtection="0"/>
    <xf numFmtId="0" fontId="93" fillId="16" borderId="175">
      <alignment horizontal="right" vertical="center"/>
    </xf>
    <xf numFmtId="0" fontId="107" fillId="59" borderId="165" applyNumberFormat="0" applyAlignment="0" applyProtection="0"/>
    <xf numFmtId="0" fontId="93" fillId="16" borderId="175">
      <alignment horizontal="right" vertical="center"/>
    </xf>
    <xf numFmtId="4" fontId="93" fillId="16" borderId="173">
      <alignment horizontal="right" vertical="center"/>
    </xf>
    <xf numFmtId="0" fontId="93" fillId="16" borderId="173">
      <alignment horizontal="right" vertical="center"/>
    </xf>
    <xf numFmtId="0" fontId="101" fillId="72" borderId="164" applyNumberFormat="0" applyAlignment="0" applyProtection="0"/>
    <xf numFmtId="0" fontId="103" fillId="72" borderId="165" applyNumberFormat="0" applyAlignment="0" applyProtection="0"/>
    <xf numFmtId="0" fontId="108" fillId="0" borderId="167" applyNumberFormat="0" applyFill="0" applyAlignment="0" applyProtection="0"/>
    <xf numFmtId="0" fontId="58" fillId="50" borderId="173"/>
    <xf numFmtId="4" fontId="58" fillId="50" borderId="173"/>
    <xf numFmtId="4" fontId="93" fillId="16" borderId="173">
      <alignment horizontal="right" vertical="center"/>
    </xf>
    <xf numFmtId="0" fontId="95" fillId="49" borderId="173">
      <alignment horizontal="right" vertical="center"/>
    </xf>
    <xf numFmtId="0" fontId="107" fillId="59" borderId="165" applyNumberFormat="0" applyAlignment="0" applyProtection="0"/>
    <xf numFmtId="0" fontId="104" fillId="72" borderId="165" applyNumberFormat="0" applyAlignment="0" applyProtection="0"/>
    <xf numFmtId="4" fontId="58" fillId="0" borderId="173">
      <alignment horizontal="right" vertical="center"/>
    </xf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120" fillId="72" borderId="164" applyNumberFormat="0" applyAlignment="0" applyProtection="0"/>
    <xf numFmtId="0" fontId="116" fillId="59" borderId="165" applyNumberFormat="0" applyAlignment="0" applyProtection="0"/>
    <xf numFmtId="0" fontId="103" fillId="72" borderId="165" applyNumberFormat="0" applyAlignment="0" applyProtection="0"/>
    <xf numFmtId="0" fontId="101" fillId="72" borderId="164" applyNumberFormat="0" applyAlignment="0" applyProtection="0"/>
    <xf numFmtId="0" fontId="93" fillId="16" borderId="175">
      <alignment horizontal="right" vertical="center"/>
    </xf>
    <xf numFmtId="0" fontId="95" fillId="49" borderId="173">
      <alignment horizontal="right" vertical="center"/>
    </xf>
    <xf numFmtId="4" fontId="93" fillId="49" borderId="173">
      <alignment horizontal="right" vertical="center"/>
    </xf>
    <xf numFmtId="4" fontId="93" fillId="16" borderId="173">
      <alignment horizontal="right" vertical="center"/>
    </xf>
    <xf numFmtId="49" fontId="58" fillId="0" borderId="174" applyNumberFormat="0" applyFont="0" applyFill="0" applyBorder="0" applyProtection="0">
      <alignment horizontal="left" vertical="center" indent="5"/>
    </xf>
    <xf numFmtId="4" fontId="58" fillId="0" borderId="173" applyFill="0" applyBorder="0" applyProtection="0">
      <alignment horizontal="right" vertical="center"/>
    </xf>
    <xf numFmtId="4" fontId="93" fillId="49" borderId="173">
      <alignment horizontal="right" vertical="center"/>
    </xf>
    <xf numFmtId="0" fontId="116" fillId="59" borderId="165" applyNumberFormat="0" applyAlignment="0" applyProtection="0"/>
    <xf numFmtId="0" fontId="107" fillId="59" borderId="165" applyNumberFormat="0" applyAlignment="0" applyProtection="0"/>
    <xf numFmtId="0" fontId="103" fillId="72" borderId="165" applyNumberFormat="0" applyAlignment="0" applyProtection="0"/>
    <xf numFmtId="0" fontId="58" fillId="16" borderId="176">
      <alignment horizontal="left" vertical="center" wrapText="1" indent="2"/>
    </xf>
    <xf numFmtId="0" fontId="58" fillId="0" borderId="176">
      <alignment horizontal="left" vertical="center" wrapText="1" indent="2"/>
    </xf>
    <xf numFmtId="0" fontId="58" fillId="16" borderId="176">
      <alignment horizontal="left" vertical="center" wrapText="1" indent="2"/>
    </xf>
    <xf numFmtId="0" fontId="2" fillId="0" borderId="0"/>
    <xf numFmtId="0" fontId="98" fillId="75" borderId="180" applyNumberFormat="0" applyFont="0" applyAlignment="0" applyProtection="0"/>
    <xf numFmtId="0" fontId="58" fillId="16" borderId="184">
      <alignment horizontal="left" vertical="center" wrapText="1" indent="2"/>
    </xf>
    <xf numFmtId="0" fontId="58" fillId="50" borderId="181"/>
    <xf numFmtId="0" fontId="85" fillId="27" borderId="153" applyNumberFormat="0" applyAlignment="0" applyProtection="0"/>
    <xf numFmtId="0" fontId="103" fillId="72" borderId="178" applyNumberFormat="0" applyAlignment="0" applyProtection="0"/>
    <xf numFmtId="0" fontId="101" fillId="72" borderId="177" applyNumberFormat="0" applyAlignment="0" applyProtection="0"/>
    <xf numFmtId="0" fontId="36" fillId="75" borderId="180" applyNumberFormat="0" applyFont="0" applyAlignment="0" applyProtection="0"/>
    <xf numFmtId="4" fontId="58" fillId="0" borderId="181">
      <alignment horizontal="right" vertical="center"/>
    </xf>
    <xf numFmtId="0" fontId="123" fillId="0" borderId="179" applyNumberFormat="0" applyFill="0" applyAlignment="0" applyProtection="0"/>
    <xf numFmtId="0" fontId="58" fillId="16" borderId="184">
      <alignment horizontal="left" vertical="center" wrapText="1" indent="2"/>
    </xf>
    <xf numFmtId="0" fontId="116" fillId="59" borderId="178" applyNumberFormat="0" applyAlignment="0" applyProtection="0"/>
    <xf numFmtId="0" fontId="2" fillId="28" borderId="0" applyNumberFormat="0" applyBorder="0" applyAlignment="0" applyProtection="0"/>
    <xf numFmtId="0" fontId="93" fillId="16" borderId="181">
      <alignment horizontal="right" vertical="center"/>
    </xf>
    <xf numFmtId="0" fontId="123" fillId="0" borderId="179" applyNumberFormat="0" applyFill="0" applyAlignment="0" applyProtection="0"/>
    <xf numFmtId="0" fontId="107" fillId="59" borderId="178" applyNumberFormat="0" applyAlignment="0" applyProtection="0"/>
    <xf numFmtId="4" fontId="58" fillId="0" borderId="181" applyFill="0" applyBorder="0" applyProtection="0">
      <alignment horizontal="right" vertical="center"/>
    </xf>
    <xf numFmtId="0" fontId="104" fillId="72" borderId="178" applyNumberFormat="0" applyAlignment="0" applyProtection="0"/>
    <xf numFmtId="0" fontId="116" fillId="59" borderId="178" applyNumberFormat="0" applyAlignment="0" applyProtection="0"/>
    <xf numFmtId="0" fontId="58" fillId="0" borderId="184">
      <alignment horizontal="left" vertical="center" wrapText="1" indent="2"/>
    </xf>
    <xf numFmtId="4" fontId="93" fillId="49" borderId="181">
      <alignment horizontal="right" vertical="center"/>
    </xf>
    <xf numFmtId="0" fontId="116" fillId="59" borderId="178" applyNumberFormat="0" applyAlignment="0" applyProtection="0"/>
    <xf numFmtId="0" fontId="58" fillId="50" borderId="181"/>
    <xf numFmtId="0" fontId="58" fillId="0" borderId="184">
      <alignment horizontal="left" vertical="center" wrapText="1" indent="2"/>
    </xf>
    <xf numFmtId="49" fontId="58" fillId="0" borderId="182" applyNumberFormat="0" applyFont="0" applyFill="0" applyBorder="0" applyProtection="0">
      <alignment horizontal="left" vertical="center" indent="5"/>
    </xf>
    <xf numFmtId="0" fontId="98" fillId="75" borderId="180" applyNumberFormat="0" applyFont="0" applyAlignment="0" applyProtection="0"/>
    <xf numFmtId="0" fontId="95" fillId="49" borderId="181">
      <alignment horizontal="right" vertical="center"/>
    </xf>
    <xf numFmtId="4" fontId="93" fillId="16" borderId="183">
      <alignment horizontal="right" vertical="center"/>
    </xf>
    <xf numFmtId="0" fontId="116" fillId="59" borderId="178" applyNumberFormat="0" applyAlignment="0" applyProtection="0"/>
    <xf numFmtId="49" fontId="58" fillId="0" borderId="181" applyNumberFormat="0" applyFont="0" applyFill="0" applyBorder="0" applyProtection="0">
      <alignment horizontal="left" vertical="center" indent="2"/>
    </xf>
    <xf numFmtId="0" fontId="58" fillId="0" borderId="184">
      <alignment horizontal="left" vertical="center" wrapText="1" indent="2"/>
    </xf>
    <xf numFmtId="4" fontId="58" fillId="0" borderId="181">
      <alignment horizontal="right" vertical="center"/>
    </xf>
    <xf numFmtId="4" fontId="93" fillId="49" borderId="181">
      <alignment horizontal="right" vertical="center"/>
    </xf>
    <xf numFmtId="4" fontId="58" fillId="0" borderId="181">
      <alignment horizontal="right" vertical="center"/>
    </xf>
    <xf numFmtId="0" fontId="36" fillId="75" borderId="180" applyNumberFormat="0" applyFont="0" applyAlignment="0" applyProtection="0"/>
    <xf numFmtId="0" fontId="93" fillId="16" borderId="181">
      <alignment horizontal="right" vertical="center"/>
    </xf>
    <xf numFmtId="0" fontId="104" fillId="72" borderId="178" applyNumberFormat="0" applyAlignment="0" applyProtection="0"/>
    <xf numFmtId="0" fontId="120" fillId="72" borderId="177" applyNumberFormat="0" applyAlignment="0" applyProtection="0"/>
    <xf numFmtId="0" fontId="108" fillId="0" borderId="179" applyNumberFormat="0" applyFill="0" applyAlignment="0" applyProtection="0"/>
    <xf numFmtId="0" fontId="93" fillId="16" borderId="181">
      <alignment horizontal="right" vertical="center"/>
    </xf>
    <xf numFmtId="0" fontId="116" fillId="59" borderId="193" applyNumberFormat="0" applyAlignment="0" applyProtection="0"/>
    <xf numFmtId="0" fontId="116" fillId="59" borderId="178" applyNumberFormat="0" applyAlignment="0" applyProtection="0"/>
    <xf numFmtId="0" fontId="88" fillId="39" borderId="0" applyNumberFormat="0" applyBorder="0" applyAlignment="0" applyProtection="0"/>
    <xf numFmtId="0" fontId="95" fillId="49" borderId="189">
      <alignment horizontal="right" vertical="center"/>
    </xf>
    <xf numFmtId="4" fontId="93" fillId="16" borderId="196">
      <alignment horizontal="right" vertical="center"/>
    </xf>
    <xf numFmtId="0" fontId="58" fillId="0" borderId="184">
      <alignment horizontal="left" vertical="center" wrapText="1" indent="2"/>
    </xf>
    <xf numFmtId="0" fontId="108" fillId="0" borderId="179" applyNumberFormat="0" applyFill="0" applyAlignment="0" applyProtection="0"/>
    <xf numFmtId="0" fontId="84" fillId="27" borderId="154" applyNumberFormat="0" applyAlignment="0" applyProtection="0"/>
    <xf numFmtId="0" fontId="85" fillId="27" borderId="153" applyNumberFormat="0" applyAlignment="0" applyProtection="0"/>
    <xf numFmtId="0" fontId="58" fillId="49" borderId="182">
      <alignment horizontal="left" vertical="center"/>
    </xf>
    <xf numFmtId="0" fontId="86" fillId="0" borderId="0" applyNumberFormat="0" applyFill="0" applyBorder="0" applyAlignment="0" applyProtection="0"/>
    <xf numFmtId="4" fontId="93" fillId="16" borderId="183">
      <alignment horizontal="right" vertical="center"/>
    </xf>
    <xf numFmtId="0" fontId="87" fillId="0" borderId="0" applyNumberFormat="0" applyFill="0" applyBorder="0" applyAlignment="0" applyProtection="0"/>
    <xf numFmtId="0" fontId="27" fillId="0" borderId="155" applyNumberFormat="0" applyFill="0" applyAlignment="0" applyProtection="0"/>
    <xf numFmtId="0" fontId="98" fillId="75" borderId="188" applyNumberFormat="0" applyFont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8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88" fillId="33" borderId="0" applyNumberFormat="0" applyBorder="0" applyAlignment="0" applyProtection="0"/>
    <xf numFmtId="0" fontId="2" fillId="40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88" fillId="36" borderId="0" applyNumberFormat="0" applyBorder="0" applyAlignment="0" applyProtection="0"/>
    <xf numFmtId="0" fontId="98" fillId="75" borderId="195" applyNumberFormat="0" applyFont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88" fillId="39" borderId="0" applyNumberFormat="0" applyBorder="0" applyAlignment="0" applyProtection="0"/>
    <xf numFmtId="0" fontId="36" fillId="75" borderId="188" applyNumberFormat="0" applyFont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8" fillId="45" borderId="0" applyNumberFormat="0" applyBorder="0" applyAlignment="0" applyProtection="0"/>
    <xf numFmtId="0" fontId="98" fillId="75" borderId="180" applyNumberFormat="0" applyFont="0" applyAlignment="0" applyProtection="0"/>
    <xf numFmtId="0" fontId="104" fillId="72" borderId="193" applyNumberFormat="0" applyAlignment="0" applyProtection="0"/>
    <xf numFmtId="49" fontId="60" fillId="0" borderId="189" applyNumberFormat="0" applyFill="0" applyBorder="0" applyProtection="0">
      <alignment horizontal="left" vertical="center"/>
    </xf>
    <xf numFmtId="0" fontId="123" fillId="0" borderId="179" applyNumberFormat="0" applyFill="0" applyAlignment="0" applyProtection="0"/>
    <xf numFmtId="0" fontId="120" fillId="72" borderId="177" applyNumberFormat="0" applyAlignment="0" applyProtection="0"/>
    <xf numFmtId="0" fontId="104" fillId="72" borderId="186" applyNumberFormat="0" applyAlignment="0" applyProtection="0"/>
    <xf numFmtId="0" fontId="116" fillId="59" borderId="178" applyNumberFormat="0" applyAlignment="0" applyProtection="0"/>
    <xf numFmtId="4" fontId="58" fillId="0" borderId="181">
      <alignment horizontal="right" vertical="center"/>
    </xf>
    <xf numFmtId="0" fontId="87" fillId="0" borderId="0" applyNumberFormat="0" applyFill="0" applyBorder="0" applyAlignment="0" applyProtection="0"/>
    <xf numFmtId="0" fontId="123" fillId="0" borderId="179" applyNumberFormat="0" applyFill="0" applyAlignment="0" applyProtection="0"/>
    <xf numFmtId="183" fontId="58" fillId="76" borderId="181" applyNumberFormat="0" applyFont="0" applyBorder="0" applyAlignment="0" applyProtection="0">
      <alignment horizontal="right" vertical="center"/>
    </xf>
    <xf numFmtId="0" fontId="36" fillId="75" borderId="180" applyNumberFormat="0" applyFont="0" applyAlignment="0" applyProtection="0"/>
    <xf numFmtId="0" fontId="2" fillId="32" borderId="0" applyNumberFormat="0" applyBorder="0" applyAlignment="0" applyProtection="0"/>
    <xf numFmtId="0" fontId="58" fillId="0" borderId="184">
      <alignment horizontal="left" vertical="center" wrapText="1" indent="2"/>
    </xf>
    <xf numFmtId="0" fontId="2" fillId="37" borderId="0" applyNumberFormat="0" applyBorder="0" applyAlignment="0" applyProtection="0"/>
    <xf numFmtId="49" fontId="60" fillId="0" borderId="181" applyNumberFormat="0" applyFill="0" applyBorder="0" applyProtection="0">
      <alignment horizontal="left" vertical="center"/>
    </xf>
    <xf numFmtId="0" fontId="123" fillId="0" borderId="179" applyNumberFormat="0" applyFill="0" applyAlignment="0" applyProtection="0"/>
    <xf numFmtId="0" fontId="103" fillId="72" borderId="178" applyNumberFormat="0" applyAlignment="0" applyProtection="0"/>
    <xf numFmtId="0" fontId="98" fillId="75" borderId="195" applyNumberFormat="0" applyFont="0" applyAlignment="0" applyProtection="0"/>
    <xf numFmtId="0" fontId="88" fillId="45" borderId="0" applyNumberFormat="0" applyBorder="0" applyAlignment="0" applyProtection="0"/>
    <xf numFmtId="0" fontId="58" fillId="0" borderId="181" applyNumberFormat="0" applyFill="0" applyAlignment="0" applyProtection="0"/>
    <xf numFmtId="4" fontId="58" fillId="0" borderId="181" applyFill="0" applyBorder="0" applyProtection="0">
      <alignment horizontal="right" vertical="center"/>
    </xf>
    <xf numFmtId="49" fontId="58" fillId="0" borderId="181" applyNumberFormat="0" applyFont="0" applyFill="0" applyBorder="0" applyProtection="0">
      <alignment horizontal="left" vertical="center" indent="2"/>
    </xf>
    <xf numFmtId="49" fontId="60" fillId="0" borderId="181" applyNumberFormat="0" applyFill="0" applyBorder="0" applyProtection="0">
      <alignment horizontal="left" vertical="center"/>
    </xf>
    <xf numFmtId="0" fontId="58" fillId="0" borderId="196">
      <alignment horizontal="right" vertical="center"/>
    </xf>
    <xf numFmtId="0" fontId="120" fillId="72" borderId="177" applyNumberFormat="0" applyAlignment="0" applyProtection="0"/>
    <xf numFmtId="4" fontId="93" fillId="16" borderId="181">
      <alignment horizontal="right" vertical="center"/>
    </xf>
    <xf numFmtId="0" fontId="2" fillId="29" borderId="0" applyNumberFormat="0" applyBorder="0" applyAlignment="0" applyProtection="0"/>
    <xf numFmtId="4" fontId="95" fillId="49" borderId="181">
      <alignment horizontal="right" vertical="center"/>
    </xf>
    <xf numFmtId="4" fontId="93" fillId="49" borderId="181">
      <alignment horizontal="right" vertical="center"/>
    </xf>
    <xf numFmtId="0" fontId="88" fillId="30" borderId="0" applyNumberFormat="0" applyBorder="0" applyAlignment="0" applyProtection="0"/>
    <xf numFmtId="0" fontId="93" fillId="16" borderId="181">
      <alignment horizontal="right" vertical="center"/>
    </xf>
    <xf numFmtId="0" fontId="58" fillId="50" borderId="181"/>
    <xf numFmtId="4" fontId="93" fillId="16" borderId="181">
      <alignment horizontal="right" vertical="center"/>
    </xf>
    <xf numFmtId="0" fontId="116" fillId="59" borderId="178" applyNumberFormat="0" applyAlignment="0" applyProtection="0"/>
    <xf numFmtId="0" fontId="120" fillId="72" borderId="177" applyNumberFormat="0" applyAlignment="0" applyProtection="0"/>
    <xf numFmtId="0" fontId="108" fillId="0" borderId="179" applyNumberFormat="0" applyFill="0" applyAlignment="0" applyProtection="0"/>
    <xf numFmtId="0" fontId="84" fillId="27" borderId="154" applyNumberFormat="0" applyAlignment="0" applyProtection="0"/>
    <xf numFmtId="0" fontId="93" fillId="49" borderId="181">
      <alignment horizontal="right" vertical="center"/>
    </xf>
    <xf numFmtId="0" fontId="107" fillId="59" borderId="178" applyNumberFormat="0" applyAlignment="0" applyProtection="0"/>
    <xf numFmtId="0" fontId="123" fillId="0" borderId="179" applyNumberFormat="0" applyFill="0" applyAlignment="0" applyProtection="0"/>
    <xf numFmtId="4" fontId="93" fillId="16" borderId="183">
      <alignment horizontal="right" vertical="center"/>
    </xf>
    <xf numFmtId="0" fontId="93" fillId="16" borderId="182">
      <alignment horizontal="right" vertical="center"/>
    </xf>
    <xf numFmtId="4" fontId="95" fillId="49" borderId="181">
      <alignment horizontal="right" vertical="center"/>
    </xf>
    <xf numFmtId="4" fontId="93" fillId="16" borderId="182">
      <alignment horizontal="right" vertical="center"/>
    </xf>
    <xf numFmtId="0" fontId="120" fillId="72" borderId="177" applyNumberFormat="0" applyAlignment="0" applyProtection="0"/>
    <xf numFmtId="4" fontId="58" fillId="50" borderId="181"/>
    <xf numFmtId="49" fontId="58" fillId="0" borderId="181" applyNumberFormat="0" applyFont="0" applyFill="0" applyBorder="0" applyProtection="0">
      <alignment horizontal="left" vertical="center" indent="2"/>
    </xf>
    <xf numFmtId="0" fontId="116" fillId="59" borderId="178" applyNumberFormat="0" applyAlignment="0" applyProtection="0"/>
    <xf numFmtId="4" fontId="93" fillId="16" borderId="182">
      <alignment horizontal="right" vertical="center"/>
    </xf>
    <xf numFmtId="0" fontId="36" fillId="75" borderId="195" applyNumberFormat="0" applyFont="0" applyAlignment="0" applyProtection="0"/>
    <xf numFmtId="0" fontId="93" fillId="16" borderId="182">
      <alignment horizontal="right" vertical="center"/>
    </xf>
    <xf numFmtId="4" fontId="58" fillId="50" borderId="181"/>
    <xf numFmtId="0" fontId="58" fillId="49" borderId="182">
      <alignment horizontal="left" vertical="center"/>
    </xf>
    <xf numFmtId="0" fontId="107" fillId="59" borderId="193" applyNumberFormat="0" applyAlignment="0" applyProtection="0"/>
    <xf numFmtId="4" fontId="93" fillId="16" borderId="182">
      <alignment horizontal="right" vertical="center"/>
    </xf>
    <xf numFmtId="0" fontId="116" fillId="59" borderId="186" applyNumberFormat="0" applyAlignment="0" applyProtection="0"/>
    <xf numFmtId="0" fontId="93" fillId="16" borderId="183">
      <alignment horizontal="right" vertical="center"/>
    </xf>
    <xf numFmtId="0" fontId="95" fillId="49" borderId="181">
      <alignment horizontal="right" vertical="center"/>
    </xf>
    <xf numFmtId="4" fontId="93" fillId="49" borderId="196">
      <alignment horizontal="right" vertical="center"/>
    </xf>
    <xf numFmtId="0" fontId="93" fillId="49" borderId="181">
      <alignment horizontal="right" vertical="center"/>
    </xf>
    <xf numFmtId="0" fontId="116" fillId="59" borderId="178" applyNumberFormat="0" applyAlignment="0" applyProtection="0"/>
    <xf numFmtId="0" fontId="101" fillId="72" borderId="177" applyNumberFormat="0" applyAlignment="0" applyProtection="0"/>
    <xf numFmtId="0" fontId="58" fillId="0" borderId="181">
      <alignment horizontal="right" vertical="center"/>
    </xf>
    <xf numFmtId="0" fontId="103" fillId="72" borderId="178" applyNumberFormat="0" applyAlignment="0" applyProtection="0"/>
    <xf numFmtId="0" fontId="104" fillId="72" borderId="178" applyNumberFormat="0" applyAlignment="0" applyProtection="0"/>
    <xf numFmtId="4" fontId="95" fillId="49" borderId="181">
      <alignment horizontal="right" vertical="center"/>
    </xf>
    <xf numFmtId="0" fontId="2" fillId="43" borderId="0" applyNumberFormat="0" applyBorder="0" applyAlignment="0" applyProtection="0"/>
    <xf numFmtId="0" fontId="2" fillId="34" borderId="0" applyNumberFormat="0" applyBorder="0" applyAlignment="0" applyProtection="0"/>
    <xf numFmtId="0" fontId="84" fillId="27" borderId="154" applyNumberFormat="0" applyAlignment="0" applyProtection="0"/>
    <xf numFmtId="4" fontId="93" fillId="16" borderId="181">
      <alignment horizontal="right" vertical="center"/>
    </xf>
    <xf numFmtId="49" fontId="58" fillId="0" borderId="181" applyNumberFormat="0" applyFont="0" applyFill="0" applyBorder="0" applyProtection="0">
      <alignment horizontal="left" vertical="center" indent="2"/>
    </xf>
    <xf numFmtId="0" fontId="103" fillId="72" borderId="178" applyNumberFormat="0" applyAlignment="0" applyProtection="0"/>
    <xf numFmtId="0" fontId="123" fillId="0" borderId="179" applyNumberFormat="0" applyFill="0" applyAlignment="0" applyProtection="0"/>
    <xf numFmtId="0" fontId="101" fillId="72" borderId="177" applyNumberFormat="0" applyAlignment="0" applyProtection="0"/>
    <xf numFmtId="0" fontId="101" fillId="72" borderId="185" applyNumberFormat="0" applyAlignment="0" applyProtection="0"/>
    <xf numFmtId="0" fontId="2" fillId="43" borderId="0" applyNumberFormat="0" applyBorder="0" applyAlignment="0" applyProtection="0"/>
    <xf numFmtId="0" fontId="104" fillId="72" borderId="178" applyNumberFormat="0" applyAlignment="0" applyProtection="0"/>
    <xf numFmtId="49" fontId="58" fillId="0" borderId="197" applyNumberFormat="0" applyFont="0" applyFill="0" applyBorder="0" applyProtection="0">
      <alignment horizontal="left" vertical="center" indent="5"/>
    </xf>
    <xf numFmtId="4" fontId="58" fillId="0" borderId="181" applyFill="0" applyBorder="0" applyProtection="0">
      <alignment horizontal="right" vertical="center"/>
    </xf>
    <xf numFmtId="4" fontId="58" fillId="0" borderId="189" applyFill="0" applyBorder="0" applyProtection="0">
      <alignment horizontal="right" vertical="center"/>
    </xf>
    <xf numFmtId="49" fontId="60" fillId="0" borderId="196" applyNumberFormat="0" applyFill="0" applyBorder="0" applyProtection="0">
      <alignment horizontal="left" vertical="center"/>
    </xf>
    <xf numFmtId="0" fontId="108" fillId="0" borderId="179" applyNumberFormat="0" applyFill="0" applyAlignment="0" applyProtection="0"/>
    <xf numFmtId="49" fontId="58" fillId="0" borderId="181" applyNumberFormat="0" applyFont="0" applyFill="0" applyBorder="0" applyProtection="0">
      <alignment horizontal="left" vertical="center" indent="2"/>
    </xf>
    <xf numFmtId="183" fontId="58" fillId="76" borderId="181" applyNumberFormat="0" applyFont="0" applyBorder="0" applyAlignment="0" applyProtection="0">
      <alignment horizontal="right" vertical="center"/>
    </xf>
    <xf numFmtId="4" fontId="95" fillId="49" borderId="181">
      <alignment horizontal="right" vertical="center"/>
    </xf>
    <xf numFmtId="0" fontId="93" fillId="49" borderId="181">
      <alignment horizontal="right" vertical="center"/>
    </xf>
    <xf numFmtId="0" fontId="88" fillId="45" borderId="0" applyNumberFormat="0" applyBorder="0" applyAlignment="0" applyProtection="0"/>
    <xf numFmtId="0" fontId="123" fillId="0" borderId="194" applyNumberFormat="0" applyFill="0" applyAlignment="0" applyProtection="0"/>
    <xf numFmtId="49" fontId="58" fillId="0" borderId="181" applyNumberFormat="0" applyFont="0" applyFill="0" applyBorder="0" applyProtection="0">
      <alignment horizontal="left" vertical="center" indent="2"/>
    </xf>
    <xf numFmtId="4" fontId="58" fillId="0" borderId="189">
      <alignment horizontal="right" vertical="center"/>
    </xf>
    <xf numFmtId="0" fontId="103" fillId="72" borderId="186" applyNumberFormat="0" applyAlignment="0" applyProtection="0"/>
    <xf numFmtId="0" fontId="93" fillId="16" borderId="181">
      <alignment horizontal="right" vertical="center"/>
    </xf>
    <xf numFmtId="0" fontId="58" fillId="0" borderId="184">
      <alignment horizontal="left" vertical="center" wrapText="1" indent="2"/>
    </xf>
    <xf numFmtId="0" fontId="123" fillId="0" borderId="179" applyNumberFormat="0" applyFill="0" applyAlignment="0" applyProtection="0"/>
    <xf numFmtId="0" fontId="88" fillId="36" borderId="0" applyNumberFormat="0" applyBorder="0" applyAlignment="0" applyProtection="0"/>
    <xf numFmtId="0" fontId="58" fillId="16" borderId="184">
      <alignment horizontal="left" vertical="center" wrapText="1" indent="2"/>
    </xf>
    <xf numFmtId="4" fontId="93" fillId="16" borderId="181">
      <alignment horizontal="right" vertical="center"/>
    </xf>
    <xf numFmtId="0" fontId="88" fillId="36" borderId="0" applyNumberFormat="0" applyBorder="0" applyAlignment="0" applyProtection="0"/>
    <xf numFmtId="0" fontId="104" fillId="72" borderId="178" applyNumberFormat="0" applyAlignment="0" applyProtection="0"/>
    <xf numFmtId="0" fontId="123" fillId="0" borderId="179" applyNumberFormat="0" applyFill="0" applyAlignment="0" applyProtection="0"/>
    <xf numFmtId="0" fontId="108" fillId="0" borderId="179" applyNumberFormat="0" applyFill="0" applyAlignment="0" applyProtection="0"/>
    <xf numFmtId="4" fontId="93" fillId="16" borderId="181">
      <alignment horizontal="right" vertical="center"/>
    </xf>
    <xf numFmtId="4" fontId="93" fillId="16" borderId="183">
      <alignment horizontal="right" vertical="center"/>
    </xf>
    <xf numFmtId="0" fontId="107" fillId="59" borderId="178" applyNumberFormat="0" applyAlignment="0" applyProtection="0"/>
    <xf numFmtId="0" fontId="93" fillId="16" borderId="198">
      <alignment horizontal="right" vertical="center"/>
    </xf>
    <xf numFmtId="4" fontId="93" fillId="16" borderId="181">
      <alignment horizontal="right" vertical="center"/>
    </xf>
    <xf numFmtId="0" fontId="120" fillId="72" borderId="177" applyNumberFormat="0" applyAlignment="0" applyProtection="0"/>
    <xf numFmtId="49" fontId="58" fillId="0" borderId="181" applyNumberFormat="0" applyFont="0" applyFill="0" applyBorder="0" applyProtection="0">
      <alignment horizontal="left" vertical="center" indent="2"/>
    </xf>
    <xf numFmtId="0" fontId="88" fillId="39" borderId="0" applyNumberFormat="0" applyBorder="0" applyAlignment="0" applyProtection="0"/>
    <xf numFmtId="0" fontId="58" fillId="50" borderId="181"/>
    <xf numFmtId="0" fontId="85" fillId="27" borderId="153" applyNumberFormat="0" applyAlignment="0" applyProtection="0"/>
    <xf numFmtId="0" fontId="36" fillId="75" borderId="180" applyNumberFormat="0" applyFont="0" applyAlignment="0" applyProtection="0"/>
    <xf numFmtId="0" fontId="58" fillId="16" borderId="184">
      <alignment horizontal="left" vertical="center" wrapText="1" indent="2"/>
    </xf>
    <xf numFmtId="0" fontId="95" fillId="49" borderId="181">
      <alignment horizontal="right" vertical="center"/>
    </xf>
    <xf numFmtId="0" fontId="58" fillId="49" borderId="182">
      <alignment horizontal="left" vertical="center"/>
    </xf>
    <xf numFmtId="4" fontId="58" fillId="0" borderId="181" applyFill="0" applyBorder="0" applyProtection="0">
      <alignment horizontal="right" vertical="center"/>
    </xf>
    <xf numFmtId="0" fontId="58" fillId="49" borderId="197">
      <alignment horizontal="left" vertical="center"/>
    </xf>
    <xf numFmtId="0" fontId="123" fillId="0" borderId="179" applyNumberFormat="0" applyFill="0" applyAlignment="0" applyProtection="0"/>
    <xf numFmtId="0" fontId="108" fillId="0" borderId="179" applyNumberFormat="0" applyFill="0" applyAlignment="0" applyProtection="0"/>
    <xf numFmtId="0" fontId="93" fillId="16" borderId="182">
      <alignment horizontal="right" vertical="center"/>
    </xf>
    <xf numFmtId="0" fontId="123" fillId="0" borderId="179" applyNumberFormat="0" applyFill="0" applyAlignment="0" applyProtection="0"/>
    <xf numFmtId="0" fontId="116" fillId="59" borderId="178" applyNumberFormat="0" applyAlignment="0" applyProtection="0"/>
    <xf numFmtId="0" fontId="36" fillId="75" borderId="180" applyNumberFormat="0" applyFont="0" applyAlignment="0" applyProtection="0"/>
    <xf numFmtId="4" fontId="93" fillId="16" borderId="181">
      <alignment horizontal="right" vertical="center"/>
    </xf>
    <xf numFmtId="0" fontId="58" fillId="0" borderId="181">
      <alignment horizontal="right" vertical="center"/>
    </xf>
    <xf numFmtId="0" fontId="88" fillId="42" borderId="0" applyNumberFormat="0" applyBorder="0" applyAlignment="0" applyProtection="0"/>
    <xf numFmtId="0" fontId="58" fillId="16" borderId="184">
      <alignment horizontal="left" vertical="center" wrapText="1" indent="2"/>
    </xf>
    <xf numFmtId="0" fontId="108" fillId="0" borderId="179" applyNumberFormat="0" applyFill="0" applyAlignment="0" applyProtection="0"/>
    <xf numFmtId="4" fontId="93" fillId="16" borderId="181">
      <alignment horizontal="right" vertical="center"/>
    </xf>
    <xf numFmtId="0" fontId="98" fillId="75" borderId="180" applyNumberFormat="0" applyFont="0" applyAlignment="0" applyProtection="0"/>
    <xf numFmtId="49" fontId="60" fillId="0" borderId="181" applyNumberFormat="0" applyFill="0" applyBorder="0" applyProtection="0">
      <alignment horizontal="left" vertical="center"/>
    </xf>
    <xf numFmtId="4" fontId="93" fillId="49" borderId="181">
      <alignment horizontal="right" vertical="center"/>
    </xf>
    <xf numFmtId="0" fontId="120" fillId="72" borderId="177" applyNumberFormat="0" applyAlignment="0" applyProtection="0"/>
    <xf numFmtId="0" fontId="93" fillId="16" borderId="181">
      <alignment horizontal="right" vertical="center"/>
    </xf>
    <xf numFmtId="0" fontId="86" fillId="0" borderId="0" applyNumberFormat="0" applyFill="0" applyBorder="0" applyAlignment="0" applyProtection="0"/>
    <xf numFmtId="0" fontId="116" fillId="59" borderId="178" applyNumberFormat="0" applyAlignment="0" applyProtection="0"/>
    <xf numFmtId="0" fontId="98" fillId="75" borderId="180" applyNumberFormat="0" applyFont="0" applyAlignment="0" applyProtection="0"/>
    <xf numFmtId="0" fontId="98" fillId="75" borderId="180" applyNumberFormat="0" applyFont="0" applyAlignment="0" applyProtection="0"/>
    <xf numFmtId="0" fontId="95" fillId="49" borderId="196">
      <alignment horizontal="right" vertical="center"/>
    </xf>
    <xf numFmtId="4" fontId="93" fillId="16" borderId="183">
      <alignment horizontal="right" vertical="center"/>
    </xf>
    <xf numFmtId="0" fontId="87" fillId="0" borderId="0" applyNumberFormat="0" applyFill="0" applyBorder="0" applyAlignment="0" applyProtection="0"/>
    <xf numFmtId="0" fontId="93" fillId="16" borderId="183">
      <alignment horizontal="right" vertical="center"/>
    </xf>
    <xf numFmtId="4" fontId="58" fillId="0" borderId="196" applyFill="0" applyBorder="0" applyProtection="0">
      <alignment horizontal="right" vertical="center"/>
    </xf>
    <xf numFmtId="49" fontId="58" fillId="0" borderId="182" applyNumberFormat="0" applyFont="0" applyFill="0" applyBorder="0" applyProtection="0">
      <alignment horizontal="left" vertical="center" indent="5"/>
    </xf>
    <xf numFmtId="0" fontId="108" fillId="0" borderId="179" applyNumberFormat="0" applyFill="0" applyAlignment="0" applyProtection="0"/>
    <xf numFmtId="0" fontId="104" fillId="72" borderId="193" applyNumberFormat="0" applyAlignment="0" applyProtection="0"/>
    <xf numFmtId="0" fontId="104" fillId="72" borderId="178" applyNumberFormat="0" applyAlignment="0" applyProtection="0"/>
    <xf numFmtId="183" fontId="58" fillId="76" borderId="181" applyNumberFormat="0" applyFont="0" applyBorder="0" applyAlignment="0" applyProtection="0">
      <alignment horizontal="right" vertical="center"/>
    </xf>
    <xf numFmtId="0" fontId="107" fillId="59" borderId="186" applyNumberFormat="0" applyAlignment="0" applyProtection="0"/>
    <xf numFmtId="0" fontId="123" fillId="0" borderId="179" applyNumberFormat="0" applyFill="0" applyAlignment="0" applyProtection="0"/>
    <xf numFmtId="0" fontId="58" fillId="0" borderId="181" applyNumberFormat="0" applyFill="0" applyAlignment="0" applyProtection="0"/>
    <xf numFmtId="0" fontId="123" fillId="0" borderId="179" applyNumberFormat="0" applyFill="0" applyAlignment="0" applyProtection="0"/>
    <xf numFmtId="0" fontId="123" fillId="0" borderId="194" applyNumberFormat="0" applyFill="0" applyAlignment="0" applyProtection="0"/>
    <xf numFmtId="0" fontId="58" fillId="0" borderId="184">
      <alignment horizontal="left" vertical="center" wrapText="1" indent="2"/>
    </xf>
    <xf numFmtId="0" fontId="107" fillId="59" borderId="178" applyNumberFormat="0" applyAlignment="0" applyProtection="0"/>
    <xf numFmtId="0" fontId="98" fillId="75" borderId="180" applyNumberFormat="0" applyFont="0" applyAlignment="0" applyProtection="0"/>
    <xf numFmtId="49" fontId="60" fillId="0" borderId="181" applyNumberFormat="0" applyFill="0" applyBorder="0" applyProtection="0">
      <alignment horizontal="left" vertical="center"/>
    </xf>
    <xf numFmtId="4" fontId="58" fillId="50" borderId="181"/>
    <xf numFmtId="0" fontId="98" fillId="75" borderId="180" applyNumberFormat="0" applyFont="0" applyAlignment="0" applyProtection="0"/>
    <xf numFmtId="0" fontId="103" fillId="72" borderId="178" applyNumberFormat="0" applyAlignment="0" applyProtection="0"/>
    <xf numFmtId="0" fontId="93" fillId="16" borderId="183">
      <alignment horizontal="right" vertical="center"/>
    </xf>
    <xf numFmtId="4" fontId="58" fillId="50" borderId="181"/>
    <xf numFmtId="0" fontId="104" fillId="72" borderId="178" applyNumberFormat="0" applyAlignment="0" applyProtection="0"/>
    <xf numFmtId="0" fontId="103" fillId="72" borderId="178" applyNumberFormat="0" applyAlignment="0" applyProtection="0"/>
    <xf numFmtId="0" fontId="93" fillId="16" borderId="183">
      <alignment horizontal="right" vertical="center"/>
    </xf>
    <xf numFmtId="0" fontId="104" fillId="72" borderId="178" applyNumberFormat="0" applyAlignment="0" applyProtection="0"/>
    <xf numFmtId="0" fontId="123" fillId="0" borderId="179" applyNumberFormat="0" applyFill="0" applyAlignment="0" applyProtection="0"/>
    <xf numFmtId="0" fontId="98" fillId="75" borderId="180" applyNumberFormat="0" applyFont="0" applyAlignment="0" applyProtection="0"/>
    <xf numFmtId="49" fontId="60" fillId="0" borderId="181" applyNumberFormat="0" applyFill="0" applyBorder="0" applyProtection="0">
      <alignment horizontal="left" vertical="center"/>
    </xf>
    <xf numFmtId="0" fontId="93" fillId="16" borderId="181">
      <alignment horizontal="right" vertical="center"/>
    </xf>
    <xf numFmtId="0" fontId="58" fillId="16" borderId="184">
      <alignment horizontal="left" vertical="center" wrapText="1" indent="2"/>
    </xf>
    <xf numFmtId="0" fontId="2" fillId="34" borderId="0" applyNumberFormat="0" applyBorder="0" applyAlignment="0" applyProtection="0"/>
    <xf numFmtId="0" fontId="2" fillId="32" borderId="0" applyNumberFormat="0" applyBorder="0" applyAlignment="0" applyProtection="0"/>
    <xf numFmtId="0" fontId="58" fillId="0" borderId="181" applyNumberFormat="0" applyFill="0" applyAlignment="0" applyProtection="0"/>
    <xf numFmtId="0" fontId="104" fillId="72" borderId="178" applyNumberFormat="0" applyAlignment="0" applyProtection="0"/>
    <xf numFmtId="4" fontId="58" fillId="0" borderId="181" applyFill="0" applyBorder="0" applyProtection="0">
      <alignment horizontal="right" vertical="center"/>
    </xf>
    <xf numFmtId="0" fontId="58" fillId="49" borderId="182">
      <alignment horizontal="left" vertical="center"/>
    </xf>
    <xf numFmtId="0" fontId="58" fillId="49" borderId="182">
      <alignment horizontal="left" vertical="center"/>
    </xf>
    <xf numFmtId="0" fontId="58" fillId="0" borderId="184">
      <alignment horizontal="left" vertical="center" wrapText="1" indent="2"/>
    </xf>
    <xf numFmtId="0" fontId="93" fillId="16" borderId="181">
      <alignment horizontal="right" vertical="center"/>
    </xf>
    <xf numFmtId="0" fontId="103" fillId="72" borderId="178" applyNumberFormat="0" applyAlignment="0" applyProtection="0"/>
    <xf numFmtId="0" fontId="108" fillId="0" borderId="179" applyNumberFormat="0" applyFill="0" applyAlignment="0" applyProtection="0"/>
    <xf numFmtId="0" fontId="2" fillId="38" borderId="0" applyNumberFormat="0" applyBorder="0" applyAlignment="0" applyProtection="0"/>
    <xf numFmtId="0" fontId="120" fillId="72" borderId="177" applyNumberFormat="0" applyAlignment="0" applyProtection="0"/>
    <xf numFmtId="0" fontId="116" fillId="59" borderId="178" applyNumberFormat="0" applyAlignment="0" applyProtection="0"/>
    <xf numFmtId="4" fontId="93" fillId="16" borderId="182">
      <alignment horizontal="right" vertical="center"/>
    </xf>
    <xf numFmtId="4" fontId="93" fillId="16" borderId="181">
      <alignment horizontal="right" vertical="center"/>
    </xf>
    <xf numFmtId="0" fontId="58" fillId="16" borderId="184">
      <alignment horizontal="left" vertical="center" wrapText="1" indent="2"/>
    </xf>
    <xf numFmtId="4" fontId="93" fillId="16" borderId="181">
      <alignment horizontal="right" vertical="center"/>
    </xf>
    <xf numFmtId="0" fontId="58" fillId="0" borderId="181">
      <alignment horizontal="right" vertical="center"/>
    </xf>
    <xf numFmtId="0" fontId="95" fillId="49" borderId="181">
      <alignment horizontal="right" vertical="center"/>
    </xf>
    <xf numFmtId="183" fontId="58" fillId="76" borderId="181" applyNumberFormat="0" applyFont="0" applyBorder="0" applyAlignment="0" applyProtection="0">
      <alignment horizontal="right" vertical="center"/>
    </xf>
    <xf numFmtId="4" fontId="93" fillId="49" borderId="189">
      <alignment horizontal="right" vertical="center"/>
    </xf>
    <xf numFmtId="4" fontId="58" fillId="50" borderId="181"/>
    <xf numFmtId="0" fontId="107" fillId="59" borderId="178" applyNumberFormat="0" applyAlignment="0" applyProtection="0"/>
    <xf numFmtId="0" fontId="88" fillId="36" borderId="0" applyNumberFormat="0" applyBorder="0" applyAlignment="0" applyProtection="0"/>
    <xf numFmtId="0" fontId="36" fillId="75" borderId="180" applyNumberFormat="0" applyFont="0" applyAlignment="0" applyProtection="0"/>
    <xf numFmtId="0" fontId="58" fillId="0" borderId="181">
      <alignment horizontal="right" vertical="center"/>
    </xf>
    <xf numFmtId="49" fontId="60" fillId="0" borderId="181" applyNumberFormat="0" applyFill="0" applyBorder="0" applyProtection="0">
      <alignment horizontal="left" vertical="center"/>
    </xf>
    <xf numFmtId="0" fontId="116" fillId="59" borderId="178" applyNumberFormat="0" applyAlignment="0" applyProtection="0"/>
    <xf numFmtId="0" fontId="58" fillId="16" borderId="184">
      <alignment horizontal="left" vertical="center" wrapText="1" indent="2"/>
    </xf>
    <xf numFmtId="0" fontId="93" fillId="16" borderId="181">
      <alignment horizontal="right" vertical="center"/>
    </xf>
    <xf numFmtId="0" fontId="98" fillId="75" borderId="180" applyNumberFormat="0" applyFont="0" applyAlignment="0" applyProtection="0"/>
    <xf numFmtId="4" fontId="58" fillId="0" borderId="181">
      <alignment horizontal="right" vertical="center"/>
    </xf>
    <xf numFmtId="0" fontId="104" fillId="72" borderId="178" applyNumberFormat="0" applyAlignment="0" applyProtection="0"/>
    <xf numFmtId="4" fontId="58" fillId="0" borderId="181" applyFill="0" applyBorder="0" applyProtection="0">
      <alignment horizontal="right" vertical="center"/>
    </xf>
    <xf numFmtId="4" fontId="58" fillId="50" borderId="181"/>
    <xf numFmtId="0" fontId="58" fillId="0" borderId="196" applyNumberFormat="0" applyFill="0" applyAlignment="0" applyProtection="0"/>
    <xf numFmtId="0" fontId="87" fillId="0" borderId="0" applyNumberFormat="0" applyFill="0" applyBorder="0" applyAlignment="0" applyProtection="0"/>
    <xf numFmtId="4" fontId="93" fillId="49" borderId="181">
      <alignment horizontal="right" vertical="center"/>
    </xf>
    <xf numFmtId="0" fontId="2" fillId="35" borderId="0" applyNumberFormat="0" applyBorder="0" applyAlignment="0" applyProtection="0"/>
    <xf numFmtId="0" fontId="116" fillId="59" borderId="178" applyNumberFormat="0" applyAlignment="0" applyProtection="0"/>
    <xf numFmtId="49" fontId="58" fillId="0" borderId="182" applyNumberFormat="0" applyFont="0" applyFill="0" applyBorder="0" applyProtection="0">
      <alignment horizontal="left" vertical="center" indent="5"/>
    </xf>
    <xf numFmtId="0" fontId="93" fillId="16" borderId="183">
      <alignment horizontal="right" vertical="center"/>
    </xf>
    <xf numFmtId="4" fontId="58" fillId="0" borderId="181">
      <alignment horizontal="right" vertical="center"/>
    </xf>
    <xf numFmtId="0" fontId="58" fillId="0" borderId="184">
      <alignment horizontal="left" vertical="center" wrapText="1" indent="2"/>
    </xf>
    <xf numFmtId="0" fontId="116" fillId="59" borderId="178" applyNumberFormat="0" applyAlignment="0" applyProtection="0"/>
    <xf numFmtId="0" fontId="58" fillId="0" borderId="199">
      <alignment horizontal="left" vertical="center" wrapText="1" indent="2"/>
    </xf>
    <xf numFmtId="0" fontId="116" fillId="59" borderId="186" applyNumberFormat="0" applyAlignment="0" applyProtection="0"/>
    <xf numFmtId="49" fontId="58" fillId="0" borderId="182" applyNumberFormat="0" applyFont="0" applyFill="0" applyBorder="0" applyProtection="0">
      <alignment horizontal="left" vertical="center" indent="5"/>
    </xf>
    <xf numFmtId="0" fontId="123" fillId="0" borderId="179" applyNumberFormat="0" applyFill="0" applyAlignment="0" applyProtection="0"/>
    <xf numFmtId="0" fontId="93" fillId="16" borderId="181">
      <alignment horizontal="right" vertical="center"/>
    </xf>
    <xf numFmtId="0" fontId="104" fillId="72" borderId="186" applyNumberFormat="0" applyAlignment="0" applyProtection="0"/>
    <xf numFmtId="0" fontId="101" fillId="72" borderId="177" applyNumberFormat="0" applyAlignment="0" applyProtection="0"/>
    <xf numFmtId="0" fontId="103" fillId="72" borderId="178" applyNumberFormat="0" applyAlignment="0" applyProtection="0"/>
    <xf numFmtId="0" fontId="93" fillId="16" borderId="181">
      <alignment horizontal="right" vertical="center"/>
    </xf>
    <xf numFmtId="0" fontId="104" fillId="72" borderId="186" applyNumberFormat="0" applyAlignment="0" applyProtection="0"/>
    <xf numFmtId="0" fontId="86" fillId="0" borderId="0" applyNumberFormat="0" applyFill="0" applyBorder="0" applyAlignment="0" applyProtection="0"/>
    <xf numFmtId="0" fontId="123" fillId="0" borderId="179" applyNumberFormat="0" applyFill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0" fontId="104" fillId="72" borderId="178" applyNumberFormat="0" applyAlignment="0" applyProtection="0"/>
    <xf numFmtId="0" fontId="123" fillId="0" borderId="179" applyNumberFormat="0" applyFill="0" applyAlignment="0" applyProtection="0"/>
    <xf numFmtId="4" fontId="58" fillId="50" borderId="189"/>
    <xf numFmtId="0" fontId="58" fillId="16" borderId="199">
      <alignment horizontal="left" vertical="center" wrapText="1" indent="2"/>
    </xf>
    <xf numFmtId="0" fontId="58" fillId="0" borderId="181" applyNumberFormat="0" applyFill="0" applyAlignment="0" applyProtection="0"/>
    <xf numFmtId="4" fontId="95" fillId="49" borderId="189">
      <alignment horizontal="right" vertical="center"/>
    </xf>
    <xf numFmtId="0" fontId="104" fillId="72" borderId="178" applyNumberFormat="0" applyAlignment="0" applyProtection="0"/>
    <xf numFmtId="0" fontId="120" fillId="72" borderId="177" applyNumberFormat="0" applyAlignment="0" applyProtection="0"/>
    <xf numFmtId="0" fontId="101" fillId="72" borderId="177" applyNumberFormat="0" applyAlignment="0" applyProtection="0"/>
    <xf numFmtId="0" fontId="120" fillId="72" borderId="177" applyNumberFormat="0" applyAlignment="0" applyProtection="0"/>
    <xf numFmtId="4" fontId="93" fillId="16" borderId="181">
      <alignment horizontal="right" vertical="center"/>
    </xf>
    <xf numFmtId="0" fontId="123" fillId="0" borderId="179" applyNumberFormat="0" applyFill="0" applyAlignment="0" applyProtection="0"/>
    <xf numFmtId="0" fontId="93" fillId="16" borderId="182">
      <alignment horizontal="right" vertical="center"/>
    </xf>
    <xf numFmtId="0" fontId="93" fillId="16" borderId="181">
      <alignment horizontal="right" vertical="center"/>
    </xf>
    <xf numFmtId="0" fontId="93" fillId="16" borderId="181">
      <alignment horizontal="right" vertical="center"/>
    </xf>
    <xf numFmtId="0" fontId="93" fillId="16" borderId="183">
      <alignment horizontal="right" vertical="center"/>
    </xf>
    <xf numFmtId="0" fontId="58" fillId="50" borderId="181"/>
    <xf numFmtId="0" fontId="88" fillId="39" borderId="0" applyNumberFormat="0" applyBorder="0" applyAlignment="0" applyProtection="0"/>
    <xf numFmtId="4" fontId="95" fillId="49" borderId="181">
      <alignment horizontal="right" vertical="center"/>
    </xf>
    <xf numFmtId="0" fontId="93" fillId="16" borderId="182">
      <alignment horizontal="right" vertical="center"/>
    </xf>
    <xf numFmtId="0" fontId="103" fillId="72" borderId="178" applyNumberFormat="0" applyAlignment="0" applyProtection="0"/>
    <xf numFmtId="0" fontId="58" fillId="0" borderId="181">
      <alignment horizontal="right" vertical="center"/>
    </xf>
    <xf numFmtId="0" fontId="101" fillId="72" borderId="177" applyNumberFormat="0" applyAlignment="0" applyProtection="0"/>
    <xf numFmtId="4" fontId="58" fillId="0" borderId="181">
      <alignment horizontal="right" vertical="center"/>
    </xf>
    <xf numFmtId="0" fontId="93" fillId="16" borderId="182">
      <alignment horizontal="right" vertical="center"/>
    </xf>
    <xf numFmtId="0" fontId="36" fillId="75" borderId="180" applyNumberFormat="0" applyFont="0" applyAlignment="0" applyProtection="0"/>
    <xf numFmtId="0" fontId="98" fillId="75" borderId="180" applyNumberFormat="0" applyFont="0" applyAlignment="0" applyProtection="0"/>
    <xf numFmtId="0" fontId="104" fillId="72" borderId="178" applyNumberFormat="0" applyAlignment="0" applyProtection="0"/>
    <xf numFmtId="0" fontId="123" fillId="0" borderId="179" applyNumberFormat="0" applyFill="0" applyAlignment="0" applyProtection="0"/>
    <xf numFmtId="0" fontId="123" fillId="0" borderId="179" applyNumberFormat="0" applyFill="0" applyAlignment="0" applyProtection="0"/>
    <xf numFmtId="0" fontId="93" fillId="49" borderId="181">
      <alignment horizontal="right" vertical="center"/>
    </xf>
    <xf numFmtId="0" fontId="93" fillId="49" borderId="181">
      <alignment horizontal="right" vertical="center"/>
    </xf>
    <xf numFmtId="49" fontId="58" fillId="0" borderId="182" applyNumberFormat="0" applyFont="0" applyFill="0" applyBorder="0" applyProtection="0">
      <alignment horizontal="left" vertical="center" indent="5"/>
    </xf>
    <xf numFmtId="0" fontId="84" fillId="27" borderId="154" applyNumberFormat="0" applyAlignment="0" applyProtection="0"/>
    <xf numFmtId="0" fontId="86" fillId="0" borderId="0" applyNumberFormat="0" applyFill="0" applyBorder="0" applyAlignment="0" applyProtection="0"/>
    <xf numFmtId="0" fontId="2" fillId="43" borderId="0" applyNumberFormat="0" applyBorder="0" applyAlignment="0" applyProtection="0"/>
    <xf numFmtId="0" fontId="123" fillId="0" borderId="187" applyNumberFormat="0" applyFill="0" applyAlignment="0" applyProtection="0"/>
    <xf numFmtId="4" fontId="93" fillId="16" borderId="181">
      <alignment horizontal="right" vertical="center"/>
    </xf>
    <xf numFmtId="0" fontId="88" fillId="30" borderId="0" applyNumberFormat="0" applyBorder="0" applyAlignment="0" applyProtection="0"/>
    <xf numFmtId="4" fontId="93" fillId="16" borderId="181">
      <alignment horizontal="right" vertical="center"/>
    </xf>
    <xf numFmtId="0" fontId="116" fillId="59" borderId="178" applyNumberFormat="0" applyAlignment="0" applyProtection="0"/>
    <xf numFmtId="0" fontId="104" fillId="72" borderId="178" applyNumberFormat="0" applyAlignment="0" applyProtection="0"/>
    <xf numFmtId="0" fontId="103" fillId="72" borderId="178" applyNumberFormat="0" applyAlignment="0" applyProtection="0"/>
    <xf numFmtId="0" fontId="58" fillId="0" borderId="184">
      <alignment horizontal="left" vertical="center" wrapText="1" indent="2"/>
    </xf>
    <xf numFmtId="0" fontId="2" fillId="28" borderId="0" applyNumberFormat="0" applyBorder="0" applyAlignment="0" applyProtection="0"/>
    <xf numFmtId="0" fontId="107" fillId="59" borderId="178" applyNumberFormat="0" applyAlignment="0" applyProtection="0"/>
    <xf numFmtId="0" fontId="108" fillId="0" borderId="179" applyNumberFormat="0" applyFill="0" applyAlignment="0" applyProtection="0"/>
    <xf numFmtId="183" fontId="58" fillId="76" borderId="181" applyNumberFormat="0" applyFont="0" applyBorder="0" applyAlignment="0" applyProtection="0">
      <alignment horizontal="right" vertical="center"/>
    </xf>
    <xf numFmtId="0" fontId="116" fillId="59" borderId="178" applyNumberFormat="0" applyAlignment="0" applyProtection="0"/>
    <xf numFmtId="0" fontId="2" fillId="31" borderId="0" applyNumberFormat="0" applyBorder="0" applyAlignment="0" applyProtection="0"/>
    <xf numFmtId="0" fontId="58" fillId="0" borderId="184">
      <alignment horizontal="left" vertical="center" wrapText="1" indent="2"/>
    </xf>
    <xf numFmtId="0" fontId="93" fillId="16" borderId="181">
      <alignment horizontal="right" vertical="center"/>
    </xf>
    <xf numFmtId="4" fontId="58" fillId="0" borderId="181" applyFill="0" applyBorder="0" applyProtection="0">
      <alignment horizontal="right" vertical="center"/>
    </xf>
    <xf numFmtId="0" fontId="85" fillId="27" borderId="153" applyNumberFormat="0" applyAlignment="0" applyProtection="0"/>
    <xf numFmtId="0" fontId="116" fillId="59" borderId="178" applyNumberFormat="0" applyAlignment="0" applyProtection="0"/>
    <xf numFmtId="0" fontId="58" fillId="0" borderId="184">
      <alignment horizontal="left" vertical="center" wrapText="1" indent="2"/>
    </xf>
    <xf numFmtId="0" fontId="58" fillId="50" borderId="181"/>
    <xf numFmtId="0" fontId="58" fillId="0" borderId="181">
      <alignment horizontal="right" vertical="center"/>
    </xf>
    <xf numFmtId="0" fontId="58" fillId="50" borderId="181"/>
    <xf numFmtId="0" fontId="98" fillId="75" borderId="188" applyNumberFormat="0" applyFont="0" applyAlignment="0" applyProtection="0"/>
    <xf numFmtId="0" fontId="58" fillId="0" borderId="181">
      <alignment horizontal="right" vertical="center"/>
    </xf>
    <xf numFmtId="0" fontId="58" fillId="0" borderId="184">
      <alignment horizontal="left" vertical="center" wrapText="1" indent="2"/>
    </xf>
    <xf numFmtId="0" fontId="116" fillId="59" borderId="178" applyNumberFormat="0" applyAlignment="0" applyProtection="0"/>
    <xf numFmtId="4" fontId="93" fillId="49" borderId="181">
      <alignment horizontal="right" vertical="center"/>
    </xf>
    <xf numFmtId="0" fontId="58" fillId="16" borderId="184">
      <alignment horizontal="left" vertical="center" wrapText="1" indent="2"/>
    </xf>
    <xf numFmtId="0" fontId="120" fillId="72" borderId="177" applyNumberFormat="0" applyAlignment="0" applyProtection="0"/>
    <xf numFmtId="0" fontId="95" fillId="49" borderId="181">
      <alignment horizontal="right" vertical="center"/>
    </xf>
    <xf numFmtId="0" fontId="2" fillId="38" borderId="0" applyNumberFormat="0" applyBorder="0" applyAlignment="0" applyProtection="0"/>
    <xf numFmtId="0" fontId="107" fillId="59" borderId="178" applyNumberFormat="0" applyAlignment="0" applyProtection="0"/>
    <xf numFmtId="4" fontId="95" fillId="49" borderId="181">
      <alignment horizontal="right" vertical="center"/>
    </xf>
    <xf numFmtId="0" fontId="108" fillId="0" borderId="179" applyNumberFormat="0" applyFill="0" applyAlignment="0" applyProtection="0"/>
    <xf numFmtId="0" fontId="104" fillId="72" borderId="193" applyNumberFormat="0" applyAlignment="0" applyProtection="0"/>
    <xf numFmtId="0" fontId="108" fillId="0" borderId="187" applyNumberFormat="0" applyFill="0" applyAlignment="0" applyProtection="0"/>
    <xf numFmtId="0" fontId="88" fillId="33" borderId="0" applyNumberFormat="0" applyBorder="0" applyAlignment="0" applyProtection="0"/>
    <xf numFmtId="0" fontId="93" fillId="16" borderId="182">
      <alignment horizontal="right" vertical="center"/>
    </xf>
    <xf numFmtId="0" fontId="101" fillId="72" borderId="177" applyNumberFormat="0" applyAlignment="0" applyProtection="0"/>
    <xf numFmtId="0" fontId="2" fillId="44" borderId="0" applyNumberFormat="0" applyBorder="0" applyAlignment="0" applyProtection="0"/>
    <xf numFmtId="0" fontId="58" fillId="50" borderId="181"/>
    <xf numFmtId="4" fontId="95" fillId="49" borderId="181">
      <alignment horizontal="right" vertical="center"/>
    </xf>
    <xf numFmtId="0" fontId="95" fillId="49" borderId="181">
      <alignment horizontal="right" vertical="center"/>
    </xf>
    <xf numFmtId="0" fontId="120" fillId="72" borderId="177" applyNumberFormat="0" applyAlignment="0" applyProtection="0"/>
    <xf numFmtId="49" fontId="58" fillId="0" borderId="181" applyNumberFormat="0" applyFont="0" applyFill="0" applyBorder="0" applyProtection="0">
      <alignment horizontal="left" vertical="center" indent="2"/>
    </xf>
    <xf numFmtId="0" fontId="2" fillId="38" borderId="0" applyNumberFormat="0" applyBorder="0" applyAlignment="0" applyProtection="0"/>
    <xf numFmtId="0" fontId="108" fillId="0" borderId="179" applyNumberFormat="0" applyFill="0" applyAlignment="0" applyProtection="0"/>
    <xf numFmtId="0" fontId="2" fillId="41" borderId="0" applyNumberFormat="0" applyBorder="0" applyAlignment="0" applyProtection="0"/>
    <xf numFmtId="0" fontId="120" fillId="72" borderId="177" applyNumberFormat="0" applyAlignment="0" applyProtection="0"/>
    <xf numFmtId="4" fontId="58" fillId="50" borderId="181"/>
    <xf numFmtId="0" fontId="27" fillId="0" borderId="155" applyNumberFormat="0" applyFill="0" applyAlignment="0" applyProtection="0"/>
    <xf numFmtId="0" fontId="2" fillId="29" borderId="0" applyNumberFormat="0" applyBorder="0" applyAlignment="0" applyProtection="0"/>
    <xf numFmtId="0" fontId="93" fillId="16" borderId="183">
      <alignment horizontal="right" vertical="center"/>
    </xf>
    <xf numFmtId="0" fontId="93" fillId="16" borderId="197">
      <alignment horizontal="right" vertical="center"/>
    </xf>
    <xf numFmtId="0" fontId="101" fillId="72" borderId="177" applyNumberFormat="0" applyAlignment="0" applyProtection="0"/>
    <xf numFmtId="0" fontId="93" fillId="49" borderId="181">
      <alignment horizontal="right" vertical="center"/>
    </xf>
    <xf numFmtId="183" fontId="58" fillId="76" borderId="196" applyNumberFormat="0" applyFont="0" applyBorder="0" applyAlignment="0" applyProtection="0">
      <alignment horizontal="right" vertical="center"/>
    </xf>
    <xf numFmtId="4" fontId="93" fillId="16" borderId="197">
      <alignment horizontal="right" vertical="center"/>
    </xf>
    <xf numFmtId="4" fontId="58" fillId="0" borderId="181">
      <alignment horizontal="right" vertical="center"/>
    </xf>
    <xf numFmtId="0" fontId="58" fillId="49" borderId="190">
      <alignment horizontal="left" vertical="center"/>
    </xf>
    <xf numFmtId="49" fontId="58" fillId="0" borderId="181" applyNumberFormat="0" applyFont="0" applyFill="0" applyBorder="0" applyProtection="0">
      <alignment horizontal="left" vertical="center" indent="2"/>
    </xf>
    <xf numFmtId="0" fontId="58" fillId="16" borderId="184">
      <alignment horizontal="left" vertical="center" wrapText="1" indent="2"/>
    </xf>
    <xf numFmtId="4" fontId="93" fillId="16" borderId="181">
      <alignment horizontal="right" vertical="center"/>
    </xf>
    <xf numFmtId="0" fontId="86" fillId="0" borderId="0" applyNumberFormat="0" applyFill="0" applyBorder="0" applyAlignment="0" applyProtection="0"/>
    <xf numFmtId="4" fontId="58" fillId="50" borderId="181"/>
    <xf numFmtId="0" fontId="93" fillId="49" borderId="181">
      <alignment horizontal="right" vertical="center"/>
    </xf>
    <xf numFmtId="4" fontId="58" fillId="50" borderId="196"/>
    <xf numFmtId="0" fontId="88" fillId="30" borderId="0" applyNumberFormat="0" applyBorder="0" applyAlignment="0" applyProtection="0"/>
    <xf numFmtId="4" fontId="93" fillId="16" borderId="181">
      <alignment horizontal="right" vertical="center"/>
    </xf>
    <xf numFmtId="0" fontId="104" fillId="72" borderId="178" applyNumberFormat="0" applyAlignment="0" applyProtection="0"/>
    <xf numFmtId="0" fontId="98" fillId="75" borderId="180" applyNumberFormat="0" applyFont="0" applyAlignment="0" applyProtection="0"/>
    <xf numFmtId="0" fontId="123" fillId="0" borderId="179" applyNumberFormat="0" applyFill="0" applyAlignment="0" applyProtection="0"/>
    <xf numFmtId="0" fontId="123" fillId="0" borderId="179" applyNumberFormat="0" applyFill="0" applyAlignment="0" applyProtection="0"/>
    <xf numFmtId="4" fontId="93" fillId="16" borderId="182">
      <alignment horizontal="right" vertical="center"/>
    </xf>
    <xf numFmtId="0" fontId="88" fillId="45" borderId="0" applyNumberFormat="0" applyBorder="0" applyAlignment="0" applyProtection="0"/>
    <xf numFmtId="4" fontId="95" fillId="49" borderId="181">
      <alignment horizontal="right" vertical="center"/>
    </xf>
    <xf numFmtId="0" fontId="93" fillId="16" borderId="181">
      <alignment horizontal="right" vertical="center"/>
    </xf>
    <xf numFmtId="0" fontId="27" fillId="0" borderId="155" applyNumberFormat="0" applyFill="0" applyAlignment="0" applyProtection="0"/>
    <xf numFmtId="0" fontId="104" fillId="72" borderId="178" applyNumberFormat="0" applyAlignment="0" applyProtection="0"/>
    <xf numFmtId="4" fontId="93" fillId="16" borderId="198">
      <alignment horizontal="right" vertical="center"/>
    </xf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103" fillId="72" borderId="178" applyNumberFormat="0" applyAlignment="0" applyProtection="0"/>
    <xf numFmtId="0" fontId="93" fillId="49" borderId="181">
      <alignment horizontal="right" vertical="center"/>
    </xf>
    <xf numFmtId="0" fontId="104" fillId="72" borderId="178" applyNumberFormat="0" applyAlignment="0" applyProtection="0"/>
    <xf numFmtId="4" fontId="58" fillId="0" borderId="181" applyFill="0" applyBorder="0" applyProtection="0">
      <alignment horizontal="right" vertical="center"/>
    </xf>
    <xf numFmtId="0" fontId="58" fillId="16" borderId="184">
      <alignment horizontal="left" vertical="center" wrapText="1" indent="2"/>
    </xf>
    <xf numFmtId="4" fontId="58" fillId="50" borderId="181"/>
    <xf numFmtId="0" fontId="85" fillId="27" borderId="153" applyNumberFormat="0" applyAlignment="0" applyProtection="0"/>
    <xf numFmtId="4" fontId="93" fillId="16" borderId="183">
      <alignment horizontal="right" vertical="center"/>
    </xf>
    <xf numFmtId="0" fontId="2" fillId="41" borderId="0" applyNumberFormat="0" applyBorder="0" applyAlignment="0" applyProtection="0"/>
    <xf numFmtId="0" fontId="88" fillId="42" borderId="0" applyNumberFormat="0" applyBorder="0" applyAlignment="0" applyProtection="0"/>
    <xf numFmtId="0" fontId="107" fillId="59" borderId="178" applyNumberFormat="0" applyAlignment="0" applyProtection="0"/>
    <xf numFmtId="0" fontId="120" fillId="72" borderId="185" applyNumberFormat="0" applyAlignment="0" applyProtection="0"/>
    <xf numFmtId="49" fontId="60" fillId="0" borderId="181" applyNumberFormat="0" applyFill="0" applyBorder="0" applyProtection="0">
      <alignment horizontal="left" vertical="center"/>
    </xf>
    <xf numFmtId="183" fontId="58" fillId="76" borderId="189" applyNumberFormat="0" applyFont="0" applyBorder="0" applyAlignment="0" applyProtection="0">
      <alignment horizontal="right" vertical="center"/>
    </xf>
    <xf numFmtId="0" fontId="58" fillId="50" borderId="189"/>
    <xf numFmtId="49" fontId="58" fillId="0" borderId="190" applyNumberFormat="0" applyFont="0" applyFill="0" applyBorder="0" applyProtection="0">
      <alignment horizontal="left" vertical="center" indent="5"/>
    </xf>
    <xf numFmtId="0" fontId="58" fillId="16" borderId="184">
      <alignment horizontal="left" vertical="center" wrapText="1" indent="2"/>
    </xf>
    <xf numFmtId="0" fontId="58" fillId="16" borderId="184">
      <alignment horizontal="left" vertical="center" wrapText="1" indent="2"/>
    </xf>
    <xf numFmtId="0" fontId="104" fillId="72" borderId="178" applyNumberFormat="0" applyAlignment="0" applyProtection="0"/>
    <xf numFmtId="0" fontId="88" fillId="30" borderId="0" applyNumberFormat="0" applyBorder="0" applyAlignment="0" applyProtection="0"/>
    <xf numFmtId="0" fontId="93" fillId="16" borderId="181">
      <alignment horizontal="right" vertical="center"/>
    </xf>
    <xf numFmtId="183" fontId="58" fillId="76" borderId="181" applyNumberFormat="0" applyFont="0" applyBorder="0" applyAlignment="0" applyProtection="0">
      <alignment horizontal="right" vertical="center"/>
    </xf>
    <xf numFmtId="0" fontId="2" fillId="44" borderId="0" applyNumberFormat="0" applyBorder="0" applyAlignment="0" applyProtection="0"/>
    <xf numFmtId="0" fontId="104" fillId="72" borderId="178" applyNumberFormat="0" applyAlignment="0" applyProtection="0"/>
    <xf numFmtId="0" fontId="2" fillId="35" borderId="0" applyNumberFormat="0" applyBorder="0" applyAlignment="0" applyProtection="0"/>
    <xf numFmtId="0" fontId="104" fillId="72" borderId="178" applyNumberFormat="0" applyAlignment="0" applyProtection="0"/>
    <xf numFmtId="0" fontId="120" fillId="72" borderId="177" applyNumberFormat="0" applyAlignment="0" applyProtection="0"/>
    <xf numFmtId="0" fontId="120" fillId="72" borderId="185" applyNumberFormat="0" applyAlignment="0" applyProtection="0"/>
    <xf numFmtId="0" fontId="123" fillId="0" borderId="179" applyNumberFormat="0" applyFill="0" applyAlignment="0" applyProtection="0"/>
    <xf numFmtId="4" fontId="93" fillId="16" borderId="196">
      <alignment horizontal="right" vertical="center"/>
    </xf>
    <xf numFmtId="0" fontId="93" fillId="49" borderId="181">
      <alignment horizontal="right" vertical="center"/>
    </xf>
    <xf numFmtId="0" fontId="120" fillId="72" borderId="177" applyNumberFormat="0" applyAlignment="0" applyProtection="0"/>
    <xf numFmtId="0" fontId="2" fillId="29" borderId="0" applyNumberFormat="0" applyBorder="0" applyAlignment="0" applyProtection="0"/>
    <xf numFmtId="4" fontId="95" fillId="49" borderId="181">
      <alignment horizontal="right" vertical="center"/>
    </xf>
    <xf numFmtId="4" fontId="93" fillId="49" borderId="181">
      <alignment horizontal="right" vertical="center"/>
    </xf>
    <xf numFmtId="0" fontId="93" fillId="16" borderId="189">
      <alignment horizontal="right" vertical="center"/>
    </xf>
    <xf numFmtId="0" fontId="123" fillId="0" borderId="194" applyNumberFormat="0" applyFill="0" applyAlignment="0" applyProtection="0"/>
    <xf numFmtId="0" fontId="58" fillId="0" borderId="181" applyNumberFormat="0" applyFill="0" applyAlignment="0" applyProtection="0"/>
    <xf numFmtId="4" fontId="93" fillId="49" borderId="181">
      <alignment horizontal="right" vertical="center"/>
    </xf>
    <xf numFmtId="0" fontId="120" fillId="72" borderId="185" applyNumberFormat="0" applyAlignment="0" applyProtection="0"/>
    <xf numFmtId="0" fontId="2" fillId="37" borderId="0" applyNumberFormat="0" applyBorder="0" applyAlignment="0" applyProtection="0"/>
    <xf numFmtId="0" fontId="108" fillId="0" borderId="179" applyNumberFormat="0" applyFill="0" applyAlignment="0" applyProtection="0"/>
    <xf numFmtId="0" fontId="2" fillId="31" borderId="0" applyNumberFormat="0" applyBorder="0" applyAlignment="0" applyProtection="0"/>
    <xf numFmtId="0" fontId="93" fillId="16" borderId="190">
      <alignment horizontal="right" vertical="center"/>
    </xf>
    <xf numFmtId="0" fontId="58" fillId="0" borderId="181" applyNumberFormat="0" applyFill="0" applyAlignment="0" applyProtection="0"/>
    <xf numFmtId="0" fontId="95" fillId="49" borderId="181">
      <alignment horizontal="right" vertical="center"/>
    </xf>
    <xf numFmtId="0" fontId="98" fillId="75" borderId="180" applyNumberFormat="0" applyFont="0" applyAlignment="0" applyProtection="0"/>
    <xf numFmtId="4" fontId="93" fillId="16" borderId="181">
      <alignment horizontal="right" vertical="center"/>
    </xf>
    <xf numFmtId="0" fontId="58" fillId="0" borderId="192">
      <alignment horizontal="left" vertical="center" wrapText="1" indent="2"/>
    </xf>
    <xf numFmtId="4" fontId="93" fillId="16" borderId="181">
      <alignment horizontal="right" vertical="center"/>
    </xf>
    <xf numFmtId="0" fontId="116" fillId="59" borderId="178" applyNumberFormat="0" applyAlignment="0" applyProtection="0"/>
    <xf numFmtId="4" fontId="95" fillId="49" borderId="181">
      <alignment horizontal="right" vertical="center"/>
    </xf>
    <xf numFmtId="0" fontId="98" fillId="75" borderId="180" applyNumberFormat="0" applyFont="0" applyAlignment="0" applyProtection="0"/>
    <xf numFmtId="0" fontId="58" fillId="0" borderId="181" applyNumberFormat="0" applyFill="0" applyAlignment="0" applyProtection="0"/>
    <xf numFmtId="0" fontId="93" fillId="16" borderId="183">
      <alignment horizontal="right" vertical="center"/>
    </xf>
    <xf numFmtId="0" fontId="93" fillId="16" borderId="196">
      <alignment horizontal="right" vertical="center"/>
    </xf>
    <xf numFmtId="49" fontId="58" fillId="0" borderId="189" applyNumberFormat="0" applyFont="0" applyFill="0" applyBorder="0" applyProtection="0">
      <alignment horizontal="left" vertical="center" indent="2"/>
    </xf>
    <xf numFmtId="4" fontId="93" fillId="16" borderId="181">
      <alignment horizontal="right" vertical="center"/>
    </xf>
    <xf numFmtId="0" fontId="101" fillId="72" borderId="177" applyNumberFormat="0" applyAlignment="0" applyProtection="0"/>
    <xf numFmtId="0" fontId="58" fillId="0" borderId="189" applyNumberFormat="0" applyFill="0" applyAlignment="0" applyProtection="0"/>
    <xf numFmtId="4" fontId="58" fillId="50" borderId="181"/>
    <xf numFmtId="0" fontId="107" fillId="59" borderId="178" applyNumberFormat="0" applyAlignment="0" applyProtection="0"/>
    <xf numFmtId="0" fontId="104" fillId="72" borderId="178" applyNumberFormat="0" applyAlignment="0" applyProtection="0"/>
    <xf numFmtId="0" fontId="58" fillId="49" borderId="182">
      <alignment horizontal="left" vertical="center"/>
    </xf>
    <xf numFmtId="0" fontId="107" fillId="59" borderId="178" applyNumberFormat="0" applyAlignment="0" applyProtection="0"/>
    <xf numFmtId="0" fontId="95" fillId="49" borderId="181">
      <alignment horizontal="right" vertical="center"/>
    </xf>
    <xf numFmtId="0" fontId="93" fillId="16" borderId="181">
      <alignment horizontal="right" vertical="center"/>
    </xf>
    <xf numFmtId="0" fontId="58" fillId="49" borderId="182">
      <alignment horizontal="left" vertical="center"/>
    </xf>
    <xf numFmtId="0" fontId="36" fillId="75" borderId="180" applyNumberFormat="0" applyFont="0" applyAlignment="0" applyProtection="0"/>
    <xf numFmtId="0" fontId="88" fillId="42" borderId="0" applyNumberFormat="0" applyBorder="0" applyAlignment="0" applyProtection="0"/>
    <xf numFmtId="0" fontId="120" fillId="72" borderId="177" applyNumberFormat="0" applyAlignment="0" applyProtection="0"/>
    <xf numFmtId="0" fontId="2" fillId="41" borderId="0" applyNumberFormat="0" applyBorder="0" applyAlignment="0" applyProtection="0"/>
    <xf numFmtId="0" fontId="103" fillId="72" borderId="178" applyNumberFormat="0" applyAlignment="0" applyProtection="0"/>
    <xf numFmtId="0" fontId="116" fillId="59" borderId="178" applyNumberFormat="0" applyAlignment="0" applyProtection="0"/>
    <xf numFmtId="0" fontId="2" fillId="32" borderId="0" applyNumberFormat="0" applyBorder="0" applyAlignment="0" applyProtection="0"/>
    <xf numFmtId="0" fontId="104" fillId="72" borderId="178" applyNumberFormat="0" applyAlignment="0" applyProtection="0"/>
    <xf numFmtId="0" fontId="84" fillId="27" borderId="154" applyNumberFormat="0" applyAlignment="0" applyProtection="0"/>
    <xf numFmtId="0" fontId="2" fillId="34" borderId="0" applyNumberFormat="0" applyBorder="0" applyAlignment="0" applyProtection="0"/>
    <xf numFmtId="49" fontId="60" fillId="0" borderId="181" applyNumberFormat="0" applyFill="0" applyBorder="0" applyProtection="0">
      <alignment horizontal="left" vertical="center"/>
    </xf>
    <xf numFmtId="0" fontId="104" fillId="72" borderId="178" applyNumberFormat="0" applyAlignment="0" applyProtection="0"/>
    <xf numFmtId="0" fontId="103" fillId="72" borderId="178" applyNumberFormat="0" applyAlignment="0" applyProtection="0"/>
    <xf numFmtId="4" fontId="93" fillId="16" borderId="190">
      <alignment horizontal="right" vertical="center"/>
    </xf>
    <xf numFmtId="4" fontId="93" fillId="16" borderId="182">
      <alignment horizontal="right" vertical="center"/>
    </xf>
    <xf numFmtId="49" fontId="60" fillId="0" borderId="181" applyNumberFormat="0" applyFill="0" applyBorder="0" applyProtection="0">
      <alignment horizontal="left" vertical="center"/>
    </xf>
    <xf numFmtId="0" fontId="2" fillId="37" borderId="0" applyNumberFormat="0" applyBorder="0" applyAlignment="0" applyProtection="0"/>
    <xf numFmtId="0" fontId="58" fillId="16" borderId="199">
      <alignment horizontal="left" vertical="center" wrapText="1" indent="2"/>
    </xf>
    <xf numFmtId="0" fontId="88" fillId="45" borderId="0" applyNumberFormat="0" applyBorder="0" applyAlignment="0" applyProtection="0"/>
    <xf numFmtId="0" fontId="93" fillId="49" borderId="181">
      <alignment horizontal="right" vertical="center"/>
    </xf>
    <xf numFmtId="0" fontId="2" fillId="31" borderId="0" applyNumberFormat="0" applyBorder="0" applyAlignment="0" applyProtection="0"/>
    <xf numFmtId="0" fontId="2" fillId="44" borderId="0" applyNumberFormat="0" applyBorder="0" applyAlignment="0" applyProtection="0"/>
    <xf numFmtId="0" fontId="116" fillId="59" borderId="178" applyNumberFormat="0" applyAlignment="0" applyProtection="0"/>
    <xf numFmtId="0" fontId="123" fillId="0" borderId="187" applyNumberFormat="0" applyFill="0" applyAlignment="0" applyProtection="0"/>
    <xf numFmtId="4" fontId="93" fillId="16" borderId="191">
      <alignment horizontal="right" vertical="center"/>
    </xf>
    <xf numFmtId="4" fontId="93" fillId="16" borderId="182">
      <alignment horizontal="right" vertical="center"/>
    </xf>
    <xf numFmtId="4" fontId="93" fillId="16" borderId="189">
      <alignment horizontal="right" vertical="center"/>
    </xf>
    <xf numFmtId="0" fontId="93" fillId="16" borderId="181">
      <alignment horizontal="right" vertical="center"/>
    </xf>
    <xf numFmtId="183" fontId="58" fillId="76" borderId="181" applyNumberFormat="0" applyFont="0" applyBorder="0" applyAlignment="0" applyProtection="0">
      <alignment horizontal="right" vertical="center"/>
    </xf>
    <xf numFmtId="0" fontId="107" fillId="59" borderId="178" applyNumberFormat="0" applyAlignment="0" applyProtection="0"/>
    <xf numFmtId="0" fontId="2" fillId="29" borderId="0" applyNumberFormat="0" applyBorder="0" applyAlignment="0" applyProtection="0"/>
    <xf numFmtId="0" fontId="108" fillId="0" borderId="179" applyNumberFormat="0" applyFill="0" applyAlignment="0" applyProtection="0"/>
    <xf numFmtId="0" fontId="123" fillId="0" borderId="179" applyNumberFormat="0" applyFill="0" applyAlignment="0" applyProtection="0"/>
    <xf numFmtId="0" fontId="58" fillId="0" borderId="181" applyNumberFormat="0" applyFill="0" applyAlignment="0" applyProtection="0"/>
    <xf numFmtId="0" fontId="58" fillId="0" borderId="181">
      <alignment horizontal="right" vertical="center"/>
    </xf>
    <xf numFmtId="0" fontId="2" fillId="28" borderId="0" applyNumberFormat="0" applyBorder="0" applyAlignment="0" applyProtection="0"/>
    <xf numFmtId="183" fontId="58" fillId="76" borderId="181" applyNumberFormat="0" applyFont="0" applyBorder="0" applyAlignment="0" applyProtection="0">
      <alignment horizontal="right" vertical="center"/>
    </xf>
    <xf numFmtId="0" fontId="87" fillId="0" borderId="0" applyNumberFormat="0" applyFill="0" applyBorder="0" applyAlignment="0" applyProtection="0"/>
    <xf numFmtId="0" fontId="58" fillId="0" borderId="199">
      <alignment horizontal="left" vertical="center" wrapText="1" indent="2"/>
    </xf>
    <xf numFmtId="0" fontId="93" fillId="16" borderId="191">
      <alignment horizontal="right" vertical="center"/>
    </xf>
    <xf numFmtId="0" fontId="116" fillId="59" borderId="193" applyNumberFormat="0" applyAlignment="0" applyProtection="0"/>
    <xf numFmtId="0" fontId="88" fillId="33" borderId="0" applyNumberFormat="0" applyBorder="0" applyAlignment="0" applyProtection="0"/>
    <xf numFmtId="4" fontId="93" fillId="16" borderId="189">
      <alignment horizontal="right" vertical="center"/>
    </xf>
    <xf numFmtId="0" fontId="88" fillId="36" borderId="0" applyNumberFormat="0" applyBorder="0" applyAlignment="0" applyProtection="0"/>
    <xf numFmtId="0" fontId="108" fillId="0" borderId="179" applyNumberFormat="0" applyFill="0" applyAlignment="0" applyProtection="0"/>
    <xf numFmtId="4" fontId="93" fillId="16" borderId="183">
      <alignment horizontal="right" vertical="center"/>
    </xf>
    <xf numFmtId="0" fontId="58" fillId="0" borderId="181">
      <alignment horizontal="right" vertical="center"/>
    </xf>
    <xf numFmtId="0" fontId="98" fillId="75" borderId="180" applyNumberFormat="0" applyFont="0" applyAlignment="0" applyProtection="0"/>
    <xf numFmtId="0" fontId="58" fillId="0" borderId="189">
      <alignment horizontal="right" vertical="center"/>
    </xf>
    <xf numFmtId="0" fontId="2" fillId="40" borderId="0" applyNumberFormat="0" applyBorder="0" applyAlignment="0" applyProtection="0"/>
    <xf numFmtId="0" fontId="27" fillId="0" borderId="155" applyNumberFormat="0" applyFill="0" applyAlignment="0" applyProtection="0"/>
    <xf numFmtId="0" fontId="98" fillId="75" borderId="180" applyNumberFormat="0" applyFont="0" applyAlignment="0" applyProtection="0"/>
    <xf numFmtId="0" fontId="2" fillId="28" borderId="0" applyNumberFormat="0" applyBorder="0" applyAlignment="0" applyProtection="0"/>
    <xf numFmtId="0" fontId="88" fillId="33" borderId="0" applyNumberFormat="0" applyBorder="0" applyAlignment="0" applyProtection="0"/>
    <xf numFmtId="0" fontId="123" fillId="0" borderId="187" applyNumberFormat="0" applyFill="0" applyAlignment="0" applyProtection="0"/>
    <xf numFmtId="0" fontId="58" fillId="0" borderId="181" applyNumberFormat="0" applyFill="0" applyAlignment="0" applyProtection="0"/>
    <xf numFmtId="0" fontId="2" fillId="32" borderId="0" applyNumberFormat="0" applyBorder="0" applyAlignment="0" applyProtection="0"/>
    <xf numFmtId="0" fontId="58" fillId="0" borderId="192">
      <alignment horizontal="left" vertical="center" wrapText="1" indent="2"/>
    </xf>
    <xf numFmtId="0" fontId="93" fillId="16" borderId="189">
      <alignment horizontal="right" vertical="center"/>
    </xf>
    <xf numFmtId="4" fontId="58" fillId="0" borderId="181" applyFill="0" applyBorder="0" applyProtection="0">
      <alignment horizontal="right" vertical="center"/>
    </xf>
    <xf numFmtId="0" fontId="93" fillId="49" borderId="189">
      <alignment horizontal="right" vertical="center"/>
    </xf>
    <xf numFmtId="0" fontId="88" fillId="39" borderId="0" applyNumberFormat="0" applyBorder="0" applyAlignment="0" applyProtection="0"/>
    <xf numFmtId="0" fontId="2" fillId="40" borderId="0" applyNumberFormat="0" applyBorder="0" applyAlignment="0" applyProtection="0"/>
    <xf numFmtId="0" fontId="58" fillId="16" borderId="192">
      <alignment horizontal="left" vertical="center" wrapText="1" indent="2"/>
    </xf>
    <xf numFmtId="0" fontId="95" fillId="49" borderId="181">
      <alignment horizontal="right" vertical="center"/>
    </xf>
    <xf numFmtId="0" fontId="107" fillId="59" borderId="178" applyNumberFormat="0" applyAlignment="0" applyProtection="0"/>
    <xf numFmtId="183" fontId="58" fillId="76" borderId="181" applyNumberFormat="0" applyFont="0" applyBorder="0" applyAlignment="0" applyProtection="0">
      <alignment horizontal="right" vertical="center"/>
    </xf>
    <xf numFmtId="0" fontId="107" fillId="59" borderId="178" applyNumberFormat="0" applyAlignment="0" applyProtection="0"/>
    <xf numFmtId="4" fontId="58" fillId="0" borderId="181">
      <alignment horizontal="right" vertical="center"/>
    </xf>
    <xf numFmtId="49" fontId="58" fillId="0" borderId="181" applyNumberFormat="0" applyFont="0" applyFill="0" applyBorder="0" applyProtection="0">
      <alignment horizontal="left" vertical="center" indent="2"/>
    </xf>
    <xf numFmtId="183" fontId="58" fillId="76" borderId="181" applyNumberFormat="0" applyFont="0" applyBorder="0" applyAlignment="0" applyProtection="0">
      <alignment horizontal="right" vertical="center"/>
    </xf>
    <xf numFmtId="0" fontId="116" fillId="59" borderId="193" applyNumberFormat="0" applyAlignment="0" applyProtection="0"/>
    <xf numFmtId="49" fontId="60" fillId="0" borderId="181" applyNumberFormat="0" applyFill="0" applyBorder="0" applyProtection="0">
      <alignment horizontal="left" vertical="center"/>
    </xf>
    <xf numFmtId="4" fontId="93" fillId="16" borderId="181">
      <alignment horizontal="right" vertical="center"/>
    </xf>
    <xf numFmtId="4" fontId="58" fillId="0" borderId="196">
      <alignment horizontal="right" vertical="center"/>
    </xf>
    <xf numFmtId="0" fontId="107" fillId="59" borderId="178" applyNumberFormat="0" applyAlignment="0" applyProtection="0"/>
    <xf numFmtId="0" fontId="104" fillId="72" borderId="178" applyNumberFormat="0" applyAlignment="0" applyProtection="0"/>
    <xf numFmtId="4" fontId="58" fillId="0" borderId="181">
      <alignment horizontal="right" vertical="center"/>
    </xf>
    <xf numFmtId="0" fontId="58" fillId="16" borderId="184">
      <alignment horizontal="left" vertical="center" wrapText="1" indent="2"/>
    </xf>
    <xf numFmtId="0" fontId="58" fillId="0" borderId="184">
      <alignment horizontal="left" vertical="center" wrapText="1" indent="2"/>
    </xf>
    <xf numFmtId="0" fontId="120" fillId="72" borderId="177" applyNumberFormat="0" applyAlignment="0" applyProtection="0"/>
    <xf numFmtId="0" fontId="116" fillId="59" borderId="178" applyNumberFormat="0" applyAlignment="0" applyProtection="0"/>
    <xf numFmtId="0" fontId="103" fillId="72" borderId="178" applyNumberFormat="0" applyAlignment="0" applyProtection="0"/>
    <xf numFmtId="0" fontId="101" fillId="72" borderId="177" applyNumberFormat="0" applyAlignment="0" applyProtection="0"/>
    <xf numFmtId="0" fontId="93" fillId="16" borderId="183">
      <alignment horizontal="right" vertical="center"/>
    </xf>
    <xf numFmtId="0" fontId="95" fillId="49" borderId="181">
      <alignment horizontal="right" vertical="center"/>
    </xf>
    <xf numFmtId="4" fontId="93" fillId="49" borderId="181">
      <alignment horizontal="right" vertical="center"/>
    </xf>
    <xf numFmtId="4" fontId="93" fillId="16" borderId="181">
      <alignment horizontal="right" vertical="center"/>
    </xf>
    <xf numFmtId="49" fontId="58" fillId="0" borderId="182" applyNumberFormat="0" applyFont="0" applyFill="0" applyBorder="0" applyProtection="0">
      <alignment horizontal="left" vertical="center" indent="5"/>
    </xf>
    <xf numFmtId="4" fontId="58" fillId="0" borderId="181" applyFill="0" applyBorder="0" applyProtection="0">
      <alignment horizontal="right" vertical="center"/>
    </xf>
    <xf numFmtId="4" fontId="93" fillId="49" borderId="181">
      <alignment horizontal="right" vertical="center"/>
    </xf>
    <xf numFmtId="0" fontId="116" fillId="59" borderId="178" applyNumberFormat="0" applyAlignment="0" applyProtection="0"/>
    <xf numFmtId="0" fontId="107" fillId="59" borderId="178" applyNumberFormat="0" applyAlignment="0" applyProtection="0"/>
    <xf numFmtId="0" fontId="103" fillId="72" borderId="178" applyNumberFormat="0" applyAlignment="0" applyProtection="0"/>
    <xf numFmtId="0" fontId="58" fillId="16" borderId="184">
      <alignment horizontal="left" vertical="center" wrapText="1" indent="2"/>
    </xf>
    <xf numFmtId="0" fontId="58" fillId="0" borderId="184">
      <alignment horizontal="left" vertical="center" wrapText="1" indent="2"/>
    </xf>
    <xf numFmtId="0" fontId="58" fillId="16" borderId="184">
      <alignment horizontal="left" vertical="center" wrapText="1" indent="2"/>
    </xf>
    <xf numFmtId="0" fontId="2" fillId="31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88" fillId="33" borderId="0" applyNumberFormat="0" applyBorder="0" applyAlignment="0" applyProtection="0"/>
    <xf numFmtId="0" fontId="27" fillId="0" borderId="155" applyNumberFormat="0" applyFill="0" applyAlignment="0" applyProtection="0"/>
    <xf numFmtId="0" fontId="93" fillId="16" borderId="196">
      <alignment horizontal="right" vertical="center"/>
    </xf>
    <xf numFmtId="0" fontId="93" fillId="49" borderId="196">
      <alignment horizontal="right" vertical="center"/>
    </xf>
    <xf numFmtId="4" fontId="93" fillId="16" borderId="189">
      <alignment horizontal="right" vertical="center"/>
    </xf>
    <xf numFmtId="0" fontId="58" fillId="50" borderId="189"/>
    <xf numFmtId="0" fontId="103" fillId="72" borderId="186" applyNumberFormat="0" applyAlignment="0" applyProtection="0"/>
    <xf numFmtId="0" fontId="93" fillId="49" borderId="189">
      <alignment horizontal="right" vertical="center"/>
    </xf>
    <xf numFmtId="0" fontId="58" fillId="0" borderId="189">
      <alignment horizontal="right" vertical="center"/>
    </xf>
    <xf numFmtId="0" fontId="123" fillId="0" borderId="187" applyNumberFormat="0" applyFill="0" applyAlignment="0" applyProtection="0"/>
    <xf numFmtId="0" fontId="58" fillId="49" borderId="190">
      <alignment horizontal="left" vertical="center"/>
    </xf>
    <xf numFmtId="0" fontId="116" fillId="59" borderId="186" applyNumberFormat="0" applyAlignment="0" applyProtection="0"/>
    <xf numFmtId="183" fontId="58" fillId="76" borderId="189" applyNumberFormat="0" applyFont="0" applyBorder="0" applyAlignment="0" applyProtection="0">
      <alignment horizontal="right" vertical="center"/>
    </xf>
    <xf numFmtId="0" fontId="98" fillId="75" borderId="188" applyNumberFormat="0" applyFont="0" applyAlignment="0" applyProtection="0"/>
    <xf numFmtId="0" fontId="58" fillId="0" borderId="192">
      <alignment horizontal="left" vertical="center" wrapText="1" indent="2"/>
    </xf>
    <xf numFmtId="4" fontId="58" fillId="50" borderId="189"/>
    <xf numFmtId="49" fontId="60" fillId="0" borderId="189" applyNumberFormat="0" applyFill="0" applyBorder="0" applyProtection="0">
      <alignment horizontal="left" vertical="center"/>
    </xf>
    <xf numFmtId="0" fontId="58" fillId="0" borderId="189">
      <alignment horizontal="right" vertical="center"/>
    </xf>
    <xf numFmtId="4" fontId="93" fillId="16" borderId="191">
      <alignment horizontal="right" vertical="center"/>
    </xf>
    <xf numFmtId="4" fontId="93" fillId="16" borderId="189">
      <alignment horizontal="right" vertical="center"/>
    </xf>
    <xf numFmtId="4" fontId="93" fillId="16" borderId="189">
      <alignment horizontal="right" vertical="center"/>
    </xf>
    <xf numFmtId="0" fontId="95" fillId="49" borderId="189">
      <alignment horizontal="right" vertical="center"/>
    </xf>
    <xf numFmtId="0" fontId="93" fillId="49" borderId="189">
      <alignment horizontal="right" vertical="center"/>
    </xf>
    <xf numFmtId="49" fontId="58" fillId="0" borderId="189" applyNumberFormat="0" applyFont="0" applyFill="0" applyBorder="0" applyProtection="0">
      <alignment horizontal="left" vertical="center" indent="2"/>
    </xf>
    <xf numFmtId="0" fontId="116" fillId="59" borderId="186" applyNumberFormat="0" applyAlignment="0" applyProtection="0"/>
    <xf numFmtId="0" fontId="101" fillId="72" borderId="185" applyNumberFormat="0" applyAlignment="0" applyProtection="0"/>
    <xf numFmtId="49" fontId="58" fillId="0" borderId="189" applyNumberFormat="0" applyFont="0" applyFill="0" applyBorder="0" applyProtection="0">
      <alignment horizontal="left" vertical="center" indent="2"/>
    </xf>
    <xf numFmtId="0" fontId="107" fillId="59" borderId="186" applyNumberFormat="0" applyAlignment="0" applyProtection="0"/>
    <xf numFmtId="4" fontId="58" fillId="0" borderId="189" applyFill="0" applyBorder="0" applyProtection="0">
      <alignment horizontal="right" vertical="center"/>
    </xf>
    <xf numFmtId="0" fontId="104" fillId="72" borderId="186" applyNumberFormat="0" applyAlignment="0" applyProtection="0"/>
    <xf numFmtId="0" fontId="123" fillId="0" borderId="187" applyNumberFormat="0" applyFill="0" applyAlignment="0" applyProtection="0"/>
    <xf numFmtId="0" fontId="120" fillId="72" borderId="185" applyNumberFormat="0" applyAlignment="0" applyProtection="0"/>
    <xf numFmtId="0" fontId="58" fillId="0" borderId="189" applyNumberFormat="0" applyFill="0" applyAlignment="0" applyProtection="0"/>
    <xf numFmtId="4" fontId="58" fillId="0" borderId="189">
      <alignment horizontal="right" vertical="center"/>
    </xf>
    <xf numFmtId="0" fontId="58" fillId="0" borderId="189">
      <alignment horizontal="right" vertical="center"/>
    </xf>
    <xf numFmtId="0" fontId="116" fillId="59" borderId="186" applyNumberFormat="0" applyAlignment="0" applyProtection="0"/>
    <xf numFmtId="0" fontId="101" fillId="72" borderId="185" applyNumberFormat="0" applyAlignment="0" applyProtection="0"/>
    <xf numFmtId="0" fontId="103" fillId="72" borderId="186" applyNumberFormat="0" applyAlignment="0" applyProtection="0"/>
    <xf numFmtId="0" fontId="58" fillId="16" borderId="192">
      <alignment horizontal="left" vertical="center" wrapText="1" indent="2"/>
    </xf>
    <xf numFmtId="0" fontId="104" fillId="72" borderId="186" applyNumberFormat="0" applyAlignment="0" applyProtection="0"/>
    <xf numFmtId="0" fontId="104" fillId="72" borderId="186" applyNumberFormat="0" applyAlignment="0" applyProtection="0"/>
    <xf numFmtId="4" fontId="93" fillId="16" borderId="190">
      <alignment horizontal="right" vertical="center"/>
    </xf>
    <xf numFmtId="0" fontId="93" fillId="16" borderId="190">
      <alignment horizontal="right" vertical="center"/>
    </xf>
    <xf numFmtId="0" fontId="93" fillId="16" borderId="189">
      <alignment horizontal="right" vertical="center"/>
    </xf>
    <xf numFmtId="4" fontId="95" fillId="49" borderId="189">
      <alignment horizontal="right" vertical="center"/>
    </xf>
    <xf numFmtId="0" fontId="107" fillId="59" borderId="186" applyNumberFormat="0" applyAlignment="0" applyProtection="0"/>
    <xf numFmtId="0" fontId="108" fillId="0" borderId="187" applyNumberFormat="0" applyFill="0" applyAlignment="0" applyProtection="0"/>
    <xf numFmtId="0" fontId="123" fillId="0" borderId="187" applyNumberFormat="0" applyFill="0" applyAlignment="0" applyProtection="0"/>
    <xf numFmtId="0" fontId="98" fillId="75" borderId="188" applyNumberFormat="0" applyFont="0" applyAlignment="0" applyProtection="0"/>
    <xf numFmtId="0" fontId="116" fillId="59" borderId="186" applyNumberFormat="0" applyAlignment="0" applyProtection="0"/>
    <xf numFmtId="49" fontId="60" fillId="0" borderId="189" applyNumberFormat="0" applyFill="0" applyBorder="0" applyProtection="0">
      <alignment horizontal="left" vertical="center"/>
    </xf>
    <xf numFmtId="0" fontId="58" fillId="16" borderId="192">
      <alignment horizontal="left" vertical="center" wrapText="1" indent="2"/>
    </xf>
    <xf numFmtId="0" fontId="104" fillId="72" borderId="186" applyNumberFormat="0" applyAlignment="0" applyProtection="0"/>
    <xf numFmtId="0" fontId="58" fillId="0" borderId="192">
      <alignment horizontal="left" vertical="center" wrapText="1" indent="2"/>
    </xf>
    <xf numFmtId="0" fontId="98" fillId="75" borderId="188" applyNumberFormat="0" applyFont="0" applyAlignment="0" applyProtection="0"/>
    <xf numFmtId="0" fontId="36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4" fontId="58" fillId="50" borderId="189"/>
    <xf numFmtId="0" fontId="93" fillId="16" borderId="189">
      <alignment horizontal="right" vertical="center"/>
    </xf>
    <xf numFmtId="0" fontId="123" fillId="0" borderId="187" applyNumberFormat="0" applyFill="0" applyAlignment="0" applyProtection="0"/>
    <xf numFmtId="4" fontId="93" fillId="16" borderId="191">
      <alignment horizontal="right" vertical="center"/>
    </xf>
    <xf numFmtId="0" fontId="103" fillId="72" borderId="186" applyNumberFormat="0" applyAlignment="0" applyProtection="0"/>
    <xf numFmtId="0" fontId="93" fillId="16" borderId="190">
      <alignment horizontal="right" vertical="center"/>
    </xf>
    <xf numFmtId="0" fontId="104" fillId="72" borderId="186" applyNumberFormat="0" applyAlignment="0" applyProtection="0"/>
    <xf numFmtId="0" fontId="108" fillId="0" borderId="187" applyNumberFormat="0" applyFill="0" applyAlignment="0" applyProtection="0"/>
    <xf numFmtId="0" fontId="98" fillId="75" borderId="188" applyNumberFormat="0" applyFont="0" applyAlignment="0" applyProtection="0"/>
    <xf numFmtId="4" fontId="93" fillId="16" borderId="190">
      <alignment horizontal="right" vertical="center"/>
    </xf>
    <xf numFmtId="0" fontId="58" fillId="16" borderId="192">
      <alignment horizontal="left" vertical="center" wrapText="1" indent="2"/>
    </xf>
    <xf numFmtId="0" fontId="58" fillId="50" borderId="189"/>
    <xf numFmtId="183" fontId="58" fillId="76" borderId="189" applyNumberFormat="0" applyFont="0" applyBorder="0" applyAlignment="0" applyProtection="0">
      <alignment horizontal="right" vertical="center"/>
    </xf>
    <xf numFmtId="0" fontId="58" fillId="0" borderId="189" applyNumberFormat="0" applyFill="0" applyAlignment="0" applyProtection="0"/>
    <xf numFmtId="4" fontId="58" fillId="0" borderId="189" applyFill="0" applyBorder="0" applyProtection="0">
      <alignment horizontal="right" vertical="center"/>
    </xf>
    <xf numFmtId="4" fontId="93" fillId="49" borderId="189">
      <alignment horizontal="right" vertical="center"/>
    </xf>
    <xf numFmtId="0" fontId="108" fillId="0" borderId="187" applyNumberFormat="0" applyFill="0" applyAlignment="0" applyProtection="0"/>
    <xf numFmtId="49" fontId="60" fillId="0" borderId="189" applyNumberFormat="0" applyFill="0" applyBorder="0" applyProtection="0">
      <alignment horizontal="left" vertical="center"/>
    </xf>
    <xf numFmtId="49" fontId="58" fillId="0" borderId="190" applyNumberFormat="0" applyFont="0" applyFill="0" applyBorder="0" applyProtection="0">
      <alignment horizontal="left" vertical="center" indent="5"/>
    </xf>
    <xf numFmtId="0" fontId="58" fillId="49" borderId="190">
      <alignment horizontal="left" vertical="center"/>
    </xf>
    <xf numFmtId="0" fontId="104" fillId="72" borderId="186" applyNumberFormat="0" applyAlignment="0" applyProtection="0"/>
    <xf numFmtId="4" fontId="93" fillId="16" borderId="191">
      <alignment horizontal="right" vertical="center"/>
    </xf>
    <xf numFmtId="0" fontId="116" fillId="59" borderId="186" applyNumberFormat="0" applyAlignment="0" applyProtection="0"/>
    <xf numFmtId="0" fontId="116" fillId="59" borderId="186" applyNumberFormat="0" applyAlignment="0" applyProtection="0"/>
    <xf numFmtId="0" fontId="98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0" fontId="93" fillId="16" borderId="189">
      <alignment horizontal="right" vertical="center"/>
    </xf>
    <xf numFmtId="0" fontId="36" fillId="75" borderId="188" applyNumberFormat="0" applyFont="0" applyAlignment="0" applyProtection="0"/>
    <xf numFmtId="4" fontId="58" fillId="0" borderId="189">
      <alignment horizontal="right" vertical="center"/>
    </xf>
    <xf numFmtId="0" fontId="123" fillId="0" borderId="187" applyNumberFormat="0" applyFill="0" applyAlignment="0" applyProtection="0"/>
    <xf numFmtId="0" fontId="93" fillId="16" borderId="189">
      <alignment horizontal="right" vertical="center"/>
    </xf>
    <xf numFmtId="0" fontId="93" fillId="16" borderId="189">
      <alignment horizontal="right" vertical="center"/>
    </xf>
    <xf numFmtId="4" fontId="95" fillId="49" borderId="189">
      <alignment horizontal="right" vertical="center"/>
    </xf>
    <xf numFmtId="0" fontId="93" fillId="49" borderId="189">
      <alignment horizontal="right" vertical="center"/>
    </xf>
    <xf numFmtId="4" fontId="93" fillId="49" borderId="189">
      <alignment horizontal="right" vertical="center"/>
    </xf>
    <xf numFmtId="0" fontId="95" fillId="49" borderId="189">
      <alignment horizontal="right" vertical="center"/>
    </xf>
    <xf numFmtId="4" fontId="95" fillId="49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93" fillId="16" borderId="190">
      <alignment horizontal="right" vertical="center"/>
    </xf>
    <xf numFmtId="4" fontId="93" fillId="16" borderId="190">
      <alignment horizontal="right" vertical="center"/>
    </xf>
    <xf numFmtId="0" fontId="93" fillId="16" borderId="191">
      <alignment horizontal="right" vertical="center"/>
    </xf>
    <xf numFmtId="4" fontId="93" fillId="16" borderId="191">
      <alignment horizontal="right" vertical="center"/>
    </xf>
    <xf numFmtId="0" fontId="104" fillId="72" borderId="186" applyNumberFormat="0" applyAlignment="0" applyProtection="0"/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58" fillId="49" borderId="190">
      <alignment horizontal="left" vertical="center"/>
    </xf>
    <xf numFmtId="0" fontId="116" fillId="59" borderId="186" applyNumberFormat="0" applyAlignment="0" applyProtection="0"/>
    <xf numFmtId="0" fontId="58" fillId="0" borderId="189">
      <alignment horizontal="right" vertical="center"/>
    </xf>
    <xf numFmtId="4" fontId="58" fillId="0" borderId="189">
      <alignment horizontal="right" vertical="center"/>
    </xf>
    <xf numFmtId="0" fontId="58" fillId="0" borderId="189" applyNumberFormat="0" applyFill="0" applyAlignment="0" applyProtection="0"/>
    <xf numFmtId="0" fontId="120" fillId="72" borderId="185" applyNumberFormat="0" applyAlignment="0" applyProtection="0"/>
    <xf numFmtId="183" fontId="58" fillId="76" borderId="189" applyNumberFormat="0" applyFont="0" applyBorder="0" applyAlignment="0" applyProtection="0">
      <alignment horizontal="right" vertical="center"/>
    </xf>
    <xf numFmtId="0" fontId="58" fillId="50" borderId="189"/>
    <xf numFmtId="4" fontId="58" fillId="50" borderId="189"/>
    <xf numFmtId="0" fontId="123" fillId="0" borderId="187" applyNumberFormat="0" applyFill="0" applyAlignment="0" applyProtection="0"/>
    <xf numFmtId="0" fontId="36" fillId="75" borderId="188" applyNumberFormat="0" applyFont="0" applyAlignment="0" applyProtection="0"/>
    <xf numFmtId="0" fontId="98" fillId="75" borderId="188" applyNumberFormat="0" applyFont="0" applyAlignment="0" applyProtection="0"/>
    <xf numFmtId="0" fontId="58" fillId="0" borderId="189" applyNumberFormat="0" applyFill="0" applyAlignment="0" applyProtection="0"/>
    <xf numFmtId="0" fontId="108" fillId="0" borderId="187" applyNumberFormat="0" applyFill="0" applyAlignment="0" applyProtection="0"/>
    <xf numFmtId="0" fontId="123" fillId="0" borderId="187" applyNumberFormat="0" applyFill="0" applyAlignment="0" applyProtection="0"/>
    <xf numFmtId="0" fontId="107" fillId="59" borderId="186" applyNumberFormat="0" applyAlignment="0" applyProtection="0"/>
    <xf numFmtId="0" fontId="104" fillId="72" borderId="186" applyNumberFormat="0" applyAlignment="0" applyProtection="0"/>
    <xf numFmtId="4" fontId="95" fillId="49" borderId="189">
      <alignment horizontal="right" vertical="center"/>
    </xf>
    <xf numFmtId="0" fontId="93" fillId="49" borderId="189">
      <alignment horizontal="right" vertical="center"/>
    </xf>
    <xf numFmtId="183" fontId="58" fillId="76" borderId="189" applyNumberFormat="0" applyFont="0" applyBorder="0" applyAlignment="0" applyProtection="0">
      <alignment horizontal="right" vertical="center"/>
    </xf>
    <xf numFmtId="0" fontId="108" fillId="0" borderId="187" applyNumberFormat="0" applyFill="0" applyAlignment="0" applyProtection="0"/>
    <xf numFmtId="49" fontId="58" fillId="0" borderId="189" applyNumberFormat="0" applyFont="0" applyFill="0" applyBorder="0" applyProtection="0">
      <alignment horizontal="left" vertical="center" indent="2"/>
    </xf>
    <xf numFmtId="49" fontId="58" fillId="0" borderId="190" applyNumberFormat="0" applyFont="0" applyFill="0" applyBorder="0" applyProtection="0">
      <alignment horizontal="left" vertical="center" indent="5"/>
    </xf>
    <xf numFmtId="49" fontId="58" fillId="0" borderId="189" applyNumberFormat="0" applyFont="0" applyFill="0" applyBorder="0" applyProtection="0">
      <alignment horizontal="left" vertical="center" indent="2"/>
    </xf>
    <xf numFmtId="4" fontId="58" fillId="0" borderId="189" applyFill="0" applyBorder="0" applyProtection="0">
      <alignment horizontal="right" vertical="center"/>
    </xf>
    <xf numFmtId="49" fontId="60" fillId="0" borderId="189" applyNumberFormat="0" applyFill="0" applyBorder="0" applyProtection="0">
      <alignment horizontal="left" vertical="center"/>
    </xf>
    <xf numFmtId="0" fontId="58" fillId="0" borderId="192">
      <alignment horizontal="left" vertical="center" wrapText="1" indent="2"/>
    </xf>
    <xf numFmtId="0" fontId="120" fillId="72" borderId="185" applyNumberFormat="0" applyAlignment="0" applyProtection="0"/>
    <xf numFmtId="0" fontId="93" fillId="16" borderId="191">
      <alignment horizontal="right" vertical="center"/>
    </xf>
    <xf numFmtId="0" fontId="107" fillId="59" borderId="186" applyNumberFormat="0" applyAlignment="0" applyProtection="0"/>
    <xf numFmtId="0" fontId="93" fillId="16" borderId="191">
      <alignment horizontal="right" vertical="center"/>
    </xf>
    <xf numFmtId="4" fontId="93" fillId="16" borderId="189">
      <alignment horizontal="right" vertical="center"/>
    </xf>
    <xf numFmtId="0" fontId="93" fillId="16" borderId="189">
      <alignment horizontal="right" vertical="center"/>
    </xf>
    <xf numFmtId="0" fontId="101" fillId="72" borderId="185" applyNumberFormat="0" applyAlignment="0" applyProtection="0"/>
    <xf numFmtId="0" fontId="103" fillId="72" borderId="186" applyNumberFormat="0" applyAlignment="0" applyProtection="0"/>
    <xf numFmtId="0" fontId="108" fillId="0" borderId="187" applyNumberFormat="0" applyFill="0" applyAlignment="0" applyProtection="0"/>
    <xf numFmtId="0" fontId="58" fillId="50" borderId="189"/>
    <xf numFmtId="4" fontId="58" fillId="50" borderId="189"/>
    <xf numFmtId="4" fontId="93" fillId="16" borderId="189">
      <alignment horizontal="right" vertical="center"/>
    </xf>
    <xf numFmtId="0" fontId="95" fillId="49" borderId="189">
      <alignment horizontal="right" vertical="center"/>
    </xf>
    <xf numFmtId="0" fontId="107" fillId="59" borderId="186" applyNumberFormat="0" applyAlignment="0" applyProtection="0"/>
    <xf numFmtId="0" fontId="104" fillId="72" borderId="186" applyNumberFormat="0" applyAlignment="0" applyProtection="0"/>
    <xf numFmtId="4" fontId="58" fillId="0" borderId="189">
      <alignment horizontal="right" vertical="center"/>
    </xf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120" fillId="72" borderId="185" applyNumberFormat="0" applyAlignment="0" applyProtection="0"/>
    <xf numFmtId="0" fontId="116" fillId="59" borderId="186" applyNumberFormat="0" applyAlignment="0" applyProtection="0"/>
    <xf numFmtId="0" fontId="103" fillId="72" borderId="186" applyNumberFormat="0" applyAlignment="0" applyProtection="0"/>
    <xf numFmtId="0" fontId="101" fillId="72" borderId="185" applyNumberFormat="0" applyAlignment="0" applyProtection="0"/>
    <xf numFmtId="0" fontId="93" fillId="16" borderId="191">
      <alignment horizontal="right" vertical="center"/>
    </xf>
    <xf numFmtId="0" fontId="95" fillId="49" borderId="189">
      <alignment horizontal="right" vertical="center"/>
    </xf>
    <xf numFmtId="4" fontId="93" fillId="49" borderId="189">
      <alignment horizontal="right" vertical="center"/>
    </xf>
    <xf numFmtId="4" fontId="93" fillId="16" borderId="189">
      <alignment horizontal="right" vertical="center"/>
    </xf>
    <xf numFmtId="49" fontId="58" fillId="0" borderId="190" applyNumberFormat="0" applyFont="0" applyFill="0" applyBorder="0" applyProtection="0">
      <alignment horizontal="left" vertical="center" indent="5"/>
    </xf>
    <xf numFmtId="4" fontId="58" fillId="0" borderId="189" applyFill="0" applyBorder="0" applyProtection="0">
      <alignment horizontal="right" vertical="center"/>
    </xf>
    <xf numFmtId="4" fontId="93" fillId="49" borderId="189">
      <alignment horizontal="right" vertical="center"/>
    </xf>
    <xf numFmtId="0" fontId="116" fillId="59" borderId="186" applyNumberFormat="0" applyAlignment="0" applyProtection="0"/>
    <xf numFmtId="0" fontId="107" fillId="59" borderId="186" applyNumberFormat="0" applyAlignment="0" applyProtection="0"/>
    <xf numFmtId="0" fontId="103" fillId="72" borderId="186" applyNumberFormat="0" applyAlignment="0" applyProtection="0"/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101" fillId="72" borderId="185" applyNumberFormat="0" applyAlignment="0" applyProtection="0"/>
    <xf numFmtId="0" fontId="103" fillId="72" borderId="186" applyNumberFormat="0" applyAlignment="0" applyProtection="0"/>
    <xf numFmtId="0" fontId="104" fillId="72" borderId="186" applyNumberFormat="0" applyAlignment="0" applyProtection="0"/>
    <xf numFmtId="0" fontId="107" fillId="59" borderId="186" applyNumberFormat="0" applyAlignment="0" applyProtection="0"/>
    <xf numFmtId="0" fontId="108" fillId="0" borderId="187" applyNumberFormat="0" applyFill="0" applyAlignment="0" applyProtection="0"/>
    <xf numFmtId="0" fontId="116" fillId="59" borderId="186" applyNumberFormat="0" applyAlignment="0" applyProtection="0"/>
    <xf numFmtId="0" fontId="98" fillId="75" borderId="188" applyNumberFormat="0" applyFont="0" applyAlignment="0" applyProtection="0"/>
    <xf numFmtId="0" fontId="36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0" fontId="104" fillId="72" borderId="186" applyNumberFormat="0" applyAlignment="0" applyProtection="0"/>
    <xf numFmtId="0" fontId="116" fillId="59" borderId="186" applyNumberFormat="0" applyAlignment="0" applyProtection="0"/>
    <xf numFmtId="0" fontId="98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0" fontId="104" fillId="72" borderId="186" applyNumberFormat="0" applyAlignment="0" applyProtection="0"/>
    <xf numFmtId="4" fontId="95" fillId="49" borderId="196">
      <alignment horizontal="right" vertical="center"/>
    </xf>
    <xf numFmtId="0" fontId="116" fillId="59" borderId="186" applyNumberForma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0" fontId="101" fillId="72" borderId="185" applyNumberFormat="0" applyAlignment="0" applyProtection="0"/>
    <xf numFmtId="0" fontId="103" fillId="72" borderId="186" applyNumberFormat="0" applyAlignment="0" applyProtection="0"/>
    <xf numFmtId="0" fontId="108" fillId="0" borderId="187" applyNumberFormat="0" applyFill="0" applyAlignment="0" applyProtection="0"/>
    <xf numFmtId="49" fontId="58" fillId="0" borderId="189" applyNumberFormat="0" applyFont="0" applyFill="0" applyBorder="0" applyProtection="0">
      <alignment horizontal="left" vertical="center" indent="2"/>
    </xf>
    <xf numFmtId="0" fontId="93" fillId="49" borderId="189">
      <alignment horizontal="right" vertical="center"/>
    </xf>
    <xf numFmtId="4" fontId="93" fillId="49" borderId="189">
      <alignment horizontal="right" vertical="center"/>
    </xf>
    <xf numFmtId="0" fontId="95" fillId="49" borderId="189">
      <alignment horizontal="right" vertical="center"/>
    </xf>
    <xf numFmtId="4" fontId="95" fillId="49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107" fillId="59" borderId="186" applyNumberFormat="0" applyAlignment="0" applyProtection="0"/>
    <xf numFmtId="0" fontId="58" fillId="0" borderId="189">
      <alignment horizontal="right" vertical="center"/>
    </xf>
    <xf numFmtId="4" fontId="58" fillId="0" borderId="189">
      <alignment horizontal="right" vertical="center"/>
    </xf>
    <xf numFmtId="4" fontId="58" fillId="0" borderId="189" applyFill="0" applyBorder="0" applyProtection="0">
      <alignment horizontal="right" vertical="center"/>
    </xf>
    <xf numFmtId="49" fontId="60" fillId="0" borderId="189" applyNumberFormat="0" applyFill="0" applyBorder="0" applyProtection="0">
      <alignment horizontal="left" vertical="center"/>
    </xf>
    <xf numFmtId="0" fontId="58" fillId="0" borderId="189" applyNumberFormat="0" applyFill="0" applyAlignment="0" applyProtection="0"/>
    <xf numFmtId="183" fontId="58" fillId="76" borderId="189" applyNumberFormat="0" applyFont="0" applyBorder="0" applyAlignment="0" applyProtection="0">
      <alignment horizontal="right" vertical="center"/>
    </xf>
    <xf numFmtId="0" fontId="58" fillId="50" borderId="189"/>
    <xf numFmtId="4" fontId="58" fillId="50" borderId="189"/>
    <xf numFmtId="4" fontId="93" fillId="16" borderId="189">
      <alignment horizontal="right" vertical="center"/>
    </xf>
    <xf numFmtId="0" fontId="58" fillId="50" borderId="189"/>
    <xf numFmtId="0" fontId="103" fillId="72" borderId="186" applyNumberFormat="0" applyAlignment="0" applyProtection="0"/>
    <xf numFmtId="0" fontId="93" fillId="49" borderId="189">
      <alignment horizontal="right" vertical="center"/>
    </xf>
    <xf numFmtId="0" fontId="58" fillId="0" borderId="189">
      <alignment horizontal="right" vertical="center"/>
    </xf>
    <xf numFmtId="0" fontId="123" fillId="0" borderId="187" applyNumberFormat="0" applyFill="0" applyAlignment="0" applyProtection="0"/>
    <xf numFmtId="0" fontId="58" fillId="49" borderId="190">
      <alignment horizontal="left" vertical="center"/>
    </xf>
    <xf numFmtId="0" fontId="116" fillId="59" borderId="186" applyNumberFormat="0" applyAlignment="0" applyProtection="0"/>
    <xf numFmtId="183" fontId="58" fillId="76" borderId="189" applyNumberFormat="0" applyFont="0" applyBorder="0" applyAlignment="0" applyProtection="0">
      <alignment horizontal="right" vertical="center"/>
    </xf>
    <xf numFmtId="0" fontId="98" fillId="75" borderId="188" applyNumberFormat="0" applyFont="0" applyAlignment="0" applyProtection="0"/>
    <xf numFmtId="0" fontId="58" fillId="0" borderId="192">
      <alignment horizontal="left" vertical="center" wrapText="1" indent="2"/>
    </xf>
    <xf numFmtId="4" fontId="58" fillId="50" borderId="189"/>
    <xf numFmtId="49" fontId="60" fillId="0" borderId="189" applyNumberFormat="0" applyFill="0" applyBorder="0" applyProtection="0">
      <alignment horizontal="left" vertical="center"/>
    </xf>
    <xf numFmtId="0" fontId="58" fillId="0" borderId="189">
      <alignment horizontal="right" vertical="center"/>
    </xf>
    <xf numFmtId="4" fontId="93" fillId="16" borderId="191">
      <alignment horizontal="right" vertical="center"/>
    </xf>
    <xf numFmtId="4" fontId="93" fillId="16" borderId="189">
      <alignment horizontal="right" vertical="center"/>
    </xf>
    <xf numFmtId="4" fontId="93" fillId="16" borderId="189">
      <alignment horizontal="right" vertical="center"/>
    </xf>
    <xf numFmtId="0" fontId="95" fillId="49" borderId="189">
      <alignment horizontal="right" vertical="center"/>
    </xf>
    <xf numFmtId="0" fontId="93" fillId="49" borderId="189">
      <alignment horizontal="right" vertical="center"/>
    </xf>
    <xf numFmtId="49" fontId="58" fillId="0" borderId="189" applyNumberFormat="0" applyFont="0" applyFill="0" applyBorder="0" applyProtection="0">
      <alignment horizontal="left" vertical="center" indent="2"/>
    </xf>
    <xf numFmtId="0" fontId="116" fillId="59" borderId="186" applyNumberFormat="0" applyAlignment="0" applyProtection="0"/>
    <xf numFmtId="0" fontId="101" fillId="72" borderId="185" applyNumberFormat="0" applyAlignment="0" applyProtection="0"/>
    <xf numFmtId="49" fontId="58" fillId="0" borderId="189" applyNumberFormat="0" applyFont="0" applyFill="0" applyBorder="0" applyProtection="0">
      <alignment horizontal="left" vertical="center" indent="2"/>
    </xf>
    <xf numFmtId="0" fontId="107" fillId="59" borderId="186" applyNumberFormat="0" applyAlignment="0" applyProtection="0"/>
    <xf numFmtId="4" fontId="58" fillId="0" borderId="189" applyFill="0" applyBorder="0" applyProtection="0">
      <alignment horizontal="right" vertical="center"/>
    </xf>
    <xf numFmtId="0" fontId="104" fillId="72" borderId="186" applyNumberFormat="0" applyAlignment="0" applyProtection="0"/>
    <xf numFmtId="0" fontId="123" fillId="0" borderId="187" applyNumberFormat="0" applyFill="0" applyAlignment="0" applyProtection="0"/>
    <xf numFmtId="0" fontId="120" fillId="72" borderId="185" applyNumberFormat="0" applyAlignment="0" applyProtection="0"/>
    <xf numFmtId="0" fontId="58" fillId="0" borderId="189" applyNumberFormat="0" applyFill="0" applyAlignment="0" applyProtection="0"/>
    <xf numFmtId="4" fontId="58" fillId="0" borderId="189">
      <alignment horizontal="right" vertical="center"/>
    </xf>
    <xf numFmtId="0" fontId="58" fillId="0" borderId="189">
      <alignment horizontal="right" vertical="center"/>
    </xf>
    <xf numFmtId="0" fontId="116" fillId="59" borderId="186" applyNumberFormat="0" applyAlignment="0" applyProtection="0"/>
    <xf numFmtId="0" fontId="101" fillId="72" borderId="185" applyNumberFormat="0" applyAlignment="0" applyProtection="0"/>
    <xf numFmtId="0" fontId="103" fillId="72" borderId="186" applyNumberFormat="0" applyAlignment="0" applyProtection="0"/>
    <xf numFmtId="0" fontId="58" fillId="16" borderId="192">
      <alignment horizontal="left" vertical="center" wrapText="1" indent="2"/>
    </xf>
    <xf numFmtId="0" fontId="104" fillId="72" borderId="186" applyNumberFormat="0" applyAlignment="0" applyProtection="0"/>
    <xf numFmtId="0" fontId="104" fillId="72" borderId="186" applyNumberFormat="0" applyAlignment="0" applyProtection="0"/>
    <xf numFmtId="4" fontId="93" fillId="16" borderId="190">
      <alignment horizontal="right" vertical="center"/>
    </xf>
    <xf numFmtId="0" fontId="93" fillId="16" borderId="190">
      <alignment horizontal="right" vertical="center"/>
    </xf>
    <xf numFmtId="0" fontId="93" fillId="16" borderId="189">
      <alignment horizontal="right" vertical="center"/>
    </xf>
    <xf numFmtId="4" fontId="95" fillId="49" borderId="189">
      <alignment horizontal="right" vertical="center"/>
    </xf>
    <xf numFmtId="0" fontId="107" fillId="59" borderId="186" applyNumberFormat="0" applyAlignment="0" applyProtection="0"/>
    <xf numFmtId="0" fontId="108" fillId="0" borderId="187" applyNumberFormat="0" applyFill="0" applyAlignment="0" applyProtection="0"/>
    <xf numFmtId="0" fontId="123" fillId="0" borderId="187" applyNumberFormat="0" applyFill="0" applyAlignment="0" applyProtection="0"/>
    <xf numFmtId="0" fontId="98" fillId="75" borderId="188" applyNumberFormat="0" applyFont="0" applyAlignment="0" applyProtection="0"/>
    <xf numFmtId="0" fontId="116" fillId="59" borderId="186" applyNumberFormat="0" applyAlignment="0" applyProtection="0"/>
    <xf numFmtId="49" fontId="60" fillId="0" borderId="189" applyNumberFormat="0" applyFill="0" applyBorder="0" applyProtection="0">
      <alignment horizontal="left" vertical="center"/>
    </xf>
    <xf numFmtId="0" fontId="58" fillId="16" borderId="192">
      <alignment horizontal="left" vertical="center" wrapText="1" indent="2"/>
    </xf>
    <xf numFmtId="0" fontId="104" fillId="72" borderId="186" applyNumberFormat="0" applyAlignment="0" applyProtection="0"/>
    <xf numFmtId="0" fontId="58" fillId="0" borderId="192">
      <alignment horizontal="left" vertical="center" wrapText="1" indent="2"/>
    </xf>
    <xf numFmtId="0" fontId="98" fillId="75" borderId="188" applyNumberFormat="0" applyFont="0" applyAlignment="0" applyProtection="0"/>
    <xf numFmtId="0" fontId="36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4" fontId="58" fillId="50" borderId="189"/>
    <xf numFmtId="0" fontId="93" fillId="16" borderId="189">
      <alignment horizontal="right" vertical="center"/>
    </xf>
    <xf numFmtId="0" fontId="123" fillId="0" borderId="187" applyNumberFormat="0" applyFill="0" applyAlignment="0" applyProtection="0"/>
    <xf numFmtId="4" fontId="93" fillId="16" borderId="191">
      <alignment horizontal="right" vertical="center"/>
    </xf>
    <xf numFmtId="0" fontId="103" fillId="72" borderId="186" applyNumberFormat="0" applyAlignment="0" applyProtection="0"/>
    <xf numFmtId="0" fontId="93" fillId="16" borderId="190">
      <alignment horizontal="right" vertical="center"/>
    </xf>
    <xf numFmtId="0" fontId="104" fillId="72" borderId="186" applyNumberFormat="0" applyAlignment="0" applyProtection="0"/>
    <xf numFmtId="0" fontId="108" fillId="0" borderId="187" applyNumberFormat="0" applyFill="0" applyAlignment="0" applyProtection="0"/>
    <xf numFmtId="0" fontId="98" fillId="75" borderId="188" applyNumberFormat="0" applyFont="0" applyAlignment="0" applyProtection="0"/>
    <xf numFmtId="4" fontId="93" fillId="16" borderId="190">
      <alignment horizontal="right" vertical="center"/>
    </xf>
    <xf numFmtId="0" fontId="58" fillId="16" borderId="192">
      <alignment horizontal="left" vertical="center" wrapText="1" indent="2"/>
    </xf>
    <xf numFmtId="0" fontId="58" fillId="50" borderId="189"/>
    <xf numFmtId="183" fontId="58" fillId="76" borderId="189" applyNumberFormat="0" applyFont="0" applyBorder="0" applyAlignment="0" applyProtection="0">
      <alignment horizontal="right" vertical="center"/>
    </xf>
    <xf numFmtId="0" fontId="58" fillId="0" borderId="189" applyNumberFormat="0" applyFill="0" applyAlignment="0" applyProtection="0"/>
    <xf numFmtId="4" fontId="58" fillId="0" borderId="189" applyFill="0" applyBorder="0" applyProtection="0">
      <alignment horizontal="right" vertical="center"/>
    </xf>
    <xf numFmtId="4" fontId="93" fillId="49" borderId="189">
      <alignment horizontal="right" vertical="center"/>
    </xf>
    <xf numFmtId="0" fontId="108" fillId="0" borderId="187" applyNumberFormat="0" applyFill="0" applyAlignment="0" applyProtection="0"/>
    <xf numFmtId="49" fontId="60" fillId="0" borderId="189" applyNumberFormat="0" applyFill="0" applyBorder="0" applyProtection="0">
      <alignment horizontal="left" vertical="center"/>
    </xf>
    <xf numFmtId="49" fontId="58" fillId="0" borderId="190" applyNumberFormat="0" applyFont="0" applyFill="0" applyBorder="0" applyProtection="0">
      <alignment horizontal="left" vertical="center" indent="5"/>
    </xf>
    <xf numFmtId="0" fontId="58" fillId="49" borderId="190">
      <alignment horizontal="left" vertical="center"/>
    </xf>
    <xf numFmtId="0" fontId="104" fillId="72" borderId="186" applyNumberFormat="0" applyAlignment="0" applyProtection="0"/>
    <xf numFmtId="4" fontId="93" fillId="16" borderId="191">
      <alignment horizontal="right" vertical="center"/>
    </xf>
    <xf numFmtId="0" fontId="116" fillId="59" borderId="186" applyNumberFormat="0" applyAlignment="0" applyProtection="0"/>
    <xf numFmtId="0" fontId="116" fillId="59" borderId="186" applyNumberFormat="0" applyAlignment="0" applyProtection="0"/>
    <xf numFmtId="0" fontId="98" fillId="75" borderId="188" applyNumberFormat="0" applyFont="0" applyAlignment="0" applyProtection="0"/>
    <xf numFmtId="0" fontId="120" fillId="72" borderId="185" applyNumberFormat="0" applyAlignment="0" applyProtection="0"/>
    <xf numFmtId="0" fontId="123" fillId="0" borderId="187" applyNumberFormat="0" applyFill="0" applyAlignment="0" applyProtection="0"/>
    <xf numFmtId="0" fontId="93" fillId="16" borderId="189">
      <alignment horizontal="right" vertical="center"/>
    </xf>
    <xf numFmtId="0" fontId="36" fillId="75" borderId="188" applyNumberFormat="0" applyFont="0" applyAlignment="0" applyProtection="0"/>
    <xf numFmtId="4" fontId="58" fillId="0" borderId="189">
      <alignment horizontal="right" vertical="center"/>
    </xf>
    <xf numFmtId="0" fontId="123" fillId="0" borderId="187" applyNumberFormat="0" applyFill="0" applyAlignment="0" applyProtection="0"/>
    <xf numFmtId="0" fontId="93" fillId="16" borderId="189">
      <alignment horizontal="right" vertical="center"/>
    </xf>
    <xf numFmtId="0" fontId="93" fillId="16" borderId="189">
      <alignment horizontal="right" vertical="center"/>
    </xf>
    <xf numFmtId="4" fontId="95" fillId="49" borderId="189">
      <alignment horizontal="right" vertical="center"/>
    </xf>
    <xf numFmtId="0" fontId="93" fillId="49" borderId="189">
      <alignment horizontal="right" vertical="center"/>
    </xf>
    <xf numFmtId="4" fontId="93" fillId="49" borderId="189">
      <alignment horizontal="right" vertical="center"/>
    </xf>
    <xf numFmtId="0" fontId="95" fillId="49" borderId="189">
      <alignment horizontal="right" vertical="center"/>
    </xf>
    <xf numFmtId="4" fontId="95" fillId="49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93" fillId="16" borderId="189">
      <alignment horizontal="right" vertical="center"/>
    </xf>
    <xf numFmtId="4" fontId="93" fillId="16" borderId="189">
      <alignment horizontal="right" vertical="center"/>
    </xf>
    <xf numFmtId="0" fontId="93" fillId="16" borderId="190">
      <alignment horizontal="right" vertical="center"/>
    </xf>
    <xf numFmtId="4" fontId="93" fillId="16" borderId="190">
      <alignment horizontal="right" vertical="center"/>
    </xf>
    <xf numFmtId="0" fontId="93" fillId="16" borderId="191">
      <alignment horizontal="right" vertical="center"/>
    </xf>
    <xf numFmtId="4" fontId="93" fillId="16" borderId="191">
      <alignment horizontal="right" vertical="center"/>
    </xf>
    <xf numFmtId="0" fontId="104" fillId="72" borderId="186" applyNumberFormat="0" applyAlignment="0" applyProtection="0"/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58" fillId="49" borderId="190">
      <alignment horizontal="left" vertical="center"/>
    </xf>
    <xf numFmtId="0" fontId="116" fillId="59" borderId="186" applyNumberFormat="0" applyAlignment="0" applyProtection="0"/>
    <xf numFmtId="0" fontId="58" fillId="0" borderId="189">
      <alignment horizontal="right" vertical="center"/>
    </xf>
    <xf numFmtId="4" fontId="58" fillId="0" borderId="189">
      <alignment horizontal="right" vertical="center"/>
    </xf>
    <xf numFmtId="0" fontId="58" fillId="0" borderId="189" applyNumberFormat="0" applyFill="0" applyAlignment="0" applyProtection="0"/>
    <xf numFmtId="0" fontId="120" fillId="72" borderId="185" applyNumberFormat="0" applyAlignment="0" applyProtection="0"/>
    <xf numFmtId="183" fontId="58" fillId="76" borderId="189" applyNumberFormat="0" applyFont="0" applyBorder="0" applyAlignment="0" applyProtection="0">
      <alignment horizontal="right" vertical="center"/>
    </xf>
    <xf numFmtId="0" fontId="58" fillId="50" borderId="189"/>
    <xf numFmtId="4" fontId="58" fillId="50" borderId="189"/>
    <xf numFmtId="0" fontId="123" fillId="0" borderId="187" applyNumberFormat="0" applyFill="0" applyAlignment="0" applyProtection="0"/>
    <xf numFmtId="0" fontId="36" fillId="75" borderId="188" applyNumberFormat="0" applyFont="0" applyAlignment="0" applyProtection="0"/>
    <xf numFmtId="0" fontId="98" fillId="75" borderId="188" applyNumberFormat="0" applyFont="0" applyAlignment="0" applyProtection="0"/>
    <xf numFmtId="0" fontId="58" fillId="0" borderId="189" applyNumberFormat="0" applyFill="0" applyAlignment="0" applyProtection="0"/>
    <xf numFmtId="0" fontId="108" fillId="0" borderId="187" applyNumberFormat="0" applyFill="0" applyAlignment="0" applyProtection="0"/>
    <xf numFmtId="0" fontId="123" fillId="0" borderId="187" applyNumberFormat="0" applyFill="0" applyAlignment="0" applyProtection="0"/>
    <xf numFmtId="0" fontId="107" fillId="59" borderId="186" applyNumberFormat="0" applyAlignment="0" applyProtection="0"/>
    <xf numFmtId="0" fontId="104" fillId="72" borderId="186" applyNumberFormat="0" applyAlignment="0" applyProtection="0"/>
    <xf numFmtId="4" fontId="95" fillId="49" borderId="189">
      <alignment horizontal="right" vertical="center"/>
    </xf>
    <xf numFmtId="0" fontId="93" fillId="49" borderId="189">
      <alignment horizontal="right" vertical="center"/>
    </xf>
    <xf numFmtId="183" fontId="58" fillId="76" borderId="189" applyNumberFormat="0" applyFont="0" applyBorder="0" applyAlignment="0" applyProtection="0">
      <alignment horizontal="right" vertical="center"/>
    </xf>
    <xf numFmtId="0" fontId="108" fillId="0" borderId="187" applyNumberFormat="0" applyFill="0" applyAlignment="0" applyProtection="0"/>
    <xf numFmtId="49" fontId="58" fillId="0" borderId="189" applyNumberFormat="0" applyFont="0" applyFill="0" applyBorder="0" applyProtection="0">
      <alignment horizontal="left" vertical="center" indent="2"/>
    </xf>
    <xf numFmtId="49" fontId="58" fillId="0" borderId="190" applyNumberFormat="0" applyFont="0" applyFill="0" applyBorder="0" applyProtection="0">
      <alignment horizontal="left" vertical="center" indent="5"/>
    </xf>
    <xf numFmtId="49" fontId="58" fillId="0" borderId="189" applyNumberFormat="0" applyFont="0" applyFill="0" applyBorder="0" applyProtection="0">
      <alignment horizontal="left" vertical="center" indent="2"/>
    </xf>
    <xf numFmtId="4" fontId="58" fillId="0" borderId="189" applyFill="0" applyBorder="0" applyProtection="0">
      <alignment horizontal="right" vertical="center"/>
    </xf>
    <xf numFmtId="49" fontId="60" fillId="0" borderId="189" applyNumberFormat="0" applyFill="0" applyBorder="0" applyProtection="0">
      <alignment horizontal="left" vertical="center"/>
    </xf>
    <xf numFmtId="0" fontId="58" fillId="0" borderId="192">
      <alignment horizontal="left" vertical="center" wrapText="1" indent="2"/>
    </xf>
    <xf numFmtId="0" fontId="120" fillId="72" borderId="185" applyNumberFormat="0" applyAlignment="0" applyProtection="0"/>
    <xf numFmtId="0" fontId="93" fillId="16" borderId="191">
      <alignment horizontal="right" vertical="center"/>
    </xf>
    <xf numFmtId="0" fontId="107" fillId="59" borderId="186" applyNumberFormat="0" applyAlignment="0" applyProtection="0"/>
    <xf numFmtId="0" fontId="93" fillId="16" borderId="191">
      <alignment horizontal="right" vertical="center"/>
    </xf>
    <xf numFmtId="4" fontId="93" fillId="16" borderId="189">
      <alignment horizontal="right" vertical="center"/>
    </xf>
    <xf numFmtId="0" fontId="93" fillId="16" borderId="189">
      <alignment horizontal="right" vertical="center"/>
    </xf>
    <xf numFmtId="0" fontId="101" fillId="72" borderId="185" applyNumberFormat="0" applyAlignment="0" applyProtection="0"/>
    <xf numFmtId="0" fontId="103" fillId="72" borderId="186" applyNumberFormat="0" applyAlignment="0" applyProtection="0"/>
    <xf numFmtId="0" fontId="108" fillId="0" borderId="187" applyNumberFormat="0" applyFill="0" applyAlignment="0" applyProtection="0"/>
    <xf numFmtId="0" fontId="58" fillId="50" borderId="189"/>
    <xf numFmtId="4" fontId="58" fillId="50" borderId="189"/>
    <xf numFmtId="4" fontId="93" fillId="16" borderId="189">
      <alignment horizontal="right" vertical="center"/>
    </xf>
    <xf numFmtId="0" fontId="95" fillId="49" borderId="189">
      <alignment horizontal="right" vertical="center"/>
    </xf>
    <xf numFmtId="0" fontId="107" fillId="59" borderId="186" applyNumberFormat="0" applyAlignment="0" applyProtection="0"/>
    <xf numFmtId="0" fontId="104" fillId="72" borderId="186" applyNumberFormat="0" applyAlignment="0" applyProtection="0"/>
    <xf numFmtId="4" fontId="58" fillId="0" borderId="189">
      <alignment horizontal="right" vertical="center"/>
    </xf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120" fillId="72" borderId="185" applyNumberFormat="0" applyAlignment="0" applyProtection="0"/>
    <xf numFmtId="0" fontId="116" fillId="59" borderId="186" applyNumberFormat="0" applyAlignment="0" applyProtection="0"/>
    <xf numFmtId="0" fontId="103" fillId="72" borderId="186" applyNumberFormat="0" applyAlignment="0" applyProtection="0"/>
    <xf numFmtId="0" fontId="101" fillId="72" borderId="185" applyNumberFormat="0" applyAlignment="0" applyProtection="0"/>
    <xf numFmtId="0" fontId="93" fillId="16" borderId="191">
      <alignment horizontal="right" vertical="center"/>
    </xf>
    <xf numFmtId="0" fontId="95" fillId="49" borderId="189">
      <alignment horizontal="right" vertical="center"/>
    </xf>
    <xf numFmtId="4" fontId="93" fillId="49" borderId="189">
      <alignment horizontal="right" vertical="center"/>
    </xf>
    <xf numFmtId="4" fontId="93" fillId="16" borderId="189">
      <alignment horizontal="right" vertical="center"/>
    </xf>
    <xf numFmtId="49" fontId="58" fillId="0" borderId="190" applyNumberFormat="0" applyFont="0" applyFill="0" applyBorder="0" applyProtection="0">
      <alignment horizontal="left" vertical="center" indent="5"/>
    </xf>
    <xf numFmtId="4" fontId="58" fillId="0" borderId="189" applyFill="0" applyBorder="0" applyProtection="0">
      <alignment horizontal="right" vertical="center"/>
    </xf>
    <xf numFmtId="4" fontId="93" fillId="49" borderId="189">
      <alignment horizontal="right" vertical="center"/>
    </xf>
    <xf numFmtId="0" fontId="116" fillId="59" borderId="186" applyNumberFormat="0" applyAlignment="0" applyProtection="0"/>
    <xf numFmtId="0" fontId="107" fillId="59" borderId="186" applyNumberFormat="0" applyAlignment="0" applyProtection="0"/>
    <xf numFmtId="0" fontId="103" fillId="72" borderId="186" applyNumberFormat="0" applyAlignment="0" applyProtection="0"/>
    <xf numFmtId="0" fontId="58" fillId="16" borderId="192">
      <alignment horizontal="left" vertical="center" wrapText="1" indent="2"/>
    </xf>
    <xf numFmtId="0" fontId="58" fillId="0" borderId="192">
      <alignment horizontal="left" vertical="center" wrapText="1" indent="2"/>
    </xf>
    <xf numFmtId="0" fontId="58" fillId="16" borderId="192">
      <alignment horizontal="left" vertical="center" wrapText="1" indent="2"/>
    </xf>
    <xf numFmtId="4" fontId="93" fillId="16" borderId="196">
      <alignment horizontal="right" vertical="center"/>
    </xf>
    <xf numFmtId="0" fontId="58" fillId="50" borderId="196"/>
    <xf numFmtId="0" fontId="103" fillId="72" borderId="193" applyNumberFormat="0" applyAlignment="0" applyProtection="0"/>
    <xf numFmtId="0" fontId="93" fillId="49" borderId="196">
      <alignment horizontal="right" vertical="center"/>
    </xf>
    <xf numFmtId="0" fontId="58" fillId="0" borderId="196">
      <alignment horizontal="right" vertical="center"/>
    </xf>
    <xf numFmtId="0" fontId="123" fillId="0" borderId="194" applyNumberFormat="0" applyFill="0" applyAlignment="0" applyProtection="0"/>
    <xf numFmtId="0" fontId="58" fillId="49" borderId="197">
      <alignment horizontal="left" vertical="center"/>
    </xf>
    <xf numFmtId="0" fontId="116" fillId="59" borderId="193" applyNumberFormat="0" applyAlignment="0" applyProtection="0"/>
    <xf numFmtId="183" fontId="58" fillId="76" borderId="196" applyNumberFormat="0" applyFont="0" applyBorder="0" applyAlignment="0" applyProtection="0">
      <alignment horizontal="right" vertical="center"/>
    </xf>
    <xf numFmtId="0" fontId="98" fillId="75" borderId="195" applyNumberFormat="0" applyFont="0" applyAlignment="0" applyProtection="0"/>
    <xf numFmtId="0" fontId="58" fillId="0" borderId="199">
      <alignment horizontal="left" vertical="center" wrapText="1" indent="2"/>
    </xf>
    <xf numFmtId="4" fontId="58" fillId="50" borderId="196"/>
    <xf numFmtId="49" fontId="60" fillId="0" borderId="196" applyNumberFormat="0" applyFill="0" applyBorder="0" applyProtection="0">
      <alignment horizontal="left" vertical="center"/>
    </xf>
    <xf numFmtId="0" fontId="58" fillId="0" borderId="196">
      <alignment horizontal="right" vertical="center"/>
    </xf>
    <xf numFmtId="4" fontId="93" fillId="16" borderId="198">
      <alignment horizontal="right" vertical="center"/>
    </xf>
    <xf numFmtId="4" fontId="93" fillId="16" borderId="196">
      <alignment horizontal="right" vertical="center"/>
    </xf>
    <xf numFmtId="4" fontId="93" fillId="16" borderId="196">
      <alignment horizontal="right" vertical="center"/>
    </xf>
    <xf numFmtId="0" fontId="95" fillId="49" borderId="196">
      <alignment horizontal="right" vertical="center"/>
    </xf>
    <xf numFmtId="0" fontId="93" fillId="49" borderId="196">
      <alignment horizontal="right" vertical="center"/>
    </xf>
    <xf numFmtId="49" fontId="58" fillId="0" borderId="196" applyNumberFormat="0" applyFont="0" applyFill="0" applyBorder="0" applyProtection="0">
      <alignment horizontal="left" vertical="center" indent="2"/>
    </xf>
    <xf numFmtId="0" fontId="116" fillId="59" borderId="193" applyNumberFormat="0" applyAlignment="0" applyProtection="0"/>
    <xf numFmtId="0" fontId="101" fillId="72" borderId="200" applyNumberFormat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0" fontId="107" fillId="59" borderId="193" applyNumberFormat="0" applyAlignment="0" applyProtection="0"/>
    <xf numFmtId="4" fontId="58" fillId="0" borderId="196" applyFill="0" applyBorder="0" applyProtection="0">
      <alignment horizontal="right" vertical="center"/>
    </xf>
    <xf numFmtId="0" fontId="104" fillId="72" borderId="193" applyNumberFormat="0" applyAlignment="0" applyProtection="0"/>
    <xf numFmtId="0" fontId="123" fillId="0" borderId="194" applyNumberFormat="0" applyFill="0" applyAlignment="0" applyProtection="0"/>
    <xf numFmtId="0" fontId="120" fillId="72" borderId="200" applyNumberFormat="0" applyAlignment="0" applyProtection="0"/>
    <xf numFmtId="0" fontId="58" fillId="0" borderId="196" applyNumberFormat="0" applyFill="0" applyAlignment="0" applyProtection="0"/>
    <xf numFmtId="4" fontId="58" fillId="0" borderId="196">
      <alignment horizontal="right" vertical="center"/>
    </xf>
    <xf numFmtId="0" fontId="58" fillId="0" borderId="196">
      <alignment horizontal="right" vertical="center"/>
    </xf>
    <xf numFmtId="0" fontId="116" fillId="59" borderId="193" applyNumberFormat="0" applyAlignment="0" applyProtection="0"/>
    <xf numFmtId="0" fontId="101" fillId="72" borderId="200" applyNumberFormat="0" applyAlignment="0" applyProtection="0"/>
    <xf numFmtId="0" fontId="103" fillId="72" borderId="193" applyNumberFormat="0" applyAlignment="0" applyProtection="0"/>
    <xf numFmtId="0" fontId="58" fillId="16" borderId="199">
      <alignment horizontal="left" vertical="center" wrapText="1" indent="2"/>
    </xf>
    <xf numFmtId="0" fontId="104" fillId="72" borderId="193" applyNumberFormat="0" applyAlignment="0" applyProtection="0"/>
    <xf numFmtId="0" fontId="104" fillId="72" borderId="193" applyNumberFormat="0" applyAlignment="0" applyProtection="0"/>
    <xf numFmtId="4" fontId="93" fillId="16" borderId="197">
      <alignment horizontal="right" vertical="center"/>
    </xf>
    <xf numFmtId="0" fontId="93" fillId="16" borderId="197">
      <alignment horizontal="right" vertical="center"/>
    </xf>
    <xf numFmtId="0" fontId="93" fillId="16" borderId="196">
      <alignment horizontal="right" vertical="center"/>
    </xf>
    <xf numFmtId="4" fontId="95" fillId="49" borderId="196">
      <alignment horizontal="right" vertical="center"/>
    </xf>
    <xf numFmtId="0" fontId="107" fillId="59" borderId="193" applyNumberFormat="0" applyAlignment="0" applyProtection="0"/>
    <xf numFmtId="0" fontId="108" fillId="0" borderId="194" applyNumberFormat="0" applyFill="0" applyAlignment="0" applyProtection="0"/>
    <xf numFmtId="0" fontId="123" fillId="0" borderId="194" applyNumberFormat="0" applyFill="0" applyAlignment="0" applyProtection="0"/>
    <xf numFmtId="0" fontId="98" fillId="75" borderId="195" applyNumberFormat="0" applyFont="0" applyAlignment="0" applyProtection="0"/>
    <xf numFmtId="0" fontId="116" fillId="59" borderId="193" applyNumberFormat="0" applyAlignment="0" applyProtection="0"/>
    <xf numFmtId="49" fontId="60" fillId="0" borderId="196" applyNumberFormat="0" applyFill="0" applyBorder="0" applyProtection="0">
      <alignment horizontal="left" vertical="center"/>
    </xf>
    <xf numFmtId="0" fontId="58" fillId="16" borderId="199">
      <alignment horizontal="left" vertical="center" wrapText="1" indent="2"/>
    </xf>
    <xf numFmtId="0" fontId="104" fillId="72" borderId="193" applyNumberFormat="0" applyAlignment="0" applyProtection="0"/>
    <xf numFmtId="0" fontId="58" fillId="0" borderId="199">
      <alignment horizontal="left" vertical="center" wrapText="1" indent="2"/>
    </xf>
    <xf numFmtId="0" fontId="98" fillId="75" borderId="195" applyNumberFormat="0" applyFont="0" applyAlignment="0" applyProtection="0"/>
    <xf numFmtId="0" fontId="36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4" fontId="58" fillId="50" borderId="196"/>
    <xf numFmtId="0" fontId="93" fillId="16" borderId="196">
      <alignment horizontal="right" vertical="center"/>
    </xf>
    <xf numFmtId="0" fontId="123" fillId="0" borderId="194" applyNumberFormat="0" applyFill="0" applyAlignment="0" applyProtection="0"/>
    <xf numFmtId="4" fontId="93" fillId="16" borderId="198">
      <alignment horizontal="right" vertical="center"/>
    </xf>
    <xf numFmtId="0" fontId="103" fillId="72" borderId="193" applyNumberFormat="0" applyAlignment="0" applyProtection="0"/>
    <xf numFmtId="0" fontId="93" fillId="16" borderId="197">
      <alignment horizontal="right" vertical="center"/>
    </xf>
    <xf numFmtId="0" fontId="104" fillId="72" borderId="193" applyNumberFormat="0" applyAlignment="0" applyProtection="0"/>
    <xf numFmtId="0" fontId="108" fillId="0" borderId="194" applyNumberFormat="0" applyFill="0" applyAlignment="0" applyProtection="0"/>
    <xf numFmtId="0" fontId="98" fillId="75" borderId="195" applyNumberFormat="0" applyFont="0" applyAlignment="0" applyProtection="0"/>
    <xf numFmtId="4" fontId="93" fillId="16" borderId="197">
      <alignment horizontal="right" vertical="center"/>
    </xf>
    <xf numFmtId="0" fontId="58" fillId="16" borderId="199">
      <alignment horizontal="left" vertical="center" wrapText="1" indent="2"/>
    </xf>
    <xf numFmtId="0" fontId="58" fillId="50" borderId="196"/>
    <xf numFmtId="183" fontId="58" fillId="76" borderId="196" applyNumberFormat="0" applyFont="0" applyBorder="0" applyAlignment="0" applyProtection="0">
      <alignment horizontal="right" vertical="center"/>
    </xf>
    <xf numFmtId="0" fontId="58" fillId="0" borderId="196" applyNumberFormat="0" applyFill="0" applyAlignment="0" applyProtection="0"/>
    <xf numFmtId="4" fontId="58" fillId="0" borderId="196" applyFill="0" applyBorder="0" applyProtection="0">
      <alignment horizontal="right" vertical="center"/>
    </xf>
    <xf numFmtId="4" fontId="93" fillId="49" borderId="196">
      <alignment horizontal="right" vertical="center"/>
    </xf>
    <xf numFmtId="0" fontId="108" fillId="0" borderId="194" applyNumberFormat="0" applyFill="0" applyAlignment="0" applyProtection="0"/>
    <xf numFmtId="49" fontId="60" fillId="0" borderId="196" applyNumberFormat="0" applyFill="0" applyBorder="0" applyProtection="0">
      <alignment horizontal="left" vertical="center"/>
    </xf>
    <xf numFmtId="49" fontId="58" fillId="0" borderId="197" applyNumberFormat="0" applyFont="0" applyFill="0" applyBorder="0" applyProtection="0">
      <alignment horizontal="left" vertical="center" indent="5"/>
    </xf>
    <xf numFmtId="0" fontId="58" fillId="49" borderId="197">
      <alignment horizontal="left" vertical="center"/>
    </xf>
    <xf numFmtId="0" fontId="104" fillId="72" borderId="193" applyNumberFormat="0" applyAlignment="0" applyProtection="0"/>
    <xf numFmtId="4" fontId="93" fillId="16" borderId="198">
      <alignment horizontal="right" vertical="center"/>
    </xf>
    <xf numFmtId="0" fontId="116" fillId="59" borderId="193" applyNumberFormat="0" applyAlignment="0" applyProtection="0"/>
    <xf numFmtId="0" fontId="116" fillId="59" borderId="193" applyNumberFormat="0" applyAlignment="0" applyProtection="0"/>
    <xf numFmtId="0" fontId="98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0" fontId="93" fillId="16" borderId="196">
      <alignment horizontal="right" vertical="center"/>
    </xf>
    <xf numFmtId="0" fontId="36" fillId="75" borderId="195" applyNumberFormat="0" applyFont="0" applyAlignment="0" applyProtection="0"/>
    <xf numFmtId="4" fontId="58" fillId="0" borderId="196">
      <alignment horizontal="right" vertical="center"/>
    </xf>
    <xf numFmtId="0" fontId="123" fillId="0" borderId="194" applyNumberFormat="0" applyFill="0" applyAlignment="0" applyProtection="0"/>
    <xf numFmtId="0" fontId="93" fillId="16" borderId="196">
      <alignment horizontal="right" vertical="center"/>
    </xf>
    <xf numFmtId="0" fontId="93" fillId="16" borderId="196">
      <alignment horizontal="right" vertical="center"/>
    </xf>
    <xf numFmtId="4" fontId="95" fillId="49" borderId="196">
      <alignment horizontal="right" vertical="center"/>
    </xf>
    <xf numFmtId="0" fontId="93" fillId="49" borderId="196">
      <alignment horizontal="right" vertical="center"/>
    </xf>
    <xf numFmtId="4" fontId="93" fillId="49" borderId="196">
      <alignment horizontal="right" vertical="center"/>
    </xf>
    <xf numFmtId="0" fontId="95" fillId="49" borderId="196">
      <alignment horizontal="right" vertical="center"/>
    </xf>
    <xf numFmtId="4" fontId="95" fillId="49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93" fillId="16" borderId="197">
      <alignment horizontal="right" vertical="center"/>
    </xf>
    <xf numFmtId="4" fontId="93" fillId="16" borderId="197">
      <alignment horizontal="right" vertical="center"/>
    </xf>
    <xf numFmtId="0" fontId="93" fillId="16" borderId="198">
      <alignment horizontal="right" vertical="center"/>
    </xf>
    <xf numFmtId="4" fontId="93" fillId="16" borderId="198">
      <alignment horizontal="right" vertical="center"/>
    </xf>
    <xf numFmtId="0" fontId="104" fillId="72" borderId="193" applyNumberFormat="0" applyAlignment="0" applyProtection="0"/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58" fillId="49" borderId="197">
      <alignment horizontal="left" vertical="center"/>
    </xf>
    <xf numFmtId="0" fontId="116" fillId="59" borderId="193" applyNumberFormat="0" applyAlignment="0" applyProtection="0"/>
    <xf numFmtId="0" fontId="58" fillId="0" borderId="196">
      <alignment horizontal="right" vertical="center"/>
    </xf>
    <xf numFmtId="4" fontId="58" fillId="0" borderId="196">
      <alignment horizontal="right" vertical="center"/>
    </xf>
    <xf numFmtId="0" fontId="58" fillId="0" borderId="196" applyNumberFormat="0" applyFill="0" applyAlignment="0" applyProtection="0"/>
    <xf numFmtId="0" fontId="120" fillId="72" borderId="200" applyNumberFormat="0" applyAlignment="0" applyProtection="0"/>
    <xf numFmtId="183" fontId="58" fillId="76" borderId="196" applyNumberFormat="0" applyFont="0" applyBorder="0" applyAlignment="0" applyProtection="0">
      <alignment horizontal="right" vertical="center"/>
    </xf>
    <xf numFmtId="0" fontId="58" fillId="50" borderId="196"/>
    <xf numFmtId="4" fontId="58" fillId="50" borderId="196"/>
    <xf numFmtId="0" fontId="123" fillId="0" borderId="194" applyNumberFormat="0" applyFill="0" applyAlignment="0" applyProtection="0"/>
    <xf numFmtId="0" fontId="36" fillId="75" borderId="195" applyNumberFormat="0" applyFont="0" applyAlignment="0" applyProtection="0"/>
    <xf numFmtId="0" fontId="98" fillId="75" borderId="195" applyNumberFormat="0" applyFont="0" applyAlignment="0" applyProtection="0"/>
    <xf numFmtId="0" fontId="58" fillId="0" borderId="196" applyNumberFormat="0" applyFill="0" applyAlignment="0" applyProtection="0"/>
    <xf numFmtId="0" fontId="108" fillId="0" borderId="194" applyNumberFormat="0" applyFill="0" applyAlignment="0" applyProtection="0"/>
    <xf numFmtId="0" fontId="123" fillId="0" borderId="194" applyNumberFormat="0" applyFill="0" applyAlignment="0" applyProtection="0"/>
    <xf numFmtId="0" fontId="107" fillId="59" borderId="193" applyNumberFormat="0" applyAlignment="0" applyProtection="0"/>
    <xf numFmtId="0" fontId="104" fillId="72" borderId="193" applyNumberFormat="0" applyAlignment="0" applyProtection="0"/>
    <xf numFmtId="4" fontId="95" fillId="49" borderId="196">
      <alignment horizontal="right" vertical="center"/>
    </xf>
    <xf numFmtId="0" fontId="93" fillId="49" borderId="196">
      <alignment horizontal="right" vertical="center"/>
    </xf>
    <xf numFmtId="183" fontId="58" fillId="76" borderId="196" applyNumberFormat="0" applyFont="0" applyBorder="0" applyAlignment="0" applyProtection="0">
      <alignment horizontal="right" vertical="center"/>
    </xf>
    <xf numFmtId="0" fontId="108" fillId="0" borderId="194" applyNumberFormat="0" applyFill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49" fontId="58" fillId="0" borderId="197" applyNumberFormat="0" applyFont="0" applyFill="0" applyBorder="0" applyProtection="0">
      <alignment horizontal="left" vertical="center" indent="5"/>
    </xf>
    <xf numFmtId="49" fontId="58" fillId="0" borderId="196" applyNumberFormat="0" applyFont="0" applyFill="0" applyBorder="0" applyProtection="0">
      <alignment horizontal="left" vertical="center" indent="2"/>
    </xf>
    <xf numFmtId="4" fontId="58" fillId="0" borderId="196" applyFill="0" applyBorder="0" applyProtection="0">
      <alignment horizontal="right" vertical="center"/>
    </xf>
    <xf numFmtId="49" fontId="60" fillId="0" borderId="196" applyNumberFormat="0" applyFill="0" applyBorder="0" applyProtection="0">
      <alignment horizontal="left" vertical="center"/>
    </xf>
    <xf numFmtId="0" fontId="58" fillId="0" borderId="199">
      <alignment horizontal="left" vertical="center" wrapText="1" indent="2"/>
    </xf>
    <xf numFmtId="0" fontId="120" fillId="72" borderId="200" applyNumberFormat="0" applyAlignment="0" applyProtection="0"/>
    <xf numFmtId="0" fontId="93" fillId="16" borderId="198">
      <alignment horizontal="right" vertical="center"/>
    </xf>
    <xf numFmtId="0" fontId="107" fillId="59" borderId="193" applyNumberFormat="0" applyAlignment="0" applyProtection="0"/>
    <xf numFmtId="0" fontId="93" fillId="16" borderId="198">
      <alignment horizontal="right" vertical="center"/>
    </xf>
    <xf numFmtId="4" fontId="93" fillId="16" borderId="196">
      <alignment horizontal="right" vertical="center"/>
    </xf>
    <xf numFmtId="0" fontId="93" fillId="16" borderId="196">
      <alignment horizontal="right" vertical="center"/>
    </xf>
    <xf numFmtId="0" fontId="101" fillId="72" borderId="200" applyNumberFormat="0" applyAlignment="0" applyProtection="0"/>
    <xf numFmtId="0" fontId="103" fillId="72" borderId="193" applyNumberFormat="0" applyAlignment="0" applyProtection="0"/>
    <xf numFmtId="0" fontId="108" fillId="0" borderId="194" applyNumberFormat="0" applyFill="0" applyAlignment="0" applyProtection="0"/>
    <xf numFmtId="0" fontId="58" fillId="50" borderId="196"/>
    <xf numFmtId="4" fontId="58" fillId="50" borderId="196"/>
    <xf numFmtId="4" fontId="93" fillId="16" borderId="196">
      <alignment horizontal="right" vertical="center"/>
    </xf>
    <xf numFmtId="0" fontId="95" fillId="49" borderId="196">
      <alignment horizontal="right" vertical="center"/>
    </xf>
    <xf numFmtId="0" fontId="107" fillId="59" borderId="193" applyNumberFormat="0" applyAlignment="0" applyProtection="0"/>
    <xf numFmtId="0" fontId="104" fillId="72" borderId="193" applyNumberFormat="0" applyAlignment="0" applyProtection="0"/>
    <xf numFmtId="4" fontId="58" fillId="0" borderId="196">
      <alignment horizontal="right" vertical="center"/>
    </xf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120" fillId="72" borderId="200" applyNumberFormat="0" applyAlignment="0" applyProtection="0"/>
    <xf numFmtId="0" fontId="116" fillId="59" borderId="193" applyNumberFormat="0" applyAlignment="0" applyProtection="0"/>
    <xf numFmtId="0" fontId="103" fillId="72" borderId="193" applyNumberFormat="0" applyAlignment="0" applyProtection="0"/>
    <xf numFmtId="0" fontId="101" fillId="72" borderId="200" applyNumberFormat="0" applyAlignment="0" applyProtection="0"/>
    <xf numFmtId="0" fontId="93" fillId="16" borderId="198">
      <alignment horizontal="right" vertical="center"/>
    </xf>
    <xf numFmtId="0" fontId="95" fillId="49" borderId="196">
      <alignment horizontal="right" vertical="center"/>
    </xf>
    <xf numFmtId="4" fontId="93" fillId="49" borderId="196">
      <alignment horizontal="right" vertical="center"/>
    </xf>
    <xf numFmtId="4" fontId="93" fillId="16" borderId="196">
      <alignment horizontal="right" vertical="center"/>
    </xf>
    <xf numFmtId="49" fontId="58" fillId="0" borderId="197" applyNumberFormat="0" applyFont="0" applyFill="0" applyBorder="0" applyProtection="0">
      <alignment horizontal="left" vertical="center" indent="5"/>
    </xf>
    <xf numFmtId="4" fontId="58" fillId="0" borderId="196" applyFill="0" applyBorder="0" applyProtection="0">
      <alignment horizontal="right" vertical="center"/>
    </xf>
    <xf numFmtId="4" fontId="93" fillId="49" borderId="196">
      <alignment horizontal="right" vertical="center"/>
    </xf>
    <xf numFmtId="0" fontId="116" fillId="59" borderId="193" applyNumberFormat="0" applyAlignment="0" applyProtection="0"/>
    <xf numFmtId="0" fontId="107" fillId="59" borderId="193" applyNumberFormat="0" applyAlignment="0" applyProtection="0"/>
    <xf numFmtId="0" fontId="103" fillId="72" borderId="193" applyNumberFormat="0" applyAlignment="0" applyProtection="0"/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101" fillId="72" borderId="200" applyNumberFormat="0" applyAlignment="0" applyProtection="0"/>
    <xf numFmtId="0" fontId="103" fillId="72" borderId="193" applyNumberFormat="0" applyAlignment="0" applyProtection="0"/>
    <xf numFmtId="0" fontId="104" fillId="72" borderId="193" applyNumberFormat="0" applyAlignment="0" applyProtection="0"/>
    <xf numFmtId="0" fontId="107" fillId="59" borderId="193" applyNumberFormat="0" applyAlignment="0" applyProtection="0"/>
    <xf numFmtId="0" fontId="108" fillId="0" borderId="194" applyNumberFormat="0" applyFill="0" applyAlignment="0" applyProtection="0"/>
    <xf numFmtId="0" fontId="116" fillId="59" borderId="193" applyNumberFormat="0" applyAlignment="0" applyProtection="0"/>
    <xf numFmtId="0" fontId="98" fillId="75" borderId="195" applyNumberFormat="0" applyFont="0" applyAlignment="0" applyProtection="0"/>
    <xf numFmtId="0" fontId="36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0" fontId="104" fillId="72" borderId="193" applyNumberFormat="0" applyAlignment="0" applyProtection="0"/>
    <xf numFmtId="0" fontId="116" fillId="59" borderId="193" applyNumberFormat="0" applyAlignment="0" applyProtection="0"/>
    <xf numFmtId="0" fontId="98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0" fontId="104" fillId="72" borderId="193" applyNumberFormat="0" applyAlignment="0" applyProtection="0"/>
    <xf numFmtId="0" fontId="116" fillId="59" borderId="193" applyNumberForma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0" fontId="101" fillId="72" borderId="200" applyNumberFormat="0" applyAlignment="0" applyProtection="0"/>
    <xf numFmtId="0" fontId="103" fillId="72" borderId="193" applyNumberFormat="0" applyAlignment="0" applyProtection="0"/>
    <xf numFmtId="0" fontId="108" fillId="0" borderId="194" applyNumberFormat="0" applyFill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0" fontId="93" fillId="49" borderId="196">
      <alignment horizontal="right" vertical="center"/>
    </xf>
    <xf numFmtId="4" fontId="93" fillId="49" borderId="196">
      <alignment horizontal="right" vertical="center"/>
    </xf>
    <xf numFmtId="0" fontId="95" fillId="49" borderId="196">
      <alignment horizontal="right" vertical="center"/>
    </xf>
    <xf numFmtId="4" fontId="95" fillId="49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107" fillId="59" borderId="193" applyNumberFormat="0" applyAlignment="0" applyProtection="0"/>
    <xf numFmtId="0" fontId="58" fillId="0" borderId="196">
      <alignment horizontal="right" vertical="center"/>
    </xf>
    <xf numFmtId="4" fontId="58" fillId="0" borderId="196">
      <alignment horizontal="right" vertical="center"/>
    </xf>
    <xf numFmtId="4" fontId="58" fillId="0" borderId="196" applyFill="0" applyBorder="0" applyProtection="0">
      <alignment horizontal="right" vertical="center"/>
    </xf>
    <xf numFmtId="49" fontId="60" fillId="0" borderId="196" applyNumberFormat="0" applyFill="0" applyBorder="0" applyProtection="0">
      <alignment horizontal="left" vertical="center"/>
    </xf>
    <xf numFmtId="0" fontId="58" fillId="0" borderId="196" applyNumberFormat="0" applyFill="0" applyAlignment="0" applyProtection="0"/>
    <xf numFmtId="183" fontId="58" fillId="76" borderId="196" applyNumberFormat="0" applyFont="0" applyBorder="0" applyAlignment="0" applyProtection="0">
      <alignment horizontal="right" vertical="center"/>
    </xf>
    <xf numFmtId="0" fontId="58" fillId="50" borderId="196"/>
    <xf numFmtId="4" fontId="58" fillId="50" borderId="196"/>
    <xf numFmtId="4" fontId="93" fillId="16" borderId="196">
      <alignment horizontal="right" vertical="center"/>
    </xf>
    <xf numFmtId="0" fontId="58" fillId="50" borderId="196"/>
    <xf numFmtId="0" fontId="103" fillId="72" borderId="193" applyNumberFormat="0" applyAlignment="0" applyProtection="0"/>
    <xf numFmtId="0" fontId="93" fillId="49" borderId="196">
      <alignment horizontal="right" vertical="center"/>
    </xf>
    <xf numFmtId="0" fontId="58" fillId="0" borderId="196">
      <alignment horizontal="right" vertical="center"/>
    </xf>
    <xf numFmtId="0" fontId="123" fillId="0" borderId="194" applyNumberFormat="0" applyFill="0" applyAlignment="0" applyProtection="0"/>
    <xf numFmtId="0" fontId="58" fillId="49" borderId="197">
      <alignment horizontal="left" vertical="center"/>
    </xf>
    <xf numFmtId="0" fontId="116" fillId="59" borderId="193" applyNumberFormat="0" applyAlignment="0" applyProtection="0"/>
    <xf numFmtId="183" fontId="58" fillId="76" borderId="196" applyNumberFormat="0" applyFont="0" applyBorder="0" applyAlignment="0" applyProtection="0">
      <alignment horizontal="right" vertical="center"/>
    </xf>
    <xf numFmtId="0" fontId="98" fillId="75" borderId="195" applyNumberFormat="0" applyFont="0" applyAlignment="0" applyProtection="0"/>
    <xf numFmtId="0" fontId="58" fillId="0" borderId="199">
      <alignment horizontal="left" vertical="center" wrapText="1" indent="2"/>
    </xf>
    <xf numFmtId="4" fontId="58" fillId="50" borderId="196"/>
    <xf numFmtId="49" fontId="60" fillId="0" borderId="196" applyNumberFormat="0" applyFill="0" applyBorder="0" applyProtection="0">
      <alignment horizontal="left" vertical="center"/>
    </xf>
    <xf numFmtId="0" fontId="58" fillId="0" borderId="196">
      <alignment horizontal="right" vertical="center"/>
    </xf>
    <xf numFmtId="4" fontId="93" fillId="16" borderId="198">
      <alignment horizontal="right" vertical="center"/>
    </xf>
    <xf numFmtId="4" fontId="93" fillId="16" borderId="196">
      <alignment horizontal="right" vertical="center"/>
    </xf>
    <xf numFmtId="4" fontId="93" fillId="16" borderId="196">
      <alignment horizontal="right" vertical="center"/>
    </xf>
    <xf numFmtId="0" fontId="95" fillId="49" borderId="196">
      <alignment horizontal="right" vertical="center"/>
    </xf>
    <xf numFmtId="0" fontId="93" fillId="49" borderId="196">
      <alignment horizontal="right" vertical="center"/>
    </xf>
    <xf numFmtId="49" fontId="58" fillId="0" borderId="196" applyNumberFormat="0" applyFont="0" applyFill="0" applyBorder="0" applyProtection="0">
      <alignment horizontal="left" vertical="center" indent="2"/>
    </xf>
    <xf numFmtId="0" fontId="116" fillId="59" borderId="193" applyNumberFormat="0" applyAlignment="0" applyProtection="0"/>
    <xf numFmtId="0" fontId="101" fillId="72" borderId="200" applyNumberFormat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0" fontId="107" fillId="59" borderId="193" applyNumberFormat="0" applyAlignment="0" applyProtection="0"/>
    <xf numFmtId="4" fontId="58" fillId="0" borderId="196" applyFill="0" applyBorder="0" applyProtection="0">
      <alignment horizontal="right" vertical="center"/>
    </xf>
    <xf numFmtId="0" fontId="104" fillId="72" borderId="193" applyNumberFormat="0" applyAlignment="0" applyProtection="0"/>
    <xf numFmtId="0" fontId="123" fillId="0" borderId="194" applyNumberFormat="0" applyFill="0" applyAlignment="0" applyProtection="0"/>
    <xf numFmtId="0" fontId="120" fillId="72" borderId="200" applyNumberFormat="0" applyAlignment="0" applyProtection="0"/>
    <xf numFmtId="0" fontId="58" fillId="0" borderId="196" applyNumberFormat="0" applyFill="0" applyAlignment="0" applyProtection="0"/>
    <xf numFmtId="4" fontId="58" fillId="0" borderId="196">
      <alignment horizontal="right" vertical="center"/>
    </xf>
    <xf numFmtId="0" fontId="58" fillId="0" borderId="196">
      <alignment horizontal="right" vertical="center"/>
    </xf>
    <xf numFmtId="0" fontId="116" fillId="59" borderId="193" applyNumberFormat="0" applyAlignment="0" applyProtection="0"/>
    <xf numFmtId="0" fontId="101" fillId="72" borderId="200" applyNumberFormat="0" applyAlignment="0" applyProtection="0"/>
    <xf numFmtId="0" fontId="103" fillId="72" borderId="193" applyNumberFormat="0" applyAlignment="0" applyProtection="0"/>
    <xf numFmtId="0" fontId="58" fillId="16" borderId="199">
      <alignment horizontal="left" vertical="center" wrapText="1" indent="2"/>
    </xf>
    <xf numFmtId="0" fontId="104" fillId="72" borderId="193" applyNumberFormat="0" applyAlignment="0" applyProtection="0"/>
    <xf numFmtId="0" fontId="104" fillId="72" borderId="193" applyNumberFormat="0" applyAlignment="0" applyProtection="0"/>
    <xf numFmtId="4" fontId="93" fillId="16" borderId="197">
      <alignment horizontal="right" vertical="center"/>
    </xf>
    <xf numFmtId="0" fontId="93" fillId="16" borderId="197">
      <alignment horizontal="right" vertical="center"/>
    </xf>
    <xf numFmtId="0" fontId="93" fillId="16" borderId="196">
      <alignment horizontal="right" vertical="center"/>
    </xf>
    <xf numFmtId="4" fontId="95" fillId="49" borderId="196">
      <alignment horizontal="right" vertical="center"/>
    </xf>
    <xf numFmtId="0" fontId="107" fillId="59" borderId="193" applyNumberFormat="0" applyAlignment="0" applyProtection="0"/>
    <xf numFmtId="0" fontId="108" fillId="0" borderId="194" applyNumberFormat="0" applyFill="0" applyAlignment="0" applyProtection="0"/>
    <xf numFmtId="0" fontId="123" fillId="0" borderId="194" applyNumberFormat="0" applyFill="0" applyAlignment="0" applyProtection="0"/>
    <xf numFmtId="0" fontId="98" fillId="75" borderId="195" applyNumberFormat="0" applyFont="0" applyAlignment="0" applyProtection="0"/>
    <xf numFmtId="0" fontId="116" fillId="59" borderId="193" applyNumberFormat="0" applyAlignment="0" applyProtection="0"/>
    <xf numFmtId="49" fontId="60" fillId="0" borderId="196" applyNumberFormat="0" applyFill="0" applyBorder="0" applyProtection="0">
      <alignment horizontal="left" vertical="center"/>
    </xf>
    <xf numFmtId="0" fontId="58" fillId="16" borderId="199">
      <alignment horizontal="left" vertical="center" wrapText="1" indent="2"/>
    </xf>
    <xf numFmtId="0" fontId="104" fillId="72" borderId="193" applyNumberFormat="0" applyAlignment="0" applyProtection="0"/>
    <xf numFmtId="0" fontId="58" fillId="0" borderId="199">
      <alignment horizontal="left" vertical="center" wrapText="1" indent="2"/>
    </xf>
    <xf numFmtId="0" fontId="98" fillId="75" borderId="195" applyNumberFormat="0" applyFont="0" applyAlignment="0" applyProtection="0"/>
    <xf numFmtId="0" fontId="36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4" fontId="58" fillId="50" borderId="196"/>
    <xf numFmtId="0" fontId="93" fillId="16" borderId="196">
      <alignment horizontal="right" vertical="center"/>
    </xf>
    <xf numFmtId="0" fontId="123" fillId="0" borderId="194" applyNumberFormat="0" applyFill="0" applyAlignment="0" applyProtection="0"/>
    <xf numFmtId="4" fontId="93" fillId="16" borderId="198">
      <alignment horizontal="right" vertical="center"/>
    </xf>
    <xf numFmtId="0" fontId="103" fillId="72" borderId="193" applyNumberFormat="0" applyAlignment="0" applyProtection="0"/>
    <xf numFmtId="0" fontId="93" fillId="16" borderId="197">
      <alignment horizontal="right" vertical="center"/>
    </xf>
    <xf numFmtId="0" fontId="104" fillId="72" borderId="193" applyNumberFormat="0" applyAlignment="0" applyProtection="0"/>
    <xf numFmtId="0" fontId="108" fillId="0" borderId="194" applyNumberFormat="0" applyFill="0" applyAlignment="0" applyProtection="0"/>
    <xf numFmtId="0" fontId="98" fillId="75" borderId="195" applyNumberFormat="0" applyFont="0" applyAlignment="0" applyProtection="0"/>
    <xf numFmtId="4" fontId="93" fillId="16" borderId="197">
      <alignment horizontal="right" vertical="center"/>
    </xf>
    <xf numFmtId="0" fontId="58" fillId="16" borderId="199">
      <alignment horizontal="left" vertical="center" wrapText="1" indent="2"/>
    </xf>
    <xf numFmtId="0" fontId="58" fillId="50" borderId="196"/>
    <xf numFmtId="183" fontId="58" fillId="76" borderId="196" applyNumberFormat="0" applyFont="0" applyBorder="0" applyAlignment="0" applyProtection="0">
      <alignment horizontal="right" vertical="center"/>
    </xf>
    <xf numFmtId="0" fontId="58" fillId="0" borderId="196" applyNumberFormat="0" applyFill="0" applyAlignment="0" applyProtection="0"/>
    <xf numFmtId="4" fontId="58" fillId="0" borderId="196" applyFill="0" applyBorder="0" applyProtection="0">
      <alignment horizontal="right" vertical="center"/>
    </xf>
    <xf numFmtId="4" fontId="93" fillId="49" borderId="196">
      <alignment horizontal="right" vertical="center"/>
    </xf>
    <xf numFmtId="0" fontId="108" fillId="0" borderId="194" applyNumberFormat="0" applyFill="0" applyAlignment="0" applyProtection="0"/>
    <xf numFmtId="49" fontId="60" fillId="0" borderId="196" applyNumberFormat="0" applyFill="0" applyBorder="0" applyProtection="0">
      <alignment horizontal="left" vertical="center"/>
    </xf>
    <xf numFmtId="49" fontId="58" fillId="0" borderId="197" applyNumberFormat="0" applyFont="0" applyFill="0" applyBorder="0" applyProtection="0">
      <alignment horizontal="left" vertical="center" indent="5"/>
    </xf>
    <xf numFmtId="0" fontId="58" fillId="49" borderId="197">
      <alignment horizontal="left" vertical="center"/>
    </xf>
    <xf numFmtId="0" fontId="104" fillId="72" borderId="193" applyNumberFormat="0" applyAlignment="0" applyProtection="0"/>
    <xf numFmtId="4" fontId="93" fillId="16" borderId="198">
      <alignment horizontal="right" vertical="center"/>
    </xf>
    <xf numFmtId="0" fontId="116" fillId="59" borderId="193" applyNumberFormat="0" applyAlignment="0" applyProtection="0"/>
    <xf numFmtId="0" fontId="116" fillId="59" borderId="193" applyNumberFormat="0" applyAlignment="0" applyProtection="0"/>
    <xf numFmtId="0" fontId="98" fillId="75" borderId="195" applyNumberFormat="0" applyFont="0" applyAlignment="0" applyProtection="0"/>
    <xf numFmtId="0" fontId="120" fillId="72" borderId="200" applyNumberFormat="0" applyAlignment="0" applyProtection="0"/>
    <xf numFmtId="0" fontId="123" fillId="0" borderId="194" applyNumberFormat="0" applyFill="0" applyAlignment="0" applyProtection="0"/>
    <xf numFmtId="0" fontId="93" fillId="16" borderId="196">
      <alignment horizontal="right" vertical="center"/>
    </xf>
    <xf numFmtId="0" fontId="36" fillId="75" borderId="195" applyNumberFormat="0" applyFont="0" applyAlignment="0" applyProtection="0"/>
    <xf numFmtId="4" fontId="58" fillId="0" borderId="196">
      <alignment horizontal="right" vertical="center"/>
    </xf>
    <xf numFmtId="0" fontId="123" fillId="0" borderId="194" applyNumberFormat="0" applyFill="0" applyAlignment="0" applyProtection="0"/>
    <xf numFmtId="0" fontId="93" fillId="16" borderId="196">
      <alignment horizontal="right" vertical="center"/>
    </xf>
    <xf numFmtId="0" fontId="93" fillId="16" borderId="196">
      <alignment horizontal="right" vertical="center"/>
    </xf>
    <xf numFmtId="4" fontId="95" fillId="49" borderId="196">
      <alignment horizontal="right" vertical="center"/>
    </xf>
    <xf numFmtId="0" fontId="93" fillId="49" borderId="196">
      <alignment horizontal="right" vertical="center"/>
    </xf>
    <xf numFmtId="4" fontId="93" fillId="49" borderId="196">
      <alignment horizontal="right" vertical="center"/>
    </xf>
    <xf numFmtId="0" fontId="95" fillId="49" borderId="196">
      <alignment horizontal="right" vertical="center"/>
    </xf>
    <xf numFmtId="4" fontId="95" fillId="49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93" fillId="16" borderId="196">
      <alignment horizontal="right" vertical="center"/>
    </xf>
    <xf numFmtId="4" fontId="93" fillId="16" borderId="196">
      <alignment horizontal="right" vertical="center"/>
    </xf>
    <xf numFmtId="0" fontId="93" fillId="16" borderId="197">
      <alignment horizontal="right" vertical="center"/>
    </xf>
    <xf numFmtId="4" fontId="93" fillId="16" borderId="197">
      <alignment horizontal="right" vertical="center"/>
    </xf>
    <xf numFmtId="0" fontId="93" fillId="16" borderId="198">
      <alignment horizontal="right" vertical="center"/>
    </xf>
    <xf numFmtId="4" fontId="93" fillId="16" borderId="198">
      <alignment horizontal="right" vertical="center"/>
    </xf>
    <xf numFmtId="0" fontId="104" fillId="72" borderId="193" applyNumberFormat="0" applyAlignment="0" applyProtection="0"/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58" fillId="49" borderId="197">
      <alignment horizontal="left" vertical="center"/>
    </xf>
    <xf numFmtId="0" fontId="116" fillId="59" borderId="193" applyNumberFormat="0" applyAlignment="0" applyProtection="0"/>
    <xf numFmtId="0" fontId="58" fillId="0" borderId="196">
      <alignment horizontal="right" vertical="center"/>
    </xf>
    <xf numFmtId="4" fontId="58" fillId="0" borderId="196">
      <alignment horizontal="right" vertical="center"/>
    </xf>
    <xf numFmtId="0" fontId="58" fillId="0" borderId="196" applyNumberFormat="0" applyFill="0" applyAlignment="0" applyProtection="0"/>
    <xf numFmtId="0" fontId="120" fillId="72" borderId="200" applyNumberFormat="0" applyAlignment="0" applyProtection="0"/>
    <xf numFmtId="183" fontId="58" fillId="76" borderId="196" applyNumberFormat="0" applyFont="0" applyBorder="0" applyAlignment="0" applyProtection="0">
      <alignment horizontal="right" vertical="center"/>
    </xf>
    <xf numFmtId="0" fontId="58" fillId="50" borderId="196"/>
    <xf numFmtId="4" fontId="58" fillId="50" borderId="196"/>
    <xf numFmtId="0" fontId="123" fillId="0" borderId="194" applyNumberFormat="0" applyFill="0" applyAlignment="0" applyProtection="0"/>
    <xf numFmtId="0" fontId="36" fillId="75" borderId="195" applyNumberFormat="0" applyFont="0" applyAlignment="0" applyProtection="0"/>
    <xf numFmtId="0" fontId="98" fillId="75" borderId="195" applyNumberFormat="0" applyFont="0" applyAlignment="0" applyProtection="0"/>
    <xf numFmtId="0" fontId="58" fillId="0" borderId="196" applyNumberFormat="0" applyFill="0" applyAlignment="0" applyProtection="0"/>
    <xf numFmtId="0" fontId="108" fillId="0" borderId="194" applyNumberFormat="0" applyFill="0" applyAlignment="0" applyProtection="0"/>
    <xf numFmtId="0" fontId="123" fillId="0" borderId="194" applyNumberFormat="0" applyFill="0" applyAlignment="0" applyProtection="0"/>
    <xf numFmtId="0" fontId="107" fillId="59" borderId="193" applyNumberFormat="0" applyAlignment="0" applyProtection="0"/>
    <xf numFmtId="0" fontId="104" fillId="72" borderId="193" applyNumberFormat="0" applyAlignment="0" applyProtection="0"/>
    <xf numFmtId="4" fontId="95" fillId="49" borderId="196">
      <alignment horizontal="right" vertical="center"/>
    </xf>
    <xf numFmtId="0" fontId="93" fillId="49" borderId="196">
      <alignment horizontal="right" vertical="center"/>
    </xf>
    <xf numFmtId="183" fontId="58" fillId="76" borderId="196" applyNumberFormat="0" applyFont="0" applyBorder="0" applyAlignment="0" applyProtection="0">
      <alignment horizontal="right" vertical="center"/>
    </xf>
    <xf numFmtId="0" fontId="108" fillId="0" borderId="194" applyNumberFormat="0" applyFill="0" applyAlignment="0" applyProtection="0"/>
    <xf numFmtId="49" fontId="58" fillId="0" borderId="196" applyNumberFormat="0" applyFont="0" applyFill="0" applyBorder="0" applyProtection="0">
      <alignment horizontal="left" vertical="center" indent="2"/>
    </xf>
    <xf numFmtId="49" fontId="58" fillId="0" borderId="197" applyNumberFormat="0" applyFont="0" applyFill="0" applyBorder="0" applyProtection="0">
      <alignment horizontal="left" vertical="center" indent="5"/>
    </xf>
    <xf numFmtId="49" fontId="58" fillId="0" borderId="196" applyNumberFormat="0" applyFont="0" applyFill="0" applyBorder="0" applyProtection="0">
      <alignment horizontal="left" vertical="center" indent="2"/>
    </xf>
    <xf numFmtId="4" fontId="58" fillId="0" borderId="196" applyFill="0" applyBorder="0" applyProtection="0">
      <alignment horizontal="right" vertical="center"/>
    </xf>
    <xf numFmtId="49" fontId="60" fillId="0" borderId="196" applyNumberFormat="0" applyFill="0" applyBorder="0" applyProtection="0">
      <alignment horizontal="left" vertical="center"/>
    </xf>
    <xf numFmtId="0" fontId="58" fillId="0" borderId="199">
      <alignment horizontal="left" vertical="center" wrapText="1" indent="2"/>
    </xf>
    <xf numFmtId="0" fontId="120" fillId="72" borderId="200" applyNumberFormat="0" applyAlignment="0" applyProtection="0"/>
    <xf numFmtId="0" fontId="93" fillId="16" borderId="198">
      <alignment horizontal="right" vertical="center"/>
    </xf>
    <xf numFmtId="0" fontId="107" fillId="59" borderId="193" applyNumberFormat="0" applyAlignment="0" applyProtection="0"/>
    <xf numFmtId="0" fontId="93" fillId="16" borderId="198">
      <alignment horizontal="right" vertical="center"/>
    </xf>
    <xf numFmtId="4" fontId="93" fillId="16" borderId="196">
      <alignment horizontal="right" vertical="center"/>
    </xf>
    <xf numFmtId="0" fontId="93" fillId="16" borderId="196">
      <alignment horizontal="right" vertical="center"/>
    </xf>
    <xf numFmtId="0" fontId="101" fillId="72" borderId="200" applyNumberFormat="0" applyAlignment="0" applyProtection="0"/>
    <xf numFmtId="0" fontId="103" fillId="72" borderId="193" applyNumberFormat="0" applyAlignment="0" applyProtection="0"/>
    <xf numFmtId="0" fontId="108" fillId="0" borderId="194" applyNumberFormat="0" applyFill="0" applyAlignment="0" applyProtection="0"/>
    <xf numFmtId="0" fontId="58" fillId="50" borderId="196"/>
    <xf numFmtId="4" fontId="58" fillId="50" borderId="196"/>
    <xf numFmtId="4" fontId="93" fillId="16" borderId="196">
      <alignment horizontal="right" vertical="center"/>
    </xf>
    <xf numFmtId="0" fontId="95" fillId="49" borderId="196">
      <alignment horizontal="right" vertical="center"/>
    </xf>
    <xf numFmtId="0" fontId="107" fillId="59" borderId="193" applyNumberFormat="0" applyAlignment="0" applyProtection="0"/>
    <xf numFmtId="0" fontId="104" fillId="72" borderId="193" applyNumberFormat="0" applyAlignment="0" applyProtection="0"/>
    <xf numFmtId="4" fontId="58" fillId="0" borderId="196">
      <alignment horizontal="right" vertical="center"/>
    </xf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120" fillId="72" borderId="200" applyNumberFormat="0" applyAlignment="0" applyProtection="0"/>
    <xf numFmtId="0" fontId="116" fillId="59" borderId="193" applyNumberFormat="0" applyAlignment="0" applyProtection="0"/>
    <xf numFmtId="0" fontId="103" fillId="72" borderId="193" applyNumberFormat="0" applyAlignment="0" applyProtection="0"/>
    <xf numFmtId="0" fontId="101" fillId="72" borderId="200" applyNumberFormat="0" applyAlignment="0" applyProtection="0"/>
    <xf numFmtId="0" fontId="93" fillId="16" borderId="198">
      <alignment horizontal="right" vertical="center"/>
    </xf>
    <xf numFmtId="0" fontId="95" fillId="49" borderId="196">
      <alignment horizontal="right" vertical="center"/>
    </xf>
    <xf numFmtId="4" fontId="93" fillId="49" borderId="196">
      <alignment horizontal="right" vertical="center"/>
    </xf>
    <xf numFmtId="4" fontId="93" fillId="16" borderId="196">
      <alignment horizontal="right" vertical="center"/>
    </xf>
    <xf numFmtId="49" fontId="58" fillId="0" borderId="197" applyNumberFormat="0" applyFont="0" applyFill="0" applyBorder="0" applyProtection="0">
      <alignment horizontal="left" vertical="center" indent="5"/>
    </xf>
    <xf numFmtId="4" fontId="58" fillId="0" borderId="196" applyFill="0" applyBorder="0" applyProtection="0">
      <alignment horizontal="right" vertical="center"/>
    </xf>
    <xf numFmtId="4" fontId="93" fillId="49" borderId="196">
      <alignment horizontal="right" vertical="center"/>
    </xf>
    <xf numFmtId="0" fontId="116" fillId="59" borderId="193" applyNumberFormat="0" applyAlignment="0" applyProtection="0"/>
    <xf numFmtId="0" fontId="107" fillId="59" borderId="193" applyNumberFormat="0" applyAlignment="0" applyProtection="0"/>
    <xf numFmtId="0" fontId="103" fillId="72" borderId="193" applyNumberFormat="0" applyAlignment="0" applyProtection="0"/>
    <xf numFmtId="0" fontId="58" fillId="16" borderId="199">
      <alignment horizontal="left" vertical="center" wrapText="1" indent="2"/>
    </xf>
    <xf numFmtId="0" fontId="58" fillId="0" borderId="199">
      <alignment horizontal="left" vertical="center" wrapText="1" indent="2"/>
    </xf>
    <xf numFmtId="0" fontId="58" fillId="16" borderId="199">
      <alignment horizontal="left" vertical="center" wrapText="1" indent="2"/>
    </xf>
    <xf numFmtId="0" fontId="1" fillId="0" borderId="0"/>
    <xf numFmtId="9" fontId="1" fillId="0" borderId="0" applyFont="0" applyFill="0" applyBorder="0" applyAlignment="0" applyProtection="0"/>
    <xf numFmtId="0" fontId="36" fillId="0" borderId="0"/>
  </cellStyleXfs>
  <cellXfs count="1055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 wrapText="1"/>
    </xf>
    <xf numFmtId="0" fontId="9" fillId="3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7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right" vertical="center"/>
    </xf>
    <xf numFmtId="168" fontId="7" fillId="0" borderId="1" xfId="0" applyNumberFormat="1" applyFont="1" applyBorder="1" applyAlignment="1">
      <alignment horizontal="right" vertical="center"/>
    </xf>
    <xf numFmtId="9" fontId="7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168" fontId="18" fillId="0" borderId="0" xfId="0" applyNumberFormat="1" applyFont="1" applyAlignment="1">
      <alignment horizontal="right" vertical="center"/>
    </xf>
    <xf numFmtId="0" fontId="9" fillId="3" borderId="0" xfId="0" applyFont="1" applyFill="1" applyAlignment="1">
      <alignment vertical="center"/>
    </xf>
    <xf numFmtId="168" fontId="18" fillId="7" borderId="0" xfId="0" applyNumberFormat="1" applyFont="1" applyFill="1" applyAlignment="1">
      <alignment horizontal="right" vertical="center"/>
    </xf>
    <xf numFmtId="0" fontId="17" fillId="0" borderId="0" xfId="0" applyFont="1"/>
    <xf numFmtId="168" fontId="0" fillId="7" borderId="0" xfId="0" applyNumberFormat="1" applyFill="1" applyAlignment="1">
      <alignment vertical="center"/>
    </xf>
    <xf numFmtId="170" fontId="7" fillId="6" borderId="0" xfId="0" applyNumberFormat="1" applyFont="1" applyFill="1" applyAlignment="1">
      <alignment horizontal="right" vertical="center"/>
    </xf>
    <xf numFmtId="170" fontId="9" fillId="7" borderId="0" xfId="0" applyNumberFormat="1" applyFont="1" applyFill="1" applyAlignment="1">
      <alignment horizontal="right" vertical="center"/>
    </xf>
    <xf numFmtId="168" fontId="7" fillId="0" borderId="0" xfId="0" applyNumberFormat="1" applyFont="1" applyAlignment="1">
      <alignment horizontal="right" vertical="center"/>
    </xf>
    <xf numFmtId="0" fontId="10" fillId="4" borderId="0" xfId="0" applyFont="1" applyFill="1" applyAlignment="1">
      <alignment vertical="center" wrapText="1"/>
    </xf>
    <xf numFmtId="1" fontId="0" fillId="0" borderId="0" xfId="0" applyNumberFormat="1"/>
    <xf numFmtId="3" fontId="0" fillId="0" borderId="0" xfId="0" applyNumberFormat="1"/>
    <xf numFmtId="1" fontId="6" fillId="0" borderId="0" xfId="3" applyNumberFormat="1"/>
    <xf numFmtId="3" fontId="0" fillId="5" borderId="0" xfId="0" applyNumberFormat="1" applyFill="1"/>
    <xf numFmtId="3" fontId="17" fillId="0" borderId="0" xfId="0" applyNumberFormat="1" applyFont="1"/>
    <xf numFmtId="3" fontId="0" fillId="8" borderId="0" xfId="0" applyNumberFormat="1" applyFill="1"/>
    <xf numFmtId="0" fontId="9" fillId="3" borderId="0" xfId="0" applyFont="1" applyFill="1" applyAlignment="1">
      <alignment vertical="center" wrapText="1"/>
    </xf>
    <xf numFmtId="170" fontId="0" fillId="0" borderId="0" xfId="0" applyNumberFormat="1"/>
    <xf numFmtId="0" fontId="0" fillId="0" borderId="0" xfId="0" applyAlignment="1">
      <alignment wrapText="1"/>
    </xf>
    <xf numFmtId="10" fontId="0" fillId="0" borderId="0" xfId="2" applyNumberFormat="1" applyFont="1" applyAlignment="1"/>
    <xf numFmtId="169" fontId="0" fillId="0" borderId="0" xfId="2" applyNumberFormat="1" applyFont="1" applyAlignment="1"/>
    <xf numFmtId="169" fontId="0" fillId="7" borderId="0" xfId="2" applyNumberFormat="1" applyFont="1" applyFill="1" applyAlignment="1">
      <alignment vertical="center"/>
    </xf>
    <xf numFmtId="0" fontId="28" fillId="0" borderId="0" xfId="0" applyFont="1"/>
    <xf numFmtId="0" fontId="0" fillId="5" borderId="0" xfId="0" applyFill="1"/>
    <xf numFmtId="0" fontId="29" fillId="0" borderId="0" xfId="0" applyFont="1"/>
    <xf numFmtId="0" fontId="27" fillId="0" borderId="0" xfId="0" applyFont="1" applyAlignment="1">
      <alignment horizontal="center"/>
    </xf>
    <xf numFmtId="0" fontId="0" fillId="0" borderId="7" xfId="0" applyBorder="1"/>
    <xf numFmtId="0" fontId="27" fillId="0" borderId="7" xfId="0" applyFont="1" applyBorder="1"/>
    <xf numFmtId="0" fontId="27" fillId="0" borderId="0" xfId="0" applyFont="1"/>
    <xf numFmtId="0" fontId="30" fillId="0" borderId="8" xfId="0" applyFont="1" applyBorder="1"/>
    <xf numFmtId="0" fontId="30" fillId="0" borderId="0" xfId="0" applyFont="1"/>
    <xf numFmtId="171" fontId="0" fillId="0" borderId="0" xfId="0" applyNumberFormat="1"/>
    <xf numFmtId="3" fontId="30" fillId="0" borderId="0" xfId="0" applyNumberFormat="1" applyFont="1"/>
    <xf numFmtId="0" fontId="31" fillId="0" borderId="0" xfId="0" applyFont="1"/>
    <xf numFmtId="170" fontId="25" fillId="0" borderId="0" xfId="0" applyNumberFormat="1" applyFont="1"/>
    <xf numFmtId="170" fontId="17" fillId="0" borderId="0" xfId="0" applyNumberFormat="1" applyFont="1"/>
    <xf numFmtId="170" fontId="0" fillId="7" borderId="0" xfId="0" applyNumberFormat="1" applyFill="1" applyAlignment="1">
      <alignment vertical="center"/>
    </xf>
    <xf numFmtId="3" fontId="33" fillId="0" borderId="0" xfId="0" applyNumberFormat="1" applyFont="1"/>
    <xf numFmtId="0" fontId="33" fillId="0" borderId="0" xfId="0" applyFont="1"/>
    <xf numFmtId="3" fontId="0" fillId="7" borderId="0" xfId="0" applyNumberFormat="1" applyFill="1" applyAlignment="1">
      <alignment vertical="center"/>
    </xf>
    <xf numFmtId="0" fontId="27" fillId="0" borderId="9" xfId="0" applyFont="1" applyBorder="1"/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0" fillId="0" borderId="13" xfId="0" applyBorder="1"/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0" fillId="0" borderId="17" xfId="0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0" fontId="0" fillId="0" borderId="21" xfId="0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0" borderId="25" xfId="0" applyBorder="1"/>
    <xf numFmtId="3" fontId="0" fillId="0" borderId="26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0" fontId="27" fillId="0" borderId="29" xfId="0" applyFont="1" applyBorder="1"/>
    <xf numFmtId="176" fontId="27" fillId="0" borderId="30" xfId="0" applyNumberFormat="1" applyFont="1" applyBorder="1"/>
    <xf numFmtId="176" fontId="27" fillId="0" borderId="31" xfId="0" applyNumberFormat="1" applyFont="1" applyBorder="1"/>
    <xf numFmtId="176" fontId="27" fillId="0" borderId="32" xfId="0" applyNumberFormat="1" applyFont="1" applyBorder="1"/>
    <xf numFmtId="0" fontId="0" fillId="0" borderId="33" xfId="0" applyBorder="1"/>
    <xf numFmtId="176" fontId="27" fillId="0" borderId="0" xfId="0" applyNumberFormat="1" applyFont="1"/>
    <xf numFmtId="174" fontId="0" fillId="0" borderId="0" xfId="0" applyNumberFormat="1"/>
    <xf numFmtId="0" fontId="0" fillId="0" borderId="34" xfId="0" applyBorder="1"/>
    <xf numFmtId="177" fontId="0" fillId="0" borderId="35" xfId="0" applyNumberFormat="1" applyBorder="1"/>
    <xf numFmtId="177" fontId="0" fillId="0" borderId="36" xfId="0" applyNumberFormat="1" applyBorder="1"/>
    <xf numFmtId="177" fontId="0" fillId="0" borderId="37" xfId="0" applyNumberFormat="1" applyBorder="1"/>
    <xf numFmtId="176" fontId="0" fillId="0" borderId="0" xfId="0" applyNumberFormat="1"/>
    <xf numFmtId="3" fontId="0" fillId="0" borderId="35" xfId="0" applyNumberFormat="1" applyBorder="1"/>
    <xf numFmtId="3" fontId="0" fillId="0" borderId="36" xfId="0" applyNumberFormat="1" applyBorder="1"/>
    <xf numFmtId="3" fontId="0" fillId="0" borderId="37" xfId="0" applyNumberFormat="1" applyBorder="1"/>
    <xf numFmtId="2" fontId="0" fillId="0" borderId="0" xfId="0" applyNumberFormat="1"/>
    <xf numFmtId="0" fontId="17" fillId="0" borderId="7" xfId="0" applyFont="1" applyBorder="1"/>
    <xf numFmtId="178" fontId="0" fillId="0" borderId="0" xfId="0" applyNumberFormat="1"/>
    <xf numFmtId="0" fontId="34" fillId="0" borderId="0" xfId="0" applyFont="1"/>
    <xf numFmtId="3" fontId="14" fillId="0" borderId="0" xfId="0" applyNumberFormat="1" applyFont="1"/>
    <xf numFmtId="0" fontId="36" fillId="9" borderId="46" xfId="0" applyFont="1" applyFill="1" applyBorder="1" applyAlignment="1">
      <alignment horizontal="center" textRotation="90" wrapText="1"/>
    </xf>
    <xf numFmtId="0" fontId="36" fillId="9" borderId="47" xfId="0" applyFont="1" applyFill="1" applyBorder="1" applyAlignment="1">
      <alignment horizontal="center" textRotation="90" wrapText="1"/>
    </xf>
    <xf numFmtId="0" fontId="36" fillId="9" borderId="48" xfId="0" applyFont="1" applyFill="1" applyBorder="1" applyAlignment="1">
      <alignment horizontal="center" textRotation="90" wrapText="1"/>
    </xf>
    <xf numFmtId="9" fontId="36" fillId="9" borderId="49" xfId="4" applyFont="1" applyFill="1" applyBorder="1" applyAlignment="1">
      <alignment horizontal="center" textRotation="90" wrapText="1"/>
    </xf>
    <xf numFmtId="0" fontId="36" fillId="9" borderId="56" xfId="0" applyFont="1" applyFill="1" applyBorder="1" applyAlignment="1">
      <alignment horizontal="center" textRotation="90" wrapText="1"/>
    </xf>
    <xf numFmtId="0" fontId="36" fillId="9" borderId="57" xfId="0" applyFont="1" applyFill="1" applyBorder="1" applyAlignment="1">
      <alignment horizontal="center" textRotation="90" wrapText="1"/>
    </xf>
    <xf numFmtId="0" fontId="36" fillId="9" borderId="58" xfId="0" applyFont="1" applyFill="1" applyBorder="1" applyAlignment="1">
      <alignment horizontal="center" textRotation="90" wrapText="1"/>
    </xf>
    <xf numFmtId="9" fontId="36" fillId="9" borderId="49" xfId="4" applyFont="1" applyFill="1" applyBorder="1" applyAlignment="1">
      <alignment horizontal="center" vertical="center" wrapText="1"/>
    </xf>
    <xf numFmtId="0" fontId="37" fillId="9" borderId="59" xfId="0" applyFont="1" applyFill="1" applyBorder="1" applyAlignment="1">
      <alignment horizontal="center"/>
    </xf>
    <xf numFmtId="0" fontId="37" fillId="9" borderId="6" xfId="0" applyFont="1" applyFill="1" applyBorder="1" applyAlignment="1">
      <alignment horizontal="center"/>
    </xf>
    <xf numFmtId="0" fontId="37" fillId="9" borderId="55" xfId="0" applyFont="1" applyFill="1" applyBorder="1" applyAlignment="1">
      <alignment horizontal="center"/>
    </xf>
    <xf numFmtId="0" fontId="38" fillId="10" borderId="60" xfId="0" applyFont="1" applyFill="1" applyBorder="1" applyAlignment="1">
      <alignment horizontal="left" vertical="center" wrapText="1" indent="1"/>
    </xf>
    <xf numFmtId="0" fontId="38" fillId="10" borderId="61" xfId="0" applyFont="1" applyFill="1" applyBorder="1" applyAlignment="1">
      <alignment horizontal="left" vertical="center" wrapText="1" indent="1"/>
    </xf>
    <xf numFmtId="0" fontId="38" fillId="10" borderId="62" xfId="0" applyFont="1" applyFill="1" applyBorder="1" applyAlignment="1">
      <alignment horizontal="left" vertical="center" wrapText="1" indent="1"/>
    </xf>
    <xf numFmtId="0" fontId="39" fillId="11" borderId="63" xfId="0" applyFont="1" applyFill="1" applyBorder="1" applyAlignment="1">
      <alignment horizontal="left"/>
    </xf>
    <xf numFmtId="0" fontId="39" fillId="11" borderId="64" xfId="0" applyFont="1" applyFill="1" applyBorder="1" applyAlignment="1">
      <alignment horizontal="left"/>
    </xf>
    <xf numFmtId="2" fontId="39" fillId="9" borderId="65" xfId="0" applyNumberFormat="1" applyFont="1" applyFill="1" applyBorder="1" applyAlignment="1">
      <alignment horizontal="right"/>
    </xf>
    <xf numFmtId="2" fontId="39" fillId="9" borderId="0" xfId="0" applyNumberFormat="1" applyFont="1" applyFill="1" applyAlignment="1">
      <alignment horizontal="right"/>
    </xf>
    <xf numFmtId="2" fontId="39" fillId="9" borderId="66" xfId="0" applyNumberFormat="1" applyFont="1" applyFill="1" applyBorder="1" applyAlignment="1">
      <alignment horizontal="right"/>
    </xf>
    <xf numFmtId="2" fontId="39" fillId="9" borderId="67" xfId="4" applyNumberFormat="1" applyFont="1" applyFill="1" applyBorder="1" applyAlignment="1">
      <alignment horizontal="center" vertical="center" wrapText="1"/>
    </xf>
    <xf numFmtId="0" fontId="36" fillId="9" borderId="25" xfId="0" applyFont="1" applyFill="1" applyBorder="1"/>
    <xf numFmtId="0" fontId="39" fillId="9" borderId="46" xfId="0" applyFont="1" applyFill="1" applyBorder="1" applyAlignment="1">
      <alignment horizontal="center"/>
    </xf>
    <xf numFmtId="0" fontId="39" fillId="9" borderId="52" xfId="0" applyFont="1" applyFill="1" applyBorder="1" applyAlignment="1">
      <alignment horizontal="center"/>
    </xf>
    <xf numFmtId="0" fontId="39" fillId="9" borderId="48" xfId="0" applyFont="1" applyFill="1" applyBorder="1" applyAlignment="1">
      <alignment horizontal="center"/>
    </xf>
    <xf numFmtId="9" fontId="36" fillId="9" borderId="49" xfId="4" applyFont="1" applyFill="1" applyBorder="1" applyAlignment="1">
      <alignment horizontal="center" wrapText="1"/>
    </xf>
    <xf numFmtId="9" fontId="36" fillId="9" borderId="54" xfId="4" applyFont="1" applyFill="1" applyBorder="1" applyAlignment="1">
      <alignment horizontal="center" wrapText="1"/>
    </xf>
    <xf numFmtId="0" fontId="36" fillId="9" borderId="73" xfId="0" applyFont="1" applyFill="1" applyBorder="1"/>
    <xf numFmtId="0" fontId="41" fillId="13" borderId="76" xfId="0" applyFont="1" applyFill="1" applyBorder="1" applyAlignment="1">
      <alignment horizontal="left" vertical="top" wrapText="1" indent="1"/>
    </xf>
    <xf numFmtId="3" fontId="41" fillId="13" borderId="77" xfId="0" applyNumberFormat="1" applyFont="1" applyFill="1" applyBorder="1" applyAlignment="1">
      <alignment horizontal="left" vertical="top" wrapText="1" indent="1"/>
    </xf>
    <xf numFmtId="9" fontId="41" fillId="13" borderId="77" xfId="0" applyNumberFormat="1" applyFont="1" applyFill="1" applyBorder="1" applyAlignment="1">
      <alignment horizontal="left" vertical="top" wrapText="1" indent="1"/>
    </xf>
    <xf numFmtId="0" fontId="41" fillId="13" borderId="77" xfId="0" applyFont="1" applyFill="1" applyBorder="1" applyAlignment="1">
      <alignment horizontal="left" vertical="top" wrapText="1" indent="1"/>
    </xf>
    <xf numFmtId="3" fontId="41" fillId="13" borderId="78" xfId="0" applyNumberFormat="1" applyFont="1" applyFill="1" applyBorder="1" applyAlignment="1">
      <alignment horizontal="left" vertical="top" wrapText="1" indent="1"/>
    </xf>
    <xf numFmtId="10" fontId="0" fillId="0" borderId="0" xfId="2" applyNumberFormat="1" applyFont="1"/>
    <xf numFmtId="167" fontId="0" fillId="0" borderId="0" xfId="13" applyFont="1"/>
    <xf numFmtId="169" fontId="0" fillId="0" borderId="0" xfId="2" applyNumberFormat="1" applyFont="1"/>
    <xf numFmtId="0" fontId="39" fillId="11" borderId="79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6" fillId="9" borderId="81" xfId="0" applyFont="1" applyFill="1" applyBorder="1" applyAlignment="1">
      <alignment horizontal="center"/>
    </xf>
    <xf numFmtId="0" fontId="36" fillId="9" borderId="80" xfId="0" applyFont="1" applyFill="1" applyBorder="1" applyAlignment="1">
      <alignment horizontal="center"/>
    </xf>
    <xf numFmtId="0" fontId="36" fillId="9" borderId="13" xfId="0" applyFont="1" applyFill="1" applyBorder="1"/>
    <xf numFmtId="0" fontId="39" fillId="9" borderId="82" xfId="0" applyFont="1" applyFill="1" applyBorder="1" applyAlignment="1">
      <alignment horizontal="right"/>
    </xf>
    <xf numFmtId="0" fontId="39" fillId="9" borderId="15" xfId="0" applyFont="1" applyFill="1" applyBorder="1" applyAlignment="1">
      <alignment horizontal="right"/>
    </xf>
    <xf numFmtId="0" fontId="39" fillId="9" borderId="83" xfId="0" applyFont="1" applyFill="1" applyBorder="1" applyAlignment="1">
      <alignment horizontal="right"/>
    </xf>
    <xf numFmtId="0" fontId="36" fillId="9" borderId="84" xfId="0" applyFont="1" applyFill="1" applyBorder="1" applyAlignment="1">
      <alignment horizontal="center"/>
    </xf>
    <xf numFmtId="9" fontId="36" fillId="9" borderId="3" xfId="4" applyFont="1" applyFill="1" applyBorder="1" applyAlignment="1">
      <alignment horizontal="center" wrapText="1"/>
    </xf>
    <xf numFmtId="0" fontId="41" fillId="12" borderId="76" xfId="0" applyFont="1" applyFill="1" applyBorder="1" applyAlignment="1">
      <alignment horizontal="left" vertical="top" wrapText="1" indent="1"/>
    </xf>
    <xf numFmtId="0" fontId="41" fillId="12" borderId="77" xfId="0" applyFont="1" applyFill="1" applyBorder="1" applyAlignment="1">
      <alignment horizontal="left" vertical="top" wrapText="1" indent="1"/>
    </xf>
    <xf numFmtId="9" fontId="41" fillId="12" borderId="77" xfId="0" applyNumberFormat="1" applyFont="1" applyFill="1" applyBorder="1" applyAlignment="1">
      <alignment horizontal="left" vertical="top" wrapText="1" indent="1"/>
    </xf>
    <xf numFmtId="3" fontId="41" fillId="12" borderId="78" xfId="0" applyNumberFormat="1" applyFont="1" applyFill="1" applyBorder="1" applyAlignment="1">
      <alignment horizontal="left" vertical="top" wrapText="1" indent="1"/>
    </xf>
    <xf numFmtId="0" fontId="36" fillId="0" borderId="86" xfId="0" applyFont="1" applyBorder="1"/>
    <xf numFmtId="3" fontId="36" fillId="9" borderId="87" xfId="0" applyNumberFormat="1" applyFont="1" applyFill="1" applyBorder="1"/>
    <xf numFmtId="3" fontId="36" fillId="9" borderId="88" xfId="0" applyNumberFormat="1" applyFont="1" applyFill="1" applyBorder="1"/>
    <xf numFmtId="3" fontId="36" fillId="9" borderId="86" xfId="0" applyNumberFormat="1" applyFont="1" applyFill="1" applyBorder="1"/>
    <xf numFmtId="3" fontId="36" fillId="9" borderId="89" xfId="0" applyNumberFormat="1" applyFont="1" applyFill="1" applyBorder="1"/>
    <xf numFmtId="3" fontId="36" fillId="9" borderId="90" xfId="0" applyNumberFormat="1" applyFont="1" applyFill="1" applyBorder="1"/>
    <xf numFmtId="0" fontId="36" fillId="9" borderId="25" xfId="0" applyFont="1" applyFill="1" applyBorder="1" applyAlignment="1">
      <alignment horizontal="left"/>
    </xf>
    <xf numFmtId="0" fontId="36" fillId="9" borderId="0" xfId="0" applyFont="1" applyFill="1" applyAlignment="1">
      <alignment horizontal="center"/>
    </xf>
    <xf numFmtId="179" fontId="36" fillId="9" borderId="0" xfId="0" applyNumberFormat="1" applyFont="1" applyFill="1"/>
    <xf numFmtId="3" fontId="36" fillId="9" borderId="45" xfId="0" applyNumberFormat="1" applyFont="1" applyFill="1" applyBorder="1"/>
    <xf numFmtId="10" fontId="0" fillId="0" borderId="0" xfId="0" applyNumberFormat="1"/>
    <xf numFmtId="0" fontId="36" fillId="0" borderId="91" xfId="0" applyFont="1" applyBorder="1"/>
    <xf numFmtId="3" fontId="36" fillId="9" borderId="92" xfId="0" applyNumberFormat="1" applyFont="1" applyFill="1" applyBorder="1"/>
    <xf numFmtId="3" fontId="36" fillId="9" borderId="93" xfId="0" applyNumberFormat="1" applyFont="1" applyFill="1" applyBorder="1"/>
    <xf numFmtId="3" fontId="36" fillId="9" borderId="91" xfId="0" applyNumberFormat="1" applyFont="1" applyFill="1" applyBorder="1"/>
    <xf numFmtId="3" fontId="36" fillId="9" borderId="94" xfId="0" applyNumberFormat="1" applyFont="1" applyFill="1" applyBorder="1"/>
    <xf numFmtId="3" fontId="36" fillId="9" borderId="95" xfId="0" applyNumberFormat="1" applyFont="1" applyFill="1" applyBorder="1"/>
    <xf numFmtId="169" fontId="39" fillId="9" borderId="0" xfId="4" applyNumberFormat="1" applyFont="1" applyFill="1" applyBorder="1" applyAlignment="1">
      <alignment horizontal="right"/>
    </xf>
    <xf numFmtId="0" fontId="36" fillId="9" borderId="45" xfId="0" applyFont="1" applyFill="1" applyBorder="1" applyAlignment="1">
      <alignment horizontal="center"/>
    </xf>
    <xf numFmtId="3" fontId="41" fillId="12" borderId="77" xfId="0" applyNumberFormat="1" applyFont="1" applyFill="1" applyBorder="1" applyAlignment="1">
      <alignment horizontal="left" vertical="top" wrapText="1" indent="1"/>
    </xf>
    <xf numFmtId="0" fontId="36" fillId="9" borderId="25" xfId="0" applyFont="1" applyFill="1" applyBorder="1" applyAlignment="1">
      <alignment horizontal="center"/>
    </xf>
    <xf numFmtId="0" fontId="41" fillId="13" borderId="78" xfId="0" applyFont="1" applyFill="1" applyBorder="1" applyAlignment="1">
      <alignment horizontal="left" vertical="top" wrapText="1" indent="1"/>
    </xf>
    <xf numFmtId="0" fontId="41" fillId="12" borderId="78" xfId="0" applyFont="1" applyFill="1" applyBorder="1" applyAlignment="1">
      <alignment horizontal="left" vertical="top" wrapText="1" indent="1"/>
    </xf>
    <xf numFmtId="169" fontId="0" fillId="0" borderId="0" xfId="0" applyNumberFormat="1"/>
    <xf numFmtId="0" fontId="36" fillId="9" borderId="0" xfId="0" applyFont="1" applyFill="1"/>
    <xf numFmtId="0" fontId="36" fillId="9" borderId="45" xfId="0" applyFont="1" applyFill="1" applyBorder="1"/>
    <xf numFmtId="0" fontId="36" fillId="0" borderId="99" xfId="0" applyFont="1" applyBorder="1"/>
    <xf numFmtId="3" fontId="36" fillId="9" borderId="100" xfId="0" applyNumberFormat="1" applyFont="1" applyFill="1" applyBorder="1"/>
    <xf numFmtId="3" fontId="36" fillId="9" borderId="101" xfId="0" applyNumberFormat="1" applyFont="1" applyFill="1" applyBorder="1"/>
    <xf numFmtId="3" fontId="36" fillId="9" borderId="102" xfId="0" applyNumberFormat="1" applyFont="1" applyFill="1" applyBorder="1"/>
    <xf numFmtId="3" fontId="36" fillId="9" borderId="103" xfId="0" applyNumberFormat="1" applyFont="1" applyFill="1" applyBorder="1"/>
    <xf numFmtId="0" fontId="36" fillId="14" borderId="104" xfId="0" applyFont="1" applyFill="1" applyBorder="1"/>
    <xf numFmtId="0" fontId="36" fillId="14" borderId="105" xfId="0" applyFont="1" applyFill="1" applyBorder="1"/>
    <xf numFmtId="3" fontId="36" fillId="14" borderId="31" xfId="0" applyNumberFormat="1" applyFont="1" applyFill="1" applyBorder="1" applyAlignment="1">
      <alignment vertical="center"/>
    </xf>
    <xf numFmtId="3" fontId="36" fillId="14" borderId="106" xfId="0" applyNumberFormat="1" applyFont="1" applyFill="1" applyBorder="1" applyAlignment="1">
      <alignment vertical="center"/>
    </xf>
    <xf numFmtId="3" fontId="36" fillId="9" borderId="13" xfId="0" applyNumberFormat="1" applyFont="1" applyFill="1" applyBorder="1"/>
    <xf numFmtId="0" fontId="36" fillId="9" borderId="38" xfId="0" applyFont="1" applyFill="1" applyBorder="1"/>
    <xf numFmtId="0" fontId="36" fillId="9" borderId="75" xfId="0" applyFont="1" applyFill="1" applyBorder="1"/>
    <xf numFmtId="0" fontId="36" fillId="0" borderId="107" xfId="0" applyFont="1" applyBorder="1"/>
    <xf numFmtId="169" fontId="36" fillId="9" borderId="108" xfId="4" applyNumberFormat="1" applyFont="1" applyFill="1" applyBorder="1"/>
    <xf numFmtId="169" fontId="36" fillId="9" borderId="107" xfId="4" applyNumberFormat="1" applyFont="1" applyFill="1" applyBorder="1"/>
    <xf numFmtId="169" fontId="36" fillId="9" borderId="90" xfId="4" applyNumberFormat="1" applyFont="1" applyFill="1" applyBorder="1"/>
    <xf numFmtId="169" fontId="36" fillId="9" borderId="109" xfId="4" applyNumberFormat="1" applyFont="1" applyFill="1" applyBorder="1"/>
    <xf numFmtId="169" fontId="36" fillId="9" borderId="110" xfId="4" applyNumberFormat="1" applyFont="1" applyFill="1" applyBorder="1"/>
    <xf numFmtId="169" fontId="36" fillId="9" borderId="111" xfId="4" applyNumberFormat="1" applyFont="1" applyFill="1" applyBorder="1"/>
    <xf numFmtId="169" fontId="36" fillId="9" borderId="91" xfId="4" applyNumberFormat="1" applyFont="1" applyFill="1" applyBorder="1"/>
    <xf numFmtId="169" fontId="36" fillId="9" borderId="95" xfId="4" applyNumberFormat="1" applyFont="1" applyFill="1" applyBorder="1"/>
    <xf numFmtId="169" fontId="36" fillId="9" borderId="94" xfId="4" applyNumberFormat="1" applyFont="1" applyFill="1" applyBorder="1"/>
    <xf numFmtId="169" fontId="36" fillId="9" borderId="112" xfId="4" applyNumberFormat="1" applyFont="1" applyFill="1" applyBorder="1"/>
    <xf numFmtId="0" fontId="41" fillId="12" borderId="113" xfId="0" applyFont="1" applyFill="1" applyBorder="1" applyAlignment="1">
      <alignment horizontal="left" vertical="top" wrapText="1" indent="1"/>
    </xf>
    <xf numFmtId="3" fontId="41" fillId="12" borderId="114" xfId="0" applyNumberFormat="1" applyFont="1" applyFill="1" applyBorder="1" applyAlignment="1">
      <alignment horizontal="left" vertical="top" wrapText="1" indent="1"/>
    </xf>
    <xf numFmtId="9" fontId="41" fillId="12" borderId="114" xfId="0" applyNumberFormat="1" applyFont="1" applyFill="1" applyBorder="1" applyAlignment="1">
      <alignment horizontal="left" vertical="top" wrapText="1" indent="1"/>
    </xf>
    <xf numFmtId="0" fontId="41" fillId="12" borderId="114" xfId="0" applyFont="1" applyFill="1" applyBorder="1" applyAlignment="1">
      <alignment horizontal="left" vertical="top" wrapText="1" indent="1"/>
    </xf>
    <xf numFmtId="3" fontId="41" fillId="12" borderId="115" xfId="0" applyNumberFormat="1" applyFont="1" applyFill="1" applyBorder="1" applyAlignment="1">
      <alignment horizontal="left" vertical="top" wrapText="1" indent="1"/>
    </xf>
    <xf numFmtId="172" fontId="0" fillId="0" borderId="0" xfId="2" applyNumberFormat="1" applyFont="1"/>
    <xf numFmtId="0" fontId="36" fillId="11" borderId="91" xfId="0" applyFont="1" applyFill="1" applyBorder="1"/>
    <xf numFmtId="0" fontId="36" fillId="0" borderId="116" xfId="0" applyFont="1" applyBorder="1"/>
    <xf numFmtId="169" fontId="36" fillId="9" borderId="117" xfId="4" applyNumberFormat="1" applyFont="1" applyFill="1" applyBorder="1"/>
    <xf numFmtId="169" fontId="36" fillId="9" borderId="118" xfId="4" applyNumberFormat="1" applyFont="1" applyFill="1" applyBorder="1"/>
    <xf numFmtId="169" fontId="36" fillId="9" borderId="119" xfId="4" applyNumberFormat="1" applyFont="1" applyFill="1" applyBorder="1"/>
    <xf numFmtId="169" fontId="36" fillId="9" borderId="120" xfId="4" applyNumberFormat="1" applyFont="1" applyFill="1" applyBorder="1"/>
    <xf numFmtId="169" fontId="36" fillId="9" borderId="121" xfId="4" applyNumberFormat="1" applyFont="1" applyFill="1" applyBorder="1"/>
    <xf numFmtId="1" fontId="45" fillId="15" borderId="122" xfId="14" applyNumberFormat="1" applyFont="1" applyFill="1" applyBorder="1" applyAlignment="1">
      <alignment horizontal="center" vertical="center"/>
    </xf>
    <xf numFmtId="0" fontId="36" fillId="14" borderId="104" xfId="0" applyFont="1" applyFill="1" applyBorder="1" applyAlignment="1">
      <alignment vertical="center"/>
    </xf>
    <xf numFmtId="0" fontId="36" fillId="14" borderId="105" xfId="0" applyFont="1" applyFill="1" applyBorder="1" applyAlignment="1">
      <alignment vertical="center"/>
    </xf>
    <xf numFmtId="169" fontId="36" fillId="14" borderId="105" xfId="4" applyNumberFormat="1" applyFont="1" applyFill="1" applyBorder="1" applyAlignment="1">
      <alignment vertical="center"/>
    </xf>
    <xf numFmtId="169" fontId="36" fillId="14" borderId="106" xfId="4" applyNumberFormat="1" applyFont="1" applyFill="1" applyBorder="1" applyAlignment="1">
      <alignment vertical="center"/>
    </xf>
    <xf numFmtId="169" fontId="36" fillId="14" borderId="124" xfId="4" applyNumberFormat="1" applyFont="1" applyFill="1" applyBorder="1" applyAlignment="1">
      <alignment vertical="center"/>
    </xf>
    <xf numFmtId="0" fontId="22" fillId="0" borderId="0" xfId="6"/>
    <xf numFmtId="0" fontId="6" fillId="0" borderId="0" xfId="3"/>
    <xf numFmtId="0" fontId="36" fillId="0" borderId="119" xfId="0" applyFont="1" applyBorder="1"/>
    <xf numFmtId="169" fontId="36" fillId="9" borderId="126" xfId="4" applyNumberFormat="1" applyFont="1" applyFill="1" applyBorder="1"/>
    <xf numFmtId="169" fontId="36" fillId="9" borderId="102" xfId="4" applyNumberFormat="1" applyFont="1" applyFill="1" applyBorder="1"/>
    <xf numFmtId="169" fontId="36" fillId="9" borderId="116" xfId="4" applyNumberFormat="1" applyFont="1" applyFill="1" applyBorder="1"/>
    <xf numFmtId="169" fontId="36" fillId="9" borderId="127" xfId="4" applyNumberFormat="1" applyFont="1" applyFill="1" applyBorder="1"/>
    <xf numFmtId="0" fontId="36" fillId="0" borderId="102" xfId="0" applyFont="1" applyBorder="1"/>
    <xf numFmtId="9" fontId="0" fillId="0" borderId="0" xfId="0" applyNumberFormat="1"/>
    <xf numFmtId="0" fontId="36" fillId="0" borderId="128" xfId="0" applyFont="1" applyBorder="1"/>
    <xf numFmtId="169" fontId="36" fillId="9" borderId="129" xfId="4" applyNumberFormat="1" applyFont="1" applyFill="1" applyBorder="1"/>
    <xf numFmtId="169" fontId="36" fillId="9" borderId="86" xfId="4" applyNumberFormat="1" applyFont="1" applyFill="1" applyBorder="1"/>
    <xf numFmtId="169" fontId="36" fillId="9" borderId="130" xfId="4" applyNumberFormat="1" applyFont="1" applyFill="1" applyBorder="1"/>
    <xf numFmtId="169" fontId="36" fillId="9" borderId="131" xfId="4" applyNumberFormat="1" applyFont="1" applyFill="1" applyBorder="1"/>
    <xf numFmtId="0" fontId="36" fillId="0" borderId="132" xfId="0" applyFont="1" applyBorder="1"/>
    <xf numFmtId="169" fontId="36" fillId="9" borderId="87" xfId="4" applyNumberFormat="1" applyFont="1" applyFill="1" applyBorder="1"/>
    <xf numFmtId="169" fontId="36" fillId="9" borderId="92" xfId="4" applyNumberFormat="1" applyFont="1" applyFill="1" applyBorder="1"/>
    <xf numFmtId="3" fontId="36" fillId="9" borderId="133" xfId="0" applyNumberFormat="1" applyFont="1" applyFill="1" applyBorder="1"/>
    <xf numFmtId="3" fontId="36" fillId="9" borderId="134" xfId="0" applyNumberFormat="1" applyFont="1" applyFill="1" applyBorder="1"/>
    <xf numFmtId="3" fontId="36" fillId="9" borderId="118" xfId="0" applyNumberFormat="1" applyFont="1" applyFill="1" applyBorder="1"/>
    <xf numFmtId="169" fontId="36" fillId="14" borderId="104" xfId="4" applyNumberFormat="1" applyFont="1" applyFill="1" applyBorder="1" applyAlignment="1">
      <alignment vertical="center"/>
    </xf>
    <xf numFmtId="0" fontId="36" fillId="0" borderId="107" xfId="0" applyFont="1" applyBorder="1" applyAlignment="1">
      <alignment vertical="top"/>
    </xf>
    <xf numFmtId="3" fontId="36" fillId="9" borderId="133" xfId="0" applyNumberFormat="1" applyFont="1" applyFill="1" applyBorder="1" applyAlignment="1">
      <alignment vertical="top"/>
    </xf>
    <xf numFmtId="3" fontId="36" fillId="9" borderId="134" xfId="0" applyNumberFormat="1" applyFont="1" applyFill="1" applyBorder="1" applyAlignment="1">
      <alignment vertical="top"/>
    </xf>
    <xf numFmtId="3" fontId="36" fillId="9" borderId="118" xfId="0" applyNumberFormat="1" applyFont="1" applyFill="1" applyBorder="1" applyAlignment="1">
      <alignment vertical="top"/>
    </xf>
    <xf numFmtId="169" fontId="36" fillId="9" borderId="87" xfId="4" applyNumberFormat="1" applyFont="1" applyFill="1" applyBorder="1" applyAlignment="1">
      <alignment vertical="top"/>
    </xf>
    <xf numFmtId="169" fontId="36" fillId="9" borderId="129" xfId="4" applyNumberFormat="1" applyFont="1" applyFill="1" applyBorder="1" applyAlignment="1">
      <alignment vertical="top"/>
    </xf>
    <xf numFmtId="169" fontId="36" fillId="9" borderId="135" xfId="4" applyNumberFormat="1" applyFont="1" applyFill="1" applyBorder="1" applyAlignment="1">
      <alignment vertical="top"/>
    </xf>
    <xf numFmtId="169" fontId="36" fillId="9" borderId="89" xfId="4" applyNumberFormat="1" applyFont="1" applyFill="1" applyBorder="1" applyAlignment="1">
      <alignment vertical="top"/>
    </xf>
    <xf numFmtId="169" fontId="36" fillId="9" borderId="131" xfId="4" applyNumberFormat="1" applyFont="1" applyFill="1" applyBorder="1" applyAlignment="1">
      <alignment vertical="top"/>
    </xf>
    <xf numFmtId="0" fontId="36" fillId="0" borderId="91" xfId="0" applyFont="1" applyBorder="1" applyAlignment="1">
      <alignment vertical="top"/>
    </xf>
    <xf numFmtId="169" fontId="36" fillId="9" borderId="92" xfId="4" applyNumberFormat="1" applyFont="1" applyFill="1" applyBorder="1" applyAlignment="1">
      <alignment vertical="top"/>
    </xf>
    <xf numFmtId="169" fontId="36" fillId="9" borderId="111" xfId="4" applyNumberFormat="1" applyFont="1" applyFill="1" applyBorder="1" applyAlignment="1">
      <alignment vertical="top"/>
    </xf>
    <xf numFmtId="169" fontId="36" fillId="9" borderId="136" xfId="4" applyNumberFormat="1" applyFont="1" applyFill="1" applyBorder="1" applyAlignment="1">
      <alignment vertical="top"/>
    </xf>
    <xf numFmtId="169" fontId="36" fillId="9" borderId="94" xfId="4" applyNumberFormat="1" applyFont="1" applyFill="1" applyBorder="1" applyAlignment="1">
      <alignment vertical="top"/>
    </xf>
    <xf numFmtId="169" fontId="36" fillId="9" borderId="112" xfId="4" applyNumberFormat="1" applyFont="1" applyFill="1" applyBorder="1" applyAlignment="1">
      <alignment vertical="top"/>
    </xf>
    <xf numFmtId="3" fontId="17" fillId="9" borderId="133" xfId="0" applyNumberFormat="1" applyFont="1" applyFill="1" applyBorder="1" applyAlignment="1">
      <alignment vertical="top"/>
    </xf>
    <xf numFmtId="3" fontId="17" fillId="9" borderId="134" xfId="0" applyNumberFormat="1" applyFont="1" applyFill="1" applyBorder="1" applyAlignment="1">
      <alignment vertical="top"/>
    </xf>
    <xf numFmtId="3" fontId="17" fillId="9" borderId="118" xfId="0" applyNumberFormat="1" applyFont="1" applyFill="1" applyBorder="1" applyAlignment="1">
      <alignment vertical="top"/>
    </xf>
    <xf numFmtId="169" fontId="17" fillId="9" borderId="92" xfId="4" applyNumberFormat="1" applyFont="1" applyFill="1" applyBorder="1" applyAlignment="1">
      <alignment vertical="top"/>
    </xf>
    <xf numFmtId="169" fontId="17" fillId="9" borderId="111" xfId="4" applyNumberFormat="1" applyFont="1" applyFill="1" applyBorder="1" applyAlignment="1">
      <alignment vertical="top"/>
    </xf>
    <xf numFmtId="169" fontId="17" fillId="9" borderId="136" xfId="4" applyNumberFormat="1" applyFont="1" applyFill="1" applyBorder="1" applyAlignment="1">
      <alignment vertical="top"/>
    </xf>
    <xf numFmtId="169" fontId="17" fillId="9" borderId="94" xfId="4" applyNumberFormat="1" applyFont="1" applyFill="1" applyBorder="1" applyAlignment="1">
      <alignment vertical="top"/>
    </xf>
    <xf numFmtId="169" fontId="17" fillId="9" borderId="112" xfId="4" applyNumberFormat="1" applyFont="1" applyFill="1" applyBorder="1" applyAlignment="1">
      <alignment vertical="top"/>
    </xf>
    <xf numFmtId="3" fontId="47" fillId="9" borderId="133" xfId="0" applyNumberFormat="1" applyFont="1" applyFill="1" applyBorder="1" applyAlignment="1">
      <alignment vertical="top"/>
    </xf>
    <xf numFmtId="3" fontId="47" fillId="9" borderId="134" xfId="0" applyNumberFormat="1" applyFont="1" applyFill="1" applyBorder="1" applyAlignment="1">
      <alignment vertical="top"/>
    </xf>
    <xf numFmtId="3" fontId="47" fillId="9" borderId="118" xfId="0" applyNumberFormat="1" applyFont="1" applyFill="1" applyBorder="1" applyAlignment="1">
      <alignment vertical="top"/>
    </xf>
    <xf numFmtId="169" fontId="36" fillId="9" borderId="100" xfId="4" applyNumberFormat="1" applyFont="1" applyFill="1" applyBorder="1" applyAlignment="1">
      <alignment vertical="top"/>
    </xf>
    <xf numFmtId="169" fontId="36" fillId="9" borderId="126" xfId="4" applyNumberFormat="1" applyFont="1" applyFill="1" applyBorder="1" applyAlignment="1">
      <alignment vertical="top"/>
    </xf>
    <xf numFmtId="169" fontId="36" fillId="9" borderId="137" xfId="4" applyNumberFormat="1" applyFont="1" applyFill="1" applyBorder="1" applyAlignment="1">
      <alignment vertical="top"/>
    </xf>
    <xf numFmtId="169" fontId="36" fillId="9" borderId="103" xfId="4" applyNumberFormat="1" applyFont="1" applyFill="1" applyBorder="1" applyAlignment="1">
      <alignment vertical="top"/>
    </xf>
    <xf numFmtId="169" fontId="36" fillId="9" borderId="127" xfId="4" applyNumberFormat="1" applyFont="1" applyFill="1" applyBorder="1" applyAlignment="1">
      <alignment vertical="top"/>
    </xf>
    <xf numFmtId="3" fontId="50" fillId="9" borderId="133" xfId="0" applyNumberFormat="1" applyFont="1" applyFill="1" applyBorder="1" applyAlignment="1">
      <alignment vertical="top"/>
    </xf>
    <xf numFmtId="169" fontId="50" fillId="9" borderId="92" xfId="4" applyNumberFormat="1" applyFont="1" applyFill="1" applyBorder="1" applyAlignment="1">
      <alignment vertical="top"/>
    </xf>
    <xf numFmtId="169" fontId="47" fillId="9" borderId="136" xfId="4" applyNumberFormat="1" applyFont="1" applyFill="1" applyBorder="1" applyAlignment="1">
      <alignment vertical="top"/>
    </xf>
    <xf numFmtId="169" fontId="47" fillId="9" borderId="94" xfId="4" applyNumberFormat="1" applyFont="1" applyFill="1" applyBorder="1" applyAlignment="1">
      <alignment vertical="top"/>
    </xf>
    <xf numFmtId="169" fontId="47" fillId="9" borderId="112" xfId="4" applyNumberFormat="1" applyFont="1" applyFill="1" applyBorder="1" applyAlignment="1">
      <alignment vertical="top"/>
    </xf>
    <xf numFmtId="169" fontId="47" fillId="14" borderId="105" xfId="4" applyNumberFormat="1" applyFont="1" applyFill="1" applyBorder="1" applyAlignment="1">
      <alignment vertical="center"/>
    </xf>
    <xf numFmtId="3" fontId="36" fillId="9" borderId="133" xfId="0" applyNumberFormat="1" applyFont="1" applyFill="1" applyBorder="1" applyAlignment="1">
      <alignment vertical="center"/>
    </xf>
    <xf numFmtId="3" fontId="36" fillId="9" borderId="134" xfId="0" applyNumberFormat="1" applyFont="1" applyFill="1" applyBorder="1" applyAlignment="1">
      <alignment vertical="center"/>
    </xf>
    <xf numFmtId="3" fontId="36" fillId="9" borderId="118" xfId="0" applyNumberFormat="1" applyFont="1" applyFill="1" applyBorder="1" applyAlignment="1">
      <alignment vertical="center"/>
    </xf>
    <xf numFmtId="3" fontId="36" fillId="9" borderId="89" xfId="0" applyNumberFormat="1" applyFont="1" applyFill="1" applyBorder="1" applyAlignment="1">
      <alignment vertical="center"/>
    </xf>
    <xf numFmtId="3" fontId="36" fillId="9" borderId="90" xfId="0" applyNumberFormat="1" applyFont="1" applyFill="1" applyBorder="1" applyAlignment="1">
      <alignment vertical="center"/>
    </xf>
    <xf numFmtId="169" fontId="36" fillId="9" borderId="87" xfId="4" applyNumberFormat="1" applyFont="1" applyFill="1" applyBorder="1" applyAlignment="1">
      <alignment vertical="center"/>
    </xf>
    <xf numFmtId="169" fontId="36" fillId="9" borderId="129" xfId="4" applyNumberFormat="1" applyFont="1" applyFill="1" applyBorder="1" applyAlignment="1">
      <alignment vertical="center"/>
    </xf>
    <xf numFmtId="169" fontId="36" fillId="9" borderId="135" xfId="4" applyNumberFormat="1" applyFont="1" applyFill="1" applyBorder="1" applyAlignment="1">
      <alignment vertical="center"/>
    </xf>
    <xf numFmtId="169" fontId="36" fillId="9" borderId="89" xfId="4" applyNumberFormat="1" applyFont="1" applyFill="1" applyBorder="1" applyAlignment="1">
      <alignment vertical="center"/>
    </xf>
    <xf numFmtId="169" fontId="36" fillId="9" borderId="131" xfId="4" applyNumberFormat="1" applyFont="1" applyFill="1" applyBorder="1" applyAlignment="1">
      <alignment vertical="center"/>
    </xf>
    <xf numFmtId="3" fontId="36" fillId="9" borderId="94" xfId="0" applyNumberFormat="1" applyFont="1" applyFill="1" applyBorder="1" applyAlignment="1">
      <alignment vertical="center"/>
    </xf>
    <xf numFmtId="3" fontId="36" fillId="9" borderId="95" xfId="0" applyNumberFormat="1" applyFont="1" applyFill="1" applyBorder="1" applyAlignment="1">
      <alignment vertical="center"/>
    </xf>
    <xf numFmtId="169" fontId="36" fillId="9" borderId="92" xfId="4" applyNumberFormat="1" applyFont="1" applyFill="1" applyBorder="1" applyAlignment="1">
      <alignment vertical="center"/>
    </xf>
    <xf numFmtId="169" fontId="36" fillId="9" borderId="111" xfId="4" applyNumberFormat="1" applyFont="1" applyFill="1" applyBorder="1" applyAlignment="1">
      <alignment vertical="center"/>
    </xf>
    <xf numFmtId="169" fontId="36" fillId="9" borderId="136" xfId="4" applyNumberFormat="1" applyFont="1" applyFill="1" applyBorder="1" applyAlignment="1">
      <alignment vertical="center"/>
    </xf>
    <xf numFmtId="169" fontId="36" fillId="9" borderId="94" xfId="4" applyNumberFormat="1" applyFont="1" applyFill="1" applyBorder="1" applyAlignment="1">
      <alignment vertical="center"/>
    </xf>
    <xf numFmtId="169" fontId="36" fillId="9" borderId="112" xfId="4" applyNumberFormat="1" applyFont="1" applyFill="1" applyBorder="1" applyAlignment="1">
      <alignment vertical="center"/>
    </xf>
    <xf numFmtId="169" fontId="47" fillId="9" borderId="92" xfId="4" applyNumberFormat="1" applyFont="1" applyFill="1" applyBorder="1" applyAlignment="1">
      <alignment vertical="center"/>
    </xf>
    <xf numFmtId="169" fontId="47" fillId="9" borderId="100" xfId="4" applyNumberFormat="1" applyFont="1" applyFill="1" applyBorder="1" applyAlignment="1">
      <alignment vertical="center"/>
    </xf>
    <xf numFmtId="169" fontId="36" fillId="9" borderId="126" xfId="4" applyNumberFormat="1" applyFont="1" applyFill="1" applyBorder="1" applyAlignment="1">
      <alignment vertical="center"/>
    </xf>
    <xf numFmtId="169" fontId="36" fillId="9" borderId="137" xfId="4" applyNumberFormat="1" applyFont="1" applyFill="1" applyBorder="1" applyAlignment="1">
      <alignment vertical="center"/>
    </xf>
    <xf numFmtId="169" fontId="36" fillId="9" borderId="103" xfId="4" applyNumberFormat="1" applyFont="1" applyFill="1" applyBorder="1" applyAlignment="1">
      <alignment vertical="center"/>
    </xf>
    <xf numFmtId="169" fontId="36" fillId="9" borderId="127" xfId="4" applyNumberFormat="1" applyFont="1" applyFill="1" applyBorder="1" applyAlignment="1">
      <alignment vertical="center"/>
    </xf>
    <xf numFmtId="3" fontId="39" fillId="14" borderId="31" xfId="0" applyNumberFormat="1" applyFont="1" applyFill="1" applyBorder="1" applyAlignment="1">
      <alignment vertical="center"/>
    </xf>
    <xf numFmtId="3" fontId="39" fillId="14" borderId="106" xfId="0" applyNumberFormat="1" applyFont="1" applyFill="1" applyBorder="1" applyAlignment="1">
      <alignment vertical="center"/>
    </xf>
    <xf numFmtId="169" fontId="51" fillId="14" borderId="105" xfId="4" applyNumberFormat="1" applyFont="1" applyFill="1" applyBorder="1" applyAlignment="1">
      <alignment vertical="center"/>
    </xf>
    <xf numFmtId="169" fontId="51" fillId="14" borderId="106" xfId="4" applyNumberFormat="1" applyFont="1" applyFill="1" applyBorder="1" applyAlignment="1">
      <alignment vertical="center"/>
    </xf>
    <xf numFmtId="169" fontId="39" fillId="14" borderId="124" xfId="4" applyNumberFormat="1" applyFont="1" applyFill="1" applyBorder="1" applyAlignment="1">
      <alignment vertical="center"/>
    </xf>
    <xf numFmtId="169" fontId="39" fillId="14" borderId="106" xfId="4" applyNumberFormat="1" applyFont="1" applyFill="1" applyBorder="1" applyAlignment="1">
      <alignment vertical="center"/>
    </xf>
    <xf numFmtId="169" fontId="36" fillId="9" borderId="100" xfId="4" applyNumberFormat="1" applyFont="1" applyFill="1" applyBorder="1" applyAlignment="1">
      <alignment vertical="center"/>
    </xf>
    <xf numFmtId="3" fontId="51" fillId="14" borderId="106" xfId="0" applyNumberFormat="1" applyFont="1" applyFill="1" applyBorder="1" applyAlignment="1">
      <alignment vertical="center"/>
    </xf>
    <xf numFmtId="3" fontId="17" fillId="9" borderId="133" xfId="0" applyNumberFormat="1" applyFont="1" applyFill="1" applyBorder="1" applyAlignment="1">
      <alignment vertical="center"/>
    </xf>
    <xf numFmtId="3" fontId="17" fillId="9" borderId="134" xfId="0" applyNumberFormat="1" applyFont="1" applyFill="1" applyBorder="1" applyAlignment="1">
      <alignment vertical="center"/>
    </xf>
    <xf numFmtId="3" fontId="17" fillId="9" borderId="118" xfId="0" applyNumberFormat="1" applyFont="1" applyFill="1" applyBorder="1" applyAlignment="1">
      <alignment vertical="center"/>
    </xf>
    <xf numFmtId="3" fontId="17" fillId="9" borderId="94" xfId="0" applyNumberFormat="1" applyFont="1" applyFill="1" applyBorder="1" applyAlignment="1">
      <alignment vertical="center"/>
    </xf>
    <xf numFmtId="3" fontId="17" fillId="9" borderId="95" xfId="0" applyNumberFormat="1" applyFont="1" applyFill="1" applyBorder="1" applyAlignment="1">
      <alignment vertical="center"/>
    </xf>
    <xf numFmtId="169" fontId="17" fillId="9" borderId="92" xfId="4" applyNumberFormat="1" applyFont="1" applyFill="1" applyBorder="1" applyAlignment="1">
      <alignment vertical="center"/>
    </xf>
    <xf numFmtId="169" fontId="17" fillId="9" borderId="111" xfId="4" applyNumberFormat="1" applyFont="1" applyFill="1" applyBorder="1" applyAlignment="1">
      <alignment vertical="center"/>
    </xf>
    <xf numFmtId="169" fontId="17" fillId="9" borderId="136" xfId="4" applyNumberFormat="1" applyFont="1" applyFill="1" applyBorder="1" applyAlignment="1">
      <alignment vertical="center"/>
    </xf>
    <xf numFmtId="169" fontId="17" fillId="9" borderId="94" xfId="4" applyNumberFormat="1" applyFont="1" applyFill="1" applyBorder="1" applyAlignment="1">
      <alignment vertical="center"/>
    </xf>
    <xf numFmtId="169" fontId="17" fillId="9" borderId="112" xfId="4" applyNumberFormat="1" applyFont="1" applyFill="1" applyBorder="1" applyAlignment="1">
      <alignment vertical="center"/>
    </xf>
    <xf numFmtId="3" fontId="53" fillId="14" borderId="106" xfId="0" applyNumberFormat="1" applyFont="1" applyFill="1" applyBorder="1" applyAlignment="1">
      <alignment vertical="center"/>
    </xf>
    <xf numFmtId="3" fontId="47" fillId="14" borderId="31" xfId="0" applyNumberFormat="1" applyFont="1" applyFill="1" applyBorder="1" applyAlignment="1">
      <alignment vertical="center"/>
    </xf>
    <xf numFmtId="9" fontId="36" fillId="14" borderId="124" xfId="4" applyFont="1" applyFill="1" applyBorder="1" applyAlignment="1">
      <alignment vertical="center"/>
    </xf>
    <xf numFmtId="11" fontId="0" fillId="0" borderId="0" xfId="0" applyNumberFormat="1"/>
    <xf numFmtId="0" fontId="35" fillId="0" borderId="0" xfId="10" applyFont="1" applyAlignment="1">
      <alignment horizontal="center"/>
    </xf>
    <xf numFmtId="0" fontId="37" fillId="16" borderId="0" xfId="10" applyFont="1" applyFill="1" applyAlignment="1">
      <alignment horizontal="center"/>
    </xf>
    <xf numFmtId="0" fontId="5" fillId="17" borderId="46" xfId="10" applyFill="1" applyBorder="1" applyAlignment="1">
      <alignment horizontal="center" textRotation="90" wrapText="1"/>
    </xf>
    <xf numFmtId="0" fontId="5" fillId="17" borderId="47" xfId="10" applyFill="1" applyBorder="1" applyAlignment="1">
      <alignment horizontal="center" textRotation="90" wrapText="1"/>
    </xf>
    <xf numFmtId="0" fontId="36" fillId="17" borderId="48" xfId="10" applyFont="1" applyFill="1" applyBorder="1" applyAlignment="1">
      <alignment horizontal="center" textRotation="90" wrapText="1"/>
    </xf>
    <xf numFmtId="0" fontId="36" fillId="17" borderId="52" xfId="10" applyFont="1" applyFill="1" applyBorder="1" applyAlignment="1">
      <alignment horizontal="center" textRotation="90" wrapText="1"/>
    </xf>
    <xf numFmtId="9" fontId="36" fillId="17" borderId="49" xfId="4" applyFont="1" applyFill="1" applyBorder="1" applyAlignment="1">
      <alignment horizontal="center" textRotation="90" wrapText="1"/>
    </xf>
    <xf numFmtId="0" fontId="36" fillId="16" borderId="52" xfId="10" applyFont="1" applyFill="1" applyBorder="1" applyAlignment="1">
      <alignment horizontal="center" textRotation="90" wrapText="1"/>
    </xf>
    <xf numFmtId="0" fontId="5" fillId="17" borderId="56" xfId="10" applyFill="1" applyBorder="1" applyAlignment="1">
      <alignment horizontal="center" textRotation="90" wrapText="1"/>
    </xf>
    <xf numFmtId="0" fontId="5" fillId="17" borderId="57" xfId="10" applyFill="1" applyBorder="1" applyAlignment="1">
      <alignment horizontal="center" textRotation="90" wrapText="1"/>
    </xf>
    <xf numFmtId="0" fontId="36" fillId="17" borderId="58" xfId="10" applyFont="1" applyFill="1" applyBorder="1" applyAlignment="1">
      <alignment horizontal="center" textRotation="90" wrapText="1"/>
    </xf>
    <xf numFmtId="0" fontId="36" fillId="17" borderId="6" xfId="10" applyFont="1" applyFill="1" applyBorder="1" applyAlignment="1">
      <alignment horizontal="center" textRotation="90" wrapText="1"/>
    </xf>
    <xf numFmtId="9" fontId="36" fillId="17" borderId="49" xfId="4" applyFont="1" applyFill="1" applyBorder="1" applyAlignment="1">
      <alignment horizontal="center" vertical="center" wrapText="1"/>
    </xf>
    <xf numFmtId="0" fontId="37" fillId="16" borderId="0" xfId="10" applyFont="1" applyFill="1" applyAlignment="1">
      <alignment horizontal="center" textRotation="90" wrapText="1"/>
    </xf>
    <xf numFmtId="0" fontId="37" fillId="17" borderId="59" xfId="10" applyFont="1" applyFill="1" applyBorder="1" applyAlignment="1">
      <alignment horizontal="center"/>
    </xf>
    <xf numFmtId="0" fontId="37" fillId="17" borderId="6" xfId="10" applyFont="1" applyFill="1" applyBorder="1" applyAlignment="1">
      <alignment horizontal="center"/>
    </xf>
    <xf numFmtId="0" fontId="37" fillId="17" borderId="0" xfId="10" applyFont="1" applyFill="1" applyAlignment="1">
      <alignment horizontal="center"/>
    </xf>
    <xf numFmtId="0" fontId="39" fillId="18" borderId="63" xfId="10" applyFont="1" applyFill="1" applyBorder="1" applyAlignment="1">
      <alignment horizontal="left"/>
    </xf>
    <xf numFmtId="0" fontId="39" fillId="18" borderId="64" xfId="10" applyFont="1" applyFill="1" applyBorder="1" applyAlignment="1">
      <alignment horizontal="left"/>
    </xf>
    <xf numFmtId="2" fontId="39" fillId="16" borderId="65" xfId="10" applyNumberFormat="1" applyFont="1" applyFill="1" applyBorder="1" applyAlignment="1">
      <alignment horizontal="right"/>
    </xf>
    <xf numFmtId="2" fontId="39" fillId="16" borderId="0" xfId="10" applyNumberFormat="1" applyFont="1" applyFill="1" applyAlignment="1">
      <alignment horizontal="right"/>
    </xf>
    <xf numFmtId="2" fontId="39" fillId="16" borderId="66" xfId="10" applyNumberFormat="1" applyFont="1" applyFill="1" applyBorder="1" applyAlignment="1">
      <alignment horizontal="right"/>
    </xf>
    <xf numFmtId="2" fontId="39" fillId="17" borderId="67" xfId="4" applyNumberFormat="1" applyFont="1" applyFill="1" applyBorder="1" applyAlignment="1">
      <alignment horizontal="center" vertical="center" wrapText="1"/>
    </xf>
    <xf numFmtId="0" fontId="5" fillId="17" borderId="25" xfId="10" applyFill="1" applyBorder="1"/>
    <xf numFmtId="0" fontId="36" fillId="17" borderId="68" xfId="10" applyFont="1" applyFill="1" applyBorder="1" applyAlignment="1">
      <alignment horizontal="center"/>
    </xf>
    <xf numFmtId="0" fontId="36" fillId="17" borderId="0" xfId="10" applyFont="1" applyFill="1" applyAlignment="1">
      <alignment horizontal="center"/>
    </xf>
    <xf numFmtId="0" fontId="39" fillId="16" borderId="46" xfId="10" applyFont="1" applyFill="1" applyBorder="1" applyAlignment="1">
      <alignment horizontal="center"/>
    </xf>
    <xf numFmtId="0" fontId="39" fillId="16" borderId="52" xfId="10" applyFont="1" applyFill="1" applyBorder="1" applyAlignment="1">
      <alignment horizontal="center"/>
    </xf>
    <xf numFmtId="0" fontId="39" fillId="16" borderId="48" xfId="10" applyFont="1" applyFill="1" applyBorder="1" applyAlignment="1">
      <alignment horizontal="center"/>
    </xf>
    <xf numFmtId="9" fontId="36" fillId="17" borderId="54" xfId="4" applyFont="1" applyFill="1" applyBorder="1" applyAlignment="1">
      <alignment horizontal="center" wrapText="1"/>
    </xf>
    <xf numFmtId="0" fontId="5" fillId="17" borderId="73" xfId="10" applyFill="1" applyBorder="1"/>
    <xf numFmtId="0" fontId="39" fillId="18" borderId="79" xfId="10" applyFont="1" applyFill="1" applyBorder="1" applyAlignment="1">
      <alignment horizontal="center"/>
    </xf>
    <xf numFmtId="0" fontId="39" fillId="18" borderId="5" xfId="10" applyFont="1" applyFill="1" applyBorder="1" applyAlignment="1">
      <alignment horizontal="center"/>
    </xf>
    <xf numFmtId="0" fontId="36" fillId="17" borderId="81" xfId="10" applyFont="1" applyFill="1" applyBorder="1" applyAlignment="1">
      <alignment horizontal="center"/>
    </xf>
    <xf numFmtId="0" fontId="36" fillId="17" borderId="80" xfId="10" applyFont="1" applyFill="1" applyBorder="1" applyAlignment="1">
      <alignment horizontal="center"/>
    </xf>
    <xf numFmtId="0" fontId="36" fillId="17" borderId="38" xfId="10" applyFont="1" applyFill="1" applyBorder="1" applyAlignment="1">
      <alignment horizontal="center"/>
    </xf>
    <xf numFmtId="0" fontId="5" fillId="17" borderId="13" xfId="10" applyFill="1" applyBorder="1"/>
    <xf numFmtId="0" fontId="5" fillId="0" borderId="86" xfId="10" applyBorder="1"/>
    <xf numFmtId="3" fontId="5" fillId="16" borderId="87" xfId="10" applyNumberFormat="1" applyFill="1" applyBorder="1"/>
    <xf numFmtId="3" fontId="5" fillId="16" borderId="88" xfId="10" applyNumberFormat="1" applyFill="1" applyBorder="1"/>
    <xf numFmtId="3" fontId="5" fillId="16" borderId="86" xfId="10" applyNumberFormat="1" applyFill="1" applyBorder="1"/>
    <xf numFmtId="3" fontId="5" fillId="16" borderId="89" xfId="10" applyNumberFormat="1" applyFill="1" applyBorder="1"/>
    <xf numFmtId="0" fontId="36" fillId="17" borderId="25" xfId="10" applyFont="1" applyFill="1" applyBorder="1" applyAlignment="1">
      <alignment horizontal="left"/>
    </xf>
    <xf numFmtId="0" fontId="5" fillId="17" borderId="0" xfId="10" applyFill="1" applyAlignment="1">
      <alignment horizontal="center"/>
    </xf>
    <xf numFmtId="179" fontId="5" fillId="17" borderId="0" xfId="10" applyNumberFormat="1" applyFill="1"/>
    <xf numFmtId="0" fontId="5" fillId="0" borderId="91" xfId="10" applyBorder="1"/>
    <xf numFmtId="3" fontId="5" fillId="16" borderId="92" xfId="10" applyNumberFormat="1" applyFill="1" applyBorder="1"/>
    <xf numFmtId="3" fontId="5" fillId="16" borderId="93" xfId="10" applyNumberFormat="1" applyFill="1" applyBorder="1"/>
    <xf numFmtId="3" fontId="5" fillId="16" borderId="91" xfId="10" applyNumberFormat="1" applyFill="1" applyBorder="1"/>
    <xf numFmtId="3" fontId="5" fillId="16" borderId="94" xfId="10" applyNumberFormat="1" applyFill="1" applyBorder="1"/>
    <xf numFmtId="169" fontId="39" fillId="17" borderId="0" xfId="4" applyNumberFormat="1" applyFont="1" applyFill="1" applyBorder="1" applyAlignment="1">
      <alignment horizontal="right"/>
    </xf>
    <xf numFmtId="0" fontId="5" fillId="17" borderId="25" xfId="10" applyFill="1" applyBorder="1" applyAlignment="1">
      <alignment horizontal="center"/>
    </xf>
    <xf numFmtId="0" fontId="5" fillId="17" borderId="0" xfId="10" applyFill="1"/>
    <xf numFmtId="0" fontId="5" fillId="0" borderId="99" xfId="10" applyBorder="1"/>
    <xf numFmtId="3" fontId="5" fillId="16" borderId="100" xfId="10" applyNumberFormat="1" applyFill="1" applyBorder="1"/>
    <xf numFmtId="3" fontId="5" fillId="16" borderId="101" xfId="10" applyNumberFormat="1" applyFill="1" applyBorder="1"/>
    <xf numFmtId="3" fontId="5" fillId="16" borderId="102" xfId="10" applyNumberFormat="1" applyFill="1" applyBorder="1"/>
    <xf numFmtId="3" fontId="5" fillId="16" borderId="134" xfId="10" applyNumberFormat="1" applyFill="1" applyBorder="1"/>
    <xf numFmtId="0" fontId="36" fillId="5" borderId="104" xfId="10" applyFont="1" applyFill="1" applyBorder="1"/>
    <xf numFmtId="0" fontId="36" fillId="5" borderId="105" xfId="10" applyFont="1" applyFill="1" applyBorder="1"/>
    <xf numFmtId="3" fontId="36" fillId="5" borderId="31" xfId="10" applyNumberFormat="1" applyFont="1" applyFill="1" applyBorder="1" applyAlignment="1">
      <alignment vertical="center"/>
    </xf>
    <xf numFmtId="3" fontId="5" fillId="5" borderId="106" xfId="10" applyNumberFormat="1" applyFill="1" applyBorder="1" applyAlignment="1">
      <alignment vertical="center"/>
    </xf>
    <xf numFmtId="3" fontId="5" fillId="17" borderId="13" xfId="10" applyNumberFormat="1" applyFill="1" applyBorder="1"/>
    <xf numFmtId="0" fontId="5" fillId="17" borderId="38" xfId="10" applyFill="1" applyBorder="1"/>
    <xf numFmtId="169" fontId="36" fillId="16" borderId="108" xfId="4" applyNumberFormat="1" applyFont="1" applyFill="1" applyBorder="1"/>
    <xf numFmtId="169" fontId="36" fillId="16" borderId="109" xfId="4" applyNumberFormat="1" applyFont="1" applyFill="1" applyBorder="1"/>
    <xf numFmtId="169" fontId="36" fillId="16" borderId="111" xfId="4" applyNumberFormat="1" applyFont="1" applyFill="1" applyBorder="1"/>
    <xf numFmtId="169" fontId="36" fillId="16" borderId="91" xfId="4" applyNumberFormat="1" applyFont="1" applyFill="1" applyBorder="1"/>
    <xf numFmtId="169" fontId="36" fillId="16" borderId="95" xfId="4" applyNumberFormat="1" applyFont="1" applyFill="1" applyBorder="1"/>
    <xf numFmtId="169" fontId="36" fillId="16" borderId="94" xfId="4" applyNumberFormat="1" applyFont="1" applyFill="1" applyBorder="1"/>
    <xf numFmtId="169" fontId="36" fillId="16" borderId="117" xfId="4" applyNumberFormat="1" applyFont="1" applyFill="1" applyBorder="1"/>
    <xf numFmtId="169" fontId="36" fillId="16" borderId="118" xfId="4" applyNumberFormat="1" applyFont="1" applyFill="1" applyBorder="1"/>
    <xf numFmtId="169" fontId="36" fillId="16" borderId="119" xfId="4" applyNumberFormat="1" applyFont="1" applyFill="1" applyBorder="1"/>
    <xf numFmtId="169" fontId="36" fillId="16" borderId="120" xfId="4" applyNumberFormat="1" applyFont="1" applyFill="1" applyBorder="1"/>
    <xf numFmtId="0" fontId="36" fillId="5" borderId="105" xfId="10" applyFont="1" applyFill="1" applyBorder="1" applyAlignment="1">
      <alignment vertical="center"/>
    </xf>
    <xf numFmtId="169" fontId="36" fillId="5" borderId="105" xfId="4" applyNumberFormat="1" applyFont="1" applyFill="1" applyBorder="1" applyAlignment="1">
      <alignment vertical="center"/>
    </xf>
    <xf numFmtId="169" fontId="36" fillId="5" borderId="106" xfId="4" applyNumberFormat="1" applyFont="1" applyFill="1" applyBorder="1" applyAlignment="1">
      <alignment vertical="center"/>
    </xf>
    <xf numFmtId="169" fontId="36" fillId="5" borderId="124" xfId="4" applyNumberFormat="1" applyFont="1" applyFill="1" applyBorder="1" applyAlignment="1">
      <alignment vertical="center"/>
    </xf>
    <xf numFmtId="9" fontId="17" fillId="0" borderId="0" xfId="0" applyNumberFormat="1" applyFont="1"/>
    <xf numFmtId="0" fontId="5" fillId="0" borderId="0" xfId="10"/>
    <xf numFmtId="4" fontId="0" fillId="0" borderId="0" xfId="0" applyNumberFormat="1"/>
    <xf numFmtId="0" fontId="55" fillId="0" borderId="0" xfId="5" applyFont="1"/>
    <xf numFmtId="171" fontId="15" fillId="0" borderId="0" xfId="5" applyNumberFormat="1"/>
    <xf numFmtId="9" fontId="36" fillId="17" borderId="49" xfId="4" applyFont="1" applyFill="1" applyBorder="1" applyAlignment="1">
      <alignment horizontal="center" wrapText="1"/>
    </xf>
    <xf numFmtId="9" fontId="36" fillId="17" borderId="0" xfId="4" applyFont="1" applyFill="1" applyBorder="1" applyAlignment="1">
      <alignment horizontal="center" wrapText="1"/>
    </xf>
    <xf numFmtId="3" fontId="5" fillId="16" borderId="90" xfId="10" applyNumberFormat="1" applyFill="1" applyBorder="1"/>
    <xf numFmtId="3" fontId="5" fillId="16" borderId="95" xfId="10" applyNumberFormat="1" applyFill="1" applyBorder="1"/>
    <xf numFmtId="3" fontId="5" fillId="17" borderId="94" xfId="10" applyNumberFormat="1" applyFill="1" applyBorder="1"/>
    <xf numFmtId="174" fontId="5" fillId="16" borderId="93" xfId="10" applyNumberFormat="1" applyFill="1" applyBorder="1"/>
    <xf numFmtId="174" fontId="5" fillId="16" borderId="91" xfId="10" applyNumberFormat="1" applyFill="1" applyBorder="1"/>
    <xf numFmtId="3" fontId="5" fillId="16" borderId="103" xfId="10" applyNumberFormat="1" applyFill="1" applyBorder="1"/>
    <xf numFmtId="174" fontId="36" fillId="5" borderId="31" xfId="10" applyNumberFormat="1" applyFont="1" applyFill="1" applyBorder="1" applyAlignment="1">
      <alignment vertical="center"/>
    </xf>
    <xf numFmtId="169" fontId="36" fillId="16" borderId="0" xfId="4" applyNumberFormat="1" applyFont="1" applyFill="1" applyBorder="1"/>
    <xf numFmtId="0" fontId="5" fillId="17" borderId="52" xfId="10" applyFill="1" applyBorder="1" applyAlignment="1">
      <alignment horizontal="center"/>
    </xf>
    <xf numFmtId="0" fontId="39" fillId="16" borderId="38" xfId="10" applyFont="1" applyFill="1" applyBorder="1" applyAlignment="1">
      <alignment horizontal="right"/>
    </xf>
    <xf numFmtId="169" fontId="36" fillId="16" borderId="140" xfId="4" applyNumberFormat="1" applyFont="1" applyFill="1" applyBorder="1"/>
    <xf numFmtId="169" fontId="36" fillId="16" borderId="93" xfId="4" applyNumberFormat="1" applyFont="1" applyFill="1" applyBorder="1"/>
    <xf numFmtId="169" fontId="36" fillId="16" borderId="134" xfId="4" applyNumberFormat="1" applyFont="1" applyFill="1" applyBorder="1"/>
    <xf numFmtId="0" fontId="36" fillId="17" borderId="141" xfId="10" applyFont="1" applyFill="1" applyBorder="1" applyAlignment="1">
      <alignment horizontal="center"/>
    </xf>
    <xf numFmtId="0" fontId="36" fillId="17" borderId="74" xfId="10" applyFont="1" applyFill="1" applyBorder="1" applyAlignment="1">
      <alignment horizontal="center"/>
    </xf>
    <xf numFmtId="0" fontId="36" fillId="16" borderId="74" xfId="10" applyFont="1" applyFill="1" applyBorder="1" applyAlignment="1">
      <alignment horizontal="center"/>
    </xf>
    <xf numFmtId="0" fontId="0" fillId="0" borderId="142" xfId="0" applyBorder="1"/>
    <xf numFmtId="0" fontId="0" fillId="0" borderId="44" xfId="0" applyBorder="1"/>
    <xf numFmtId="170" fontId="5" fillId="16" borderId="88" xfId="10" applyNumberFormat="1" applyFill="1" applyBorder="1"/>
    <xf numFmtId="170" fontId="5" fillId="16" borderId="93" xfId="10" applyNumberFormat="1" applyFill="1" applyBorder="1"/>
    <xf numFmtId="170" fontId="5" fillId="16" borderId="101" xfId="10" applyNumberFormat="1" applyFill="1" applyBorder="1"/>
    <xf numFmtId="170" fontId="5" fillId="16" borderId="86" xfId="10" applyNumberFormat="1" applyFill="1" applyBorder="1"/>
    <xf numFmtId="170" fontId="5" fillId="16" borderId="91" xfId="10" applyNumberFormat="1" applyFill="1" applyBorder="1"/>
    <xf numFmtId="170" fontId="5" fillId="16" borderId="102" xfId="10" applyNumberFormat="1" applyFill="1" applyBorder="1"/>
    <xf numFmtId="0" fontId="56" fillId="0" borderId="0" xfId="0" applyFont="1"/>
    <xf numFmtId="0" fontId="36" fillId="16" borderId="38" xfId="10" applyFont="1" applyFill="1" applyBorder="1" applyAlignment="1">
      <alignment horizontal="center"/>
    </xf>
    <xf numFmtId="0" fontId="0" fillId="19" borderId="0" xfId="0" applyFill="1"/>
    <xf numFmtId="0" fontId="29" fillId="19" borderId="0" xfId="0" quotePrefix="1" applyFont="1" applyFill="1"/>
    <xf numFmtId="0" fontId="32" fillId="19" borderId="7" xfId="0" applyFont="1" applyFill="1" applyBorder="1"/>
    <xf numFmtId="0" fontId="27" fillId="19" borderId="7" xfId="0" applyFont="1" applyFill="1" applyBorder="1"/>
    <xf numFmtId="1" fontId="27" fillId="19" borderId="7" xfId="0" applyNumberFormat="1" applyFont="1" applyFill="1" applyBorder="1"/>
    <xf numFmtId="1" fontId="0" fillId="19" borderId="0" xfId="0" applyNumberFormat="1" applyFill="1"/>
    <xf numFmtId="0" fontId="17" fillId="19" borderId="0" xfId="0" applyFont="1" applyFill="1"/>
    <xf numFmtId="171" fontId="0" fillId="19" borderId="0" xfId="0" applyNumberFormat="1" applyFill="1"/>
    <xf numFmtId="0" fontId="27" fillId="19" borderId="0" xfId="0" applyFont="1" applyFill="1"/>
    <xf numFmtId="0" fontId="57" fillId="19" borderId="0" xfId="0" quotePrefix="1" applyFont="1" applyFill="1"/>
    <xf numFmtId="0" fontId="36" fillId="16" borderId="80" xfId="10" applyFont="1" applyFill="1" applyBorder="1"/>
    <xf numFmtId="0" fontId="36" fillId="16" borderId="38" xfId="10" applyFont="1" applyFill="1" applyBorder="1"/>
    <xf numFmtId="0" fontId="5" fillId="17" borderId="143" xfId="10" applyFill="1" applyBorder="1" applyAlignment="1">
      <alignment horizontal="center" textRotation="90" wrapText="1"/>
    </xf>
    <xf numFmtId="0" fontId="5" fillId="17" borderId="144" xfId="10" applyFill="1" applyBorder="1" applyAlignment="1">
      <alignment horizontal="center" textRotation="90" wrapText="1"/>
    </xf>
    <xf numFmtId="0" fontId="14" fillId="0" borderId="0" xfId="0" applyFont="1"/>
    <xf numFmtId="0" fontId="4" fillId="17" borderId="57" xfId="10" applyFont="1" applyFill="1" applyBorder="1" applyAlignment="1">
      <alignment horizontal="center" textRotation="90" wrapText="1"/>
    </xf>
    <xf numFmtId="0" fontId="36" fillId="16" borderId="80" xfId="10" applyFont="1" applyFill="1" applyBorder="1" applyAlignment="1">
      <alignment horizontal="center"/>
    </xf>
    <xf numFmtId="0" fontId="36" fillId="17" borderId="63" xfId="10" applyFont="1" applyFill="1" applyBorder="1" applyAlignment="1">
      <alignment horizontal="center"/>
    </xf>
    <xf numFmtId="0" fontId="3" fillId="0" borderId="86" xfId="10" applyFont="1" applyBorder="1"/>
    <xf numFmtId="0" fontId="3" fillId="0" borderId="91" xfId="10" applyFont="1" applyBorder="1"/>
    <xf numFmtId="0" fontId="3" fillId="0" borderId="0" xfId="10" applyFont="1"/>
    <xf numFmtId="3" fontId="5" fillId="16" borderId="145" xfId="10" applyNumberFormat="1" applyFill="1" applyBorder="1"/>
    <xf numFmtId="0" fontId="58" fillId="16" borderId="4" xfId="15" applyFill="1" applyBorder="1" applyAlignment="1">
      <alignment horizontal="left" vertical="center" indent="1"/>
    </xf>
    <xf numFmtId="2" fontId="59" fillId="20" borderId="4" xfId="0" applyNumberFormat="1" applyFont="1" applyFill="1" applyBorder="1" applyAlignment="1">
      <alignment horizontal="right"/>
    </xf>
    <xf numFmtId="2" fontId="59" fillId="21" borderId="4" xfId="0" applyNumberFormat="1" applyFont="1" applyFill="1" applyBorder="1" applyAlignment="1">
      <alignment horizontal="right"/>
    </xf>
    <xf numFmtId="2" fontId="59" fillId="22" borderId="4" xfId="0" applyNumberFormat="1" applyFont="1" applyFill="1" applyBorder="1" applyAlignment="1">
      <alignment horizontal="right"/>
    </xf>
    <xf numFmtId="0" fontId="58" fillId="16" borderId="4" xfId="16" applyFont="1" applyFill="1" applyBorder="1" applyAlignment="1">
      <alignment vertical="top"/>
    </xf>
    <xf numFmtId="0" fontId="58" fillId="16" borderId="4" xfId="16" applyFont="1" applyFill="1" applyBorder="1" applyAlignment="1">
      <alignment vertical="center"/>
    </xf>
    <xf numFmtId="0" fontId="60" fillId="16" borderId="147" xfId="15" applyFont="1" applyFill="1" applyBorder="1" applyAlignment="1">
      <alignment horizontal="center" vertical="center"/>
    </xf>
    <xf numFmtId="0" fontId="60" fillId="16" borderId="146" xfId="15" applyFont="1" applyFill="1" applyBorder="1" applyAlignment="1">
      <alignment horizontal="center" vertical="center"/>
    </xf>
    <xf numFmtId="0" fontId="60" fillId="16" borderId="50" xfId="15" applyFont="1" applyFill="1" applyBorder="1" applyAlignment="1">
      <alignment horizontal="center" vertical="center"/>
    </xf>
    <xf numFmtId="0" fontId="60" fillId="16" borderId="53" xfId="15" applyFont="1" applyFill="1" applyBorder="1" applyAlignment="1">
      <alignment horizontal="center" vertical="center"/>
    </xf>
    <xf numFmtId="0" fontId="60" fillId="16" borderId="148" xfId="15" applyFont="1" applyFill="1" applyBorder="1" applyAlignment="1">
      <alignment horizontal="center" vertical="center"/>
    </xf>
    <xf numFmtId="0" fontId="36" fillId="16" borderId="38" xfId="10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right" vertical="center"/>
    </xf>
    <xf numFmtId="0" fontId="62" fillId="0" borderId="107" xfId="17" applyBorder="1" applyAlignment="1">
      <alignment vertical="top"/>
    </xf>
    <xf numFmtId="0" fontId="36" fillId="0" borderId="91" xfId="17" applyFont="1" applyBorder="1" applyAlignment="1">
      <alignment vertical="top"/>
    </xf>
    <xf numFmtId="169" fontId="36" fillId="5" borderId="105" xfId="18" applyNumberFormat="1" applyFont="1" applyFill="1" applyBorder="1" applyAlignment="1">
      <alignment vertical="center"/>
    </xf>
    <xf numFmtId="169" fontId="36" fillId="5" borderId="106" xfId="18" applyNumberFormat="1" applyFont="1" applyFill="1" applyBorder="1" applyAlignment="1">
      <alignment vertical="center"/>
    </xf>
    <xf numFmtId="3" fontId="36" fillId="16" borderId="133" xfId="17" applyNumberFormat="1" applyFont="1" applyFill="1" applyBorder="1" applyAlignment="1">
      <alignment vertical="center"/>
    </xf>
    <xf numFmtId="3" fontId="36" fillId="16" borderId="134" xfId="17" applyNumberFormat="1" applyFont="1" applyFill="1" applyBorder="1" applyAlignment="1">
      <alignment vertical="center"/>
    </xf>
    <xf numFmtId="3" fontId="36" fillId="16" borderId="118" xfId="17" applyNumberFormat="1" applyFont="1" applyFill="1" applyBorder="1" applyAlignment="1">
      <alignment vertical="center"/>
    </xf>
    <xf numFmtId="3" fontId="36" fillId="16" borderId="94" xfId="17" applyNumberFormat="1" applyFont="1" applyFill="1" applyBorder="1" applyAlignment="1">
      <alignment vertical="center"/>
    </xf>
    <xf numFmtId="3" fontId="36" fillId="16" borderId="95" xfId="17" applyNumberFormat="1" applyFont="1" applyFill="1" applyBorder="1" applyAlignment="1">
      <alignment vertical="center"/>
    </xf>
    <xf numFmtId="169" fontId="36" fillId="16" borderId="92" xfId="18" applyNumberFormat="1" applyFont="1" applyFill="1" applyBorder="1" applyAlignment="1">
      <alignment vertical="center"/>
    </xf>
    <xf numFmtId="169" fontId="36" fillId="16" borderId="111" xfId="18" applyNumberFormat="1" applyFont="1" applyFill="1" applyBorder="1" applyAlignment="1">
      <alignment vertical="center"/>
    </xf>
    <xf numFmtId="169" fontId="36" fillId="16" borderId="136" xfId="18" applyNumberFormat="1" applyFont="1" applyFill="1" applyBorder="1" applyAlignment="1">
      <alignment vertical="center"/>
    </xf>
    <xf numFmtId="169" fontId="36" fillId="16" borderId="94" xfId="18" applyNumberFormat="1" applyFont="1" applyFill="1" applyBorder="1" applyAlignment="1">
      <alignment vertical="center"/>
    </xf>
    <xf numFmtId="169" fontId="36" fillId="16" borderId="112" xfId="18" applyNumberFormat="1" applyFont="1" applyFill="1" applyBorder="1" applyAlignment="1">
      <alignment vertical="center"/>
    </xf>
    <xf numFmtId="169" fontId="36" fillId="16" borderId="126" xfId="18" applyNumberFormat="1" applyFont="1" applyFill="1" applyBorder="1" applyAlignment="1">
      <alignment vertical="center"/>
    </xf>
    <xf numFmtId="169" fontId="36" fillId="16" borderId="137" xfId="18" applyNumberFormat="1" applyFont="1" applyFill="1" applyBorder="1" applyAlignment="1">
      <alignment vertical="center"/>
    </xf>
    <xf numFmtId="169" fontId="36" fillId="16" borderId="103" xfId="18" applyNumberFormat="1" applyFont="1" applyFill="1" applyBorder="1" applyAlignment="1">
      <alignment vertical="center"/>
    </xf>
    <xf numFmtId="169" fontId="36" fillId="16" borderId="127" xfId="18" applyNumberFormat="1" applyFont="1" applyFill="1" applyBorder="1" applyAlignment="1">
      <alignment vertical="center"/>
    </xf>
    <xf numFmtId="169" fontId="36" fillId="16" borderId="100" xfId="18" applyNumberFormat="1" applyFont="1" applyFill="1" applyBorder="1" applyAlignment="1">
      <alignment vertical="center"/>
    </xf>
    <xf numFmtId="3" fontId="36" fillId="16" borderId="89" xfId="17" applyNumberFormat="1" applyFont="1" applyFill="1" applyBorder="1" applyAlignment="1">
      <alignment vertical="center"/>
    </xf>
    <xf numFmtId="3" fontId="36" fillId="16" borderId="90" xfId="17" applyNumberFormat="1" applyFont="1" applyFill="1" applyBorder="1" applyAlignment="1">
      <alignment vertical="center"/>
    </xf>
    <xf numFmtId="3" fontId="64" fillId="5" borderId="106" xfId="17" applyNumberFormat="1" applyFont="1" applyFill="1" applyBorder="1" applyAlignment="1">
      <alignment vertical="center"/>
    </xf>
    <xf numFmtId="3" fontId="15" fillId="16" borderId="133" xfId="17" applyNumberFormat="1" applyFont="1" applyFill="1" applyBorder="1" applyAlignment="1">
      <alignment vertical="center"/>
    </xf>
    <xf numFmtId="3" fontId="15" fillId="16" borderId="134" xfId="17" applyNumberFormat="1" applyFont="1" applyFill="1" applyBorder="1" applyAlignment="1">
      <alignment vertical="center"/>
    </xf>
    <xf numFmtId="3" fontId="15" fillId="16" borderId="118" xfId="17" applyNumberFormat="1" applyFont="1" applyFill="1" applyBorder="1" applyAlignment="1">
      <alignment vertical="center"/>
    </xf>
    <xf numFmtId="3" fontId="15" fillId="16" borderId="94" xfId="17" applyNumberFormat="1" applyFont="1" applyFill="1" applyBorder="1" applyAlignment="1">
      <alignment vertical="center"/>
    </xf>
    <xf numFmtId="3" fontId="15" fillId="16" borderId="95" xfId="17" applyNumberFormat="1" applyFont="1" applyFill="1" applyBorder="1" applyAlignment="1">
      <alignment vertical="center"/>
    </xf>
    <xf numFmtId="169" fontId="15" fillId="16" borderId="92" xfId="18" applyNumberFormat="1" applyFont="1" applyFill="1" applyBorder="1" applyAlignment="1">
      <alignment vertical="center"/>
    </xf>
    <xf numFmtId="169" fontId="15" fillId="16" borderId="111" xfId="18" applyNumberFormat="1" applyFont="1" applyFill="1" applyBorder="1" applyAlignment="1">
      <alignment vertical="center"/>
    </xf>
    <xf numFmtId="169" fontId="15" fillId="16" borderId="136" xfId="18" applyNumberFormat="1" applyFont="1" applyFill="1" applyBorder="1" applyAlignment="1">
      <alignment vertical="center"/>
    </xf>
    <xf numFmtId="169" fontId="15" fillId="16" borderId="94" xfId="18" applyNumberFormat="1" applyFont="1" applyFill="1" applyBorder="1" applyAlignment="1">
      <alignment vertical="center"/>
    </xf>
    <xf numFmtId="169" fontId="15" fillId="16" borderId="112" xfId="18" applyNumberFormat="1" applyFont="1" applyFill="1" applyBorder="1" applyAlignment="1">
      <alignment vertical="center"/>
    </xf>
    <xf numFmtId="169" fontId="36" fillId="16" borderId="87" xfId="18" applyNumberFormat="1" applyFill="1" applyBorder="1" applyAlignment="1">
      <alignment vertical="center"/>
    </xf>
    <xf numFmtId="169" fontId="36" fillId="16" borderId="129" xfId="18" applyNumberFormat="1" applyFill="1" applyBorder="1" applyAlignment="1">
      <alignment vertical="center"/>
    </xf>
    <xf numFmtId="169" fontId="36" fillId="16" borderId="135" xfId="18" applyNumberFormat="1" applyFill="1" applyBorder="1" applyAlignment="1">
      <alignment vertical="center"/>
    </xf>
    <xf numFmtId="169" fontId="36" fillId="16" borderId="89" xfId="18" applyNumberFormat="1" applyFill="1" applyBorder="1" applyAlignment="1">
      <alignment vertical="center"/>
    </xf>
    <xf numFmtId="169" fontId="36" fillId="16" borderId="131" xfId="18" applyNumberFormat="1" applyFill="1" applyBorder="1" applyAlignment="1">
      <alignment vertical="center"/>
    </xf>
    <xf numFmtId="3" fontId="47" fillId="5" borderId="31" xfId="17" applyNumberFormat="1" applyFont="1" applyFill="1" applyBorder="1" applyAlignment="1">
      <alignment vertical="center"/>
    </xf>
    <xf numFmtId="9" fontId="36" fillId="5" borderId="124" xfId="18" applyFont="1" applyFill="1" applyBorder="1" applyAlignment="1">
      <alignment vertical="center"/>
    </xf>
    <xf numFmtId="169" fontId="16" fillId="16" borderId="87" xfId="18" applyNumberFormat="1" applyFont="1" applyFill="1" applyBorder="1" applyAlignment="1">
      <alignment vertical="center"/>
    </xf>
    <xf numFmtId="169" fontId="16" fillId="16" borderId="129" xfId="18" applyNumberFormat="1" applyFont="1" applyFill="1" applyBorder="1" applyAlignment="1">
      <alignment vertical="center"/>
    </xf>
    <xf numFmtId="169" fontId="16" fillId="16" borderId="135" xfId="18" applyNumberFormat="1" applyFont="1" applyFill="1" applyBorder="1" applyAlignment="1">
      <alignment vertical="center"/>
    </xf>
    <xf numFmtId="169" fontId="16" fillId="16" borderId="89" xfId="18" applyNumberFormat="1" applyFont="1" applyFill="1" applyBorder="1" applyAlignment="1">
      <alignment vertical="center"/>
    </xf>
    <xf numFmtId="169" fontId="16" fillId="16" borderId="131" xfId="18" applyNumberFormat="1" applyFont="1" applyFill="1" applyBorder="1" applyAlignment="1">
      <alignment vertical="center"/>
    </xf>
    <xf numFmtId="3" fontId="66" fillId="16" borderId="133" xfId="17" applyNumberFormat="1" applyFont="1" applyFill="1" applyBorder="1" applyAlignment="1">
      <alignment vertical="center"/>
    </xf>
    <xf numFmtId="3" fontId="66" fillId="16" borderId="134" xfId="17" applyNumberFormat="1" applyFont="1" applyFill="1" applyBorder="1" applyAlignment="1">
      <alignment vertical="center"/>
    </xf>
    <xf numFmtId="3" fontId="66" fillId="16" borderId="118" xfId="17" applyNumberFormat="1" applyFont="1" applyFill="1" applyBorder="1" applyAlignment="1">
      <alignment vertical="center"/>
    </xf>
    <xf numFmtId="3" fontId="66" fillId="16" borderId="94" xfId="17" applyNumberFormat="1" applyFont="1" applyFill="1" applyBorder="1" applyAlignment="1">
      <alignment vertical="center"/>
    </xf>
    <xf numFmtId="3" fontId="66" fillId="16" borderId="95" xfId="17" applyNumberFormat="1" applyFont="1" applyFill="1" applyBorder="1" applyAlignment="1">
      <alignment vertical="center"/>
    </xf>
    <xf numFmtId="169" fontId="66" fillId="16" borderId="92" xfId="18" applyNumberFormat="1" applyFont="1" applyFill="1" applyBorder="1" applyAlignment="1">
      <alignment vertical="center"/>
    </xf>
    <xf numFmtId="169" fontId="66" fillId="16" borderId="111" xfId="18" applyNumberFormat="1" applyFont="1" applyFill="1" applyBorder="1" applyAlignment="1">
      <alignment vertical="center"/>
    </xf>
    <xf numFmtId="169" fontId="66" fillId="16" borderId="136" xfId="18" applyNumberFormat="1" applyFont="1" applyFill="1" applyBorder="1" applyAlignment="1">
      <alignment vertical="center"/>
    </xf>
    <xf numFmtId="169" fontId="66" fillId="16" borderId="94" xfId="18" applyNumberFormat="1" applyFont="1" applyFill="1" applyBorder="1" applyAlignment="1">
      <alignment vertical="center"/>
    </xf>
    <xf numFmtId="169" fontId="66" fillId="16" borderId="112" xfId="18" applyNumberFormat="1" applyFont="1" applyFill="1" applyBorder="1" applyAlignment="1">
      <alignment vertical="center"/>
    </xf>
    <xf numFmtId="3" fontId="66" fillId="16" borderId="103" xfId="17" applyNumberFormat="1" applyFont="1" applyFill="1" applyBorder="1" applyAlignment="1">
      <alignment vertical="center"/>
    </xf>
    <xf numFmtId="169" fontId="66" fillId="16" borderId="100" xfId="18" applyNumberFormat="1" applyFont="1" applyFill="1" applyBorder="1" applyAlignment="1">
      <alignment vertical="center"/>
    </xf>
    <xf numFmtId="169" fontId="66" fillId="16" borderId="126" xfId="18" applyNumberFormat="1" applyFont="1" applyFill="1" applyBorder="1" applyAlignment="1">
      <alignment vertical="center"/>
    </xf>
    <xf numFmtId="169" fontId="66" fillId="16" borderId="137" xfId="18" applyNumberFormat="1" applyFont="1" applyFill="1" applyBorder="1" applyAlignment="1">
      <alignment vertical="center"/>
    </xf>
    <xf numFmtId="169" fontId="66" fillId="16" borderId="103" xfId="18" applyNumberFormat="1" applyFont="1" applyFill="1" applyBorder="1" applyAlignment="1">
      <alignment vertical="center"/>
    </xf>
    <xf numFmtId="169" fontId="66" fillId="16" borderId="127" xfId="18" applyNumberFormat="1" applyFont="1" applyFill="1" applyBorder="1" applyAlignment="1">
      <alignment vertical="center"/>
    </xf>
    <xf numFmtId="3" fontId="67" fillId="5" borderId="31" xfId="17" applyNumberFormat="1" applyFont="1" applyFill="1" applyBorder="1" applyAlignment="1">
      <alignment vertical="center"/>
    </xf>
    <xf numFmtId="3" fontId="68" fillId="5" borderId="31" xfId="17" applyNumberFormat="1" applyFont="1" applyFill="1" applyBorder="1" applyAlignment="1">
      <alignment vertical="center"/>
    </xf>
    <xf numFmtId="169" fontId="68" fillId="5" borderId="105" xfId="18" applyNumberFormat="1" applyFont="1" applyFill="1" applyBorder="1" applyAlignment="1">
      <alignment vertical="center"/>
    </xf>
    <xf numFmtId="169" fontId="68" fillId="5" borderId="106" xfId="18" applyNumberFormat="1" applyFont="1" applyFill="1" applyBorder="1" applyAlignment="1">
      <alignment vertical="center"/>
    </xf>
    <xf numFmtId="9" fontId="68" fillId="5" borderId="124" xfId="18" applyFont="1" applyFill="1" applyBorder="1" applyAlignment="1">
      <alignment vertical="center"/>
    </xf>
    <xf numFmtId="169" fontId="69" fillId="5" borderId="106" xfId="18" applyNumberFormat="1" applyFont="1" applyFill="1" applyBorder="1" applyAlignment="1">
      <alignment vertical="center"/>
    </xf>
    <xf numFmtId="169" fontId="16" fillId="16" borderId="92" xfId="18" applyNumberFormat="1" applyFont="1" applyFill="1" applyBorder="1" applyAlignment="1">
      <alignment vertical="center"/>
    </xf>
    <xf numFmtId="169" fontId="16" fillId="16" borderId="136" xfId="18" applyNumberFormat="1" applyFont="1" applyFill="1" applyBorder="1" applyAlignment="1">
      <alignment vertical="center"/>
    </xf>
    <xf numFmtId="169" fontId="16" fillId="16" borderId="94" xfId="18" applyNumberFormat="1" applyFont="1" applyFill="1" applyBorder="1" applyAlignment="1">
      <alignment vertical="center"/>
    </xf>
    <xf numFmtId="169" fontId="16" fillId="16" borderId="112" xfId="18" applyNumberFormat="1" applyFont="1" applyFill="1" applyBorder="1" applyAlignment="1">
      <alignment vertical="center"/>
    </xf>
    <xf numFmtId="0" fontId="37" fillId="17" borderId="55" xfId="10" applyFont="1" applyFill="1" applyBorder="1" applyAlignment="1">
      <alignment horizontal="center"/>
    </xf>
    <xf numFmtId="0" fontId="36" fillId="17" borderId="50" xfId="10" applyFont="1" applyFill="1" applyBorder="1" applyAlignment="1">
      <alignment horizontal="center"/>
    </xf>
    <xf numFmtId="0" fontId="39" fillId="16" borderId="82" xfId="10" applyFont="1" applyFill="1" applyBorder="1" applyAlignment="1">
      <alignment horizontal="right"/>
    </xf>
    <xf numFmtId="0" fontId="39" fillId="16" borderId="15" xfId="10" applyFont="1" applyFill="1" applyBorder="1" applyAlignment="1">
      <alignment horizontal="right"/>
    </xf>
    <xf numFmtId="0" fontId="39" fillId="16" borderId="83" xfId="10" applyFont="1" applyFill="1" applyBorder="1" applyAlignment="1">
      <alignment horizontal="right"/>
    </xf>
    <xf numFmtId="0" fontId="36" fillId="16" borderId="84" xfId="10" applyFont="1" applyFill="1" applyBorder="1" applyAlignment="1">
      <alignment horizontal="center"/>
    </xf>
    <xf numFmtId="9" fontId="36" fillId="17" borderId="3" xfId="4" applyFont="1" applyFill="1" applyBorder="1" applyAlignment="1">
      <alignment horizontal="center" wrapText="1"/>
    </xf>
    <xf numFmtId="3" fontId="36" fillId="17" borderId="45" xfId="10" applyNumberFormat="1" applyFont="1" applyFill="1" applyBorder="1"/>
    <xf numFmtId="0" fontId="5" fillId="17" borderId="45" xfId="10" applyFill="1" applyBorder="1" applyAlignment="1">
      <alignment horizontal="center"/>
    </xf>
    <xf numFmtId="0" fontId="5" fillId="17" borderId="45" xfId="10" applyFill="1" applyBorder="1"/>
    <xf numFmtId="0" fontId="5" fillId="17" borderId="75" xfId="10" applyFill="1" applyBorder="1"/>
    <xf numFmtId="0" fontId="5" fillId="0" borderId="107" xfId="10" applyBorder="1"/>
    <xf numFmtId="169" fontId="36" fillId="16" borderId="107" xfId="4" applyNumberFormat="1" applyFont="1" applyFill="1" applyBorder="1"/>
    <xf numFmtId="169" fontId="36" fillId="16" borderId="90" xfId="4" applyNumberFormat="1" applyFont="1" applyFill="1" applyBorder="1"/>
    <xf numFmtId="169" fontId="36" fillId="16" borderId="110" xfId="4" applyNumberFormat="1" applyFont="1" applyFill="1" applyBorder="1"/>
    <xf numFmtId="169" fontId="36" fillId="16" borderId="112" xfId="4" applyNumberFormat="1" applyFont="1" applyFill="1" applyBorder="1"/>
    <xf numFmtId="0" fontId="5" fillId="18" borderId="91" xfId="10" applyFill="1" applyBorder="1"/>
    <xf numFmtId="0" fontId="5" fillId="0" borderId="116" xfId="10" applyBorder="1"/>
    <xf numFmtId="169" fontId="36" fillId="16" borderId="121" xfId="4" applyNumberFormat="1" applyFont="1" applyFill="1" applyBorder="1"/>
    <xf numFmtId="0" fontId="36" fillId="5" borderId="104" xfId="10" applyFont="1" applyFill="1" applyBorder="1" applyAlignment="1">
      <alignment vertical="center"/>
    </xf>
    <xf numFmtId="0" fontId="5" fillId="0" borderId="119" xfId="10" applyBorder="1"/>
    <xf numFmtId="169" fontId="36" fillId="16" borderId="126" xfId="4" applyNumberFormat="1" applyFont="1" applyFill="1" applyBorder="1"/>
    <xf numFmtId="169" fontId="36" fillId="16" borderId="102" xfId="4" applyNumberFormat="1" applyFont="1" applyFill="1" applyBorder="1"/>
    <xf numFmtId="169" fontId="36" fillId="16" borderId="116" xfId="4" applyNumberFormat="1" applyFont="1" applyFill="1" applyBorder="1"/>
    <xf numFmtId="169" fontId="36" fillId="16" borderId="127" xfId="4" applyNumberFormat="1" applyFont="1" applyFill="1" applyBorder="1"/>
    <xf numFmtId="0" fontId="5" fillId="0" borderId="102" xfId="10" applyBorder="1"/>
    <xf numFmtId="0" fontId="5" fillId="0" borderId="128" xfId="10" applyBorder="1"/>
    <xf numFmtId="169" fontId="36" fillId="16" borderId="129" xfId="4" applyNumberFormat="1" applyFont="1" applyFill="1" applyBorder="1"/>
    <xf numFmtId="169" fontId="36" fillId="16" borderId="86" xfId="4" applyNumberFormat="1" applyFont="1" applyFill="1" applyBorder="1"/>
    <xf numFmtId="169" fontId="36" fillId="16" borderId="130" xfId="4" applyNumberFormat="1" applyFont="1" applyFill="1" applyBorder="1"/>
    <xf numFmtId="169" fontId="36" fillId="16" borderId="131" xfId="4" applyNumberFormat="1" applyFont="1" applyFill="1" applyBorder="1"/>
    <xf numFmtId="0" fontId="5" fillId="0" borderId="132" xfId="10" applyBorder="1"/>
    <xf numFmtId="169" fontId="36" fillId="16" borderId="87" xfId="4" applyNumberFormat="1" applyFont="1" applyFill="1" applyBorder="1"/>
    <xf numFmtId="169" fontId="36" fillId="16" borderId="92" xfId="4" applyNumberFormat="1" applyFont="1" applyFill="1" applyBorder="1"/>
    <xf numFmtId="3" fontId="5" fillId="16" borderId="133" xfId="10" applyNumberFormat="1" applyFill="1" applyBorder="1"/>
    <xf numFmtId="3" fontId="5" fillId="16" borderId="118" xfId="10" applyNumberFormat="1" applyFill="1" applyBorder="1"/>
    <xf numFmtId="169" fontId="36" fillId="5" borderId="104" xfId="4" applyNumberFormat="1" applyFont="1" applyFill="1" applyBorder="1" applyAlignment="1">
      <alignment vertical="center"/>
    </xf>
    <xf numFmtId="0" fontId="5" fillId="0" borderId="107" xfId="10" applyBorder="1" applyAlignment="1">
      <alignment vertical="top"/>
    </xf>
    <xf numFmtId="3" fontId="5" fillId="16" borderId="133" xfId="10" applyNumberFormat="1" applyFill="1" applyBorder="1" applyAlignment="1">
      <alignment vertical="top"/>
    </xf>
    <xf numFmtId="3" fontId="5" fillId="16" borderId="134" xfId="10" applyNumberFormat="1" applyFill="1" applyBorder="1" applyAlignment="1">
      <alignment vertical="top"/>
    </xf>
    <xf numFmtId="3" fontId="5" fillId="16" borderId="118" xfId="10" applyNumberFormat="1" applyFill="1" applyBorder="1" applyAlignment="1">
      <alignment vertical="top"/>
    </xf>
    <xf numFmtId="169" fontId="36" fillId="16" borderId="87" xfId="4" applyNumberFormat="1" applyFont="1" applyFill="1" applyBorder="1" applyAlignment="1">
      <alignment vertical="top"/>
    </xf>
    <xf numFmtId="169" fontId="36" fillId="16" borderId="129" xfId="4" applyNumberFormat="1" applyFont="1" applyFill="1" applyBorder="1" applyAlignment="1">
      <alignment vertical="top"/>
    </xf>
    <xf numFmtId="169" fontId="36" fillId="16" borderId="135" xfId="4" applyNumberFormat="1" applyFont="1" applyFill="1" applyBorder="1" applyAlignment="1">
      <alignment vertical="top"/>
    </xf>
    <xf numFmtId="169" fontId="36" fillId="16" borderId="89" xfId="4" applyNumberFormat="1" applyFont="1" applyFill="1" applyBorder="1" applyAlignment="1">
      <alignment vertical="top"/>
    </xf>
    <xf numFmtId="169" fontId="36" fillId="16" borderId="131" xfId="4" applyNumberFormat="1" applyFont="1" applyFill="1" applyBorder="1" applyAlignment="1">
      <alignment vertical="top"/>
    </xf>
    <xf numFmtId="0" fontId="36" fillId="0" borderId="91" xfId="10" applyFont="1" applyBorder="1" applyAlignment="1">
      <alignment vertical="top"/>
    </xf>
    <xf numFmtId="3" fontId="36" fillId="16" borderId="133" xfId="10" applyNumberFormat="1" applyFont="1" applyFill="1" applyBorder="1" applyAlignment="1">
      <alignment vertical="top"/>
    </xf>
    <xf numFmtId="3" fontId="36" fillId="16" borderId="134" xfId="10" applyNumberFormat="1" applyFont="1" applyFill="1" applyBorder="1" applyAlignment="1">
      <alignment vertical="top"/>
    </xf>
    <xf numFmtId="3" fontId="36" fillId="16" borderId="118" xfId="10" applyNumberFormat="1" applyFont="1" applyFill="1" applyBorder="1" applyAlignment="1">
      <alignment vertical="top"/>
    </xf>
    <xf numFmtId="169" fontId="36" fillId="16" borderId="92" xfId="4" applyNumberFormat="1" applyFont="1" applyFill="1" applyBorder="1" applyAlignment="1">
      <alignment vertical="top"/>
    </xf>
    <xf numFmtId="169" fontId="36" fillId="16" borderId="111" xfId="4" applyNumberFormat="1" applyFont="1" applyFill="1" applyBorder="1" applyAlignment="1">
      <alignment vertical="top"/>
    </xf>
    <xf numFmtId="169" fontId="36" fillId="16" borderId="136" xfId="4" applyNumberFormat="1" applyFont="1" applyFill="1" applyBorder="1" applyAlignment="1">
      <alignment vertical="top"/>
    </xf>
    <xf numFmtId="169" fontId="36" fillId="16" borderId="94" xfId="4" applyNumberFormat="1" applyFont="1" applyFill="1" applyBorder="1" applyAlignment="1">
      <alignment vertical="top"/>
    </xf>
    <xf numFmtId="169" fontId="36" fillId="16" borderId="112" xfId="4" applyNumberFormat="1" applyFont="1" applyFill="1" applyBorder="1" applyAlignment="1">
      <alignment vertical="top"/>
    </xf>
    <xf numFmtId="3" fontId="15" fillId="16" borderId="133" xfId="10" applyNumberFormat="1" applyFont="1" applyFill="1" applyBorder="1" applyAlignment="1">
      <alignment vertical="top"/>
    </xf>
    <xf numFmtId="3" fontId="15" fillId="16" borderId="134" xfId="10" applyNumberFormat="1" applyFont="1" applyFill="1" applyBorder="1" applyAlignment="1">
      <alignment vertical="top"/>
    </xf>
    <xf numFmtId="3" fontId="15" fillId="16" borderId="118" xfId="10" applyNumberFormat="1" applyFont="1" applyFill="1" applyBorder="1" applyAlignment="1">
      <alignment vertical="top"/>
    </xf>
    <xf numFmtId="169" fontId="15" fillId="16" borderId="92" xfId="4" applyNumberFormat="1" applyFont="1" applyFill="1" applyBorder="1" applyAlignment="1">
      <alignment vertical="top"/>
    </xf>
    <xf numFmtId="169" fontId="15" fillId="16" borderId="111" xfId="4" applyNumberFormat="1" applyFont="1" applyFill="1" applyBorder="1" applyAlignment="1">
      <alignment vertical="top"/>
    </xf>
    <xf numFmtId="169" fontId="15" fillId="16" borderId="136" xfId="4" applyNumberFormat="1" applyFont="1" applyFill="1" applyBorder="1" applyAlignment="1">
      <alignment vertical="top"/>
    </xf>
    <xf numFmtId="169" fontId="15" fillId="16" borderId="94" xfId="4" applyNumberFormat="1" applyFont="1" applyFill="1" applyBorder="1" applyAlignment="1">
      <alignment vertical="top"/>
    </xf>
    <xf numFmtId="169" fontId="15" fillId="16" borderId="112" xfId="4" applyNumberFormat="1" applyFont="1" applyFill="1" applyBorder="1" applyAlignment="1">
      <alignment vertical="top"/>
    </xf>
    <xf numFmtId="3" fontId="47" fillId="16" borderId="133" xfId="10" applyNumberFormat="1" applyFont="1" applyFill="1" applyBorder="1" applyAlignment="1">
      <alignment vertical="top"/>
    </xf>
    <xf numFmtId="3" fontId="47" fillId="16" borderId="134" xfId="10" applyNumberFormat="1" applyFont="1" applyFill="1" applyBorder="1" applyAlignment="1">
      <alignment vertical="top"/>
    </xf>
    <xf numFmtId="3" fontId="47" fillId="16" borderId="118" xfId="10" applyNumberFormat="1" applyFont="1" applyFill="1" applyBorder="1" applyAlignment="1">
      <alignment vertical="top"/>
    </xf>
    <xf numFmtId="169" fontId="36" fillId="16" borderId="100" xfId="4" applyNumberFormat="1" applyFont="1" applyFill="1" applyBorder="1" applyAlignment="1">
      <alignment vertical="top"/>
    </xf>
    <xf numFmtId="169" fontId="36" fillId="16" borderId="126" xfId="4" applyNumberFormat="1" applyFont="1" applyFill="1" applyBorder="1" applyAlignment="1">
      <alignment vertical="top"/>
    </xf>
    <xf numFmtId="169" fontId="36" fillId="16" borderId="137" xfId="4" applyNumberFormat="1" applyFont="1" applyFill="1" applyBorder="1" applyAlignment="1">
      <alignment vertical="top"/>
    </xf>
    <xf numFmtId="169" fontId="36" fillId="16" borderId="103" xfId="4" applyNumberFormat="1" applyFont="1" applyFill="1" applyBorder="1" applyAlignment="1">
      <alignment vertical="top"/>
    </xf>
    <xf numFmtId="169" fontId="36" fillId="16" borderId="127" xfId="4" applyNumberFormat="1" applyFont="1" applyFill="1" applyBorder="1" applyAlignment="1">
      <alignment vertical="top"/>
    </xf>
    <xf numFmtId="3" fontId="63" fillId="16" borderId="133" xfId="10" applyNumberFormat="1" applyFont="1" applyFill="1" applyBorder="1" applyAlignment="1">
      <alignment vertical="top"/>
    </xf>
    <xf numFmtId="169" fontId="63" fillId="16" borderId="92" xfId="4" applyNumberFormat="1" applyFont="1" applyFill="1" applyBorder="1" applyAlignment="1">
      <alignment vertical="top"/>
    </xf>
    <xf numFmtId="169" fontId="47" fillId="16" borderId="136" xfId="4" applyNumberFormat="1" applyFont="1" applyFill="1" applyBorder="1" applyAlignment="1">
      <alignment vertical="top"/>
    </xf>
    <xf numFmtId="169" fontId="47" fillId="16" borderId="94" xfId="4" applyNumberFormat="1" applyFont="1" applyFill="1" applyBorder="1" applyAlignment="1">
      <alignment vertical="top"/>
    </xf>
    <xf numFmtId="169" fontId="47" fillId="16" borderId="112" xfId="4" applyNumberFormat="1" applyFont="1" applyFill="1" applyBorder="1" applyAlignment="1">
      <alignment vertical="top"/>
    </xf>
    <xf numFmtId="169" fontId="47" fillId="5" borderId="105" xfId="4" applyNumberFormat="1" applyFont="1" applyFill="1" applyBorder="1" applyAlignment="1">
      <alignment vertical="center"/>
    </xf>
    <xf numFmtId="3" fontId="5" fillId="16" borderId="133" xfId="10" applyNumberFormat="1" applyFill="1" applyBorder="1" applyAlignment="1">
      <alignment vertical="center"/>
    </xf>
    <xf numFmtId="3" fontId="5" fillId="16" borderId="134" xfId="10" applyNumberFormat="1" applyFill="1" applyBorder="1" applyAlignment="1">
      <alignment vertical="center"/>
    </xf>
    <xf numFmtId="3" fontId="5" fillId="16" borderId="118" xfId="10" applyNumberFormat="1" applyFill="1" applyBorder="1" applyAlignment="1">
      <alignment vertical="center"/>
    </xf>
    <xf numFmtId="3" fontId="5" fillId="16" borderId="89" xfId="10" applyNumberFormat="1" applyFill="1" applyBorder="1" applyAlignment="1">
      <alignment vertical="center"/>
    </xf>
    <xf numFmtId="3" fontId="5" fillId="16" borderId="90" xfId="10" applyNumberFormat="1" applyFill="1" applyBorder="1" applyAlignment="1">
      <alignment vertical="center"/>
    </xf>
    <xf numFmtId="169" fontId="36" fillId="16" borderId="87" xfId="4" applyNumberFormat="1" applyFont="1" applyFill="1" applyBorder="1" applyAlignment="1">
      <alignment vertical="center"/>
    </xf>
    <xf numFmtId="169" fontId="36" fillId="16" borderId="129" xfId="4" applyNumberFormat="1" applyFont="1" applyFill="1" applyBorder="1" applyAlignment="1">
      <alignment vertical="center"/>
    </xf>
    <xf numFmtId="169" fontId="36" fillId="16" borderId="135" xfId="4" applyNumberFormat="1" applyFont="1" applyFill="1" applyBorder="1" applyAlignment="1">
      <alignment vertical="center"/>
    </xf>
    <xf numFmtId="169" fontId="36" fillId="16" borderId="89" xfId="4" applyNumberFormat="1" applyFont="1" applyFill="1" applyBorder="1" applyAlignment="1">
      <alignment vertical="center"/>
    </xf>
    <xf numFmtId="169" fontId="36" fillId="16" borderId="131" xfId="4" applyNumberFormat="1" applyFont="1" applyFill="1" applyBorder="1" applyAlignment="1">
      <alignment vertical="center"/>
    </xf>
    <xf numFmtId="3" fontId="36" fillId="16" borderId="133" xfId="10" applyNumberFormat="1" applyFont="1" applyFill="1" applyBorder="1" applyAlignment="1">
      <alignment vertical="center"/>
    </xf>
    <xf numFmtId="3" fontId="36" fillId="16" borderId="134" xfId="10" applyNumberFormat="1" applyFont="1" applyFill="1" applyBorder="1" applyAlignment="1">
      <alignment vertical="center"/>
    </xf>
    <xf numFmtId="3" fontId="36" fillId="16" borderId="118" xfId="10" applyNumberFormat="1" applyFont="1" applyFill="1" applyBorder="1" applyAlignment="1">
      <alignment vertical="center"/>
    </xf>
    <xf numFmtId="3" fontId="36" fillId="16" borderId="94" xfId="10" applyNumberFormat="1" applyFont="1" applyFill="1" applyBorder="1" applyAlignment="1">
      <alignment vertical="center"/>
    </xf>
    <xf numFmtId="3" fontId="36" fillId="16" borderId="95" xfId="10" applyNumberFormat="1" applyFont="1" applyFill="1" applyBorder="1" applyAlignment="1">
      <alignment vertical="center"/>
    </xf>
    <xf numFmtId="169" fontId="36" fillId="16" borderId="92" xfId="4" applyNumberFormat="1" applyFont="1" applyFill="1" applyBorder="1" applyAlignment="1">
      <alignment vertical="center"/>
    </xf>
    <xf numFmtId="169" fontId="36" fillId="16" borderId="111" xfId="4" applyNumberFormat="1" applyFont="1" applyFill="1" applyBorder="1" applyAlignment="1">
      <alignment vertical="center"/>
    </xf>
    <xf numFmtId="169" fontId="36" fillId="16" borderId="136" xfId="4" applyNumberFormat="1" applyFont="1" applyFill="1" applyBorder="1" applyAlignment="1">
      <alignment vertical="center"/>
    </xf>
    <xf numFmtId="169" fontId="36" fillId="16" borderId="94" xfId="4" applyNumberFormat="1" applyFont="1" applyFill="1" applyBorder="1" applyAlignment="1">
      <alignment vertical="center"/>
    </xf>
    <xf numFmtId="169" fontId="36" fillId="16" borderId="112" xfId="4" applyNumberFormat="1" applyFont="1" applyFill="1" applyBorder="1" applyAlignment="1">
      <alignment vertical="center"/>
    </xf>
    <xf numFmtId="169" fontId="47" fillId="16" borderId="92" xfId="4" applyNumberFormat="1" applyFont="1" applyFill="1" applyBorder="1" applyAlignment="1">
      <alignment vertical="center"/>
    </xf>
    <xf numFmtId="169" fontId="47" fillId="16" borderId="100" xfId="4" applyNumberFormat="1" applyFont="1" applyFill="1" applyBorder="1" applyAlignment="1">
      <alignment vertical="center"/>
    </xf>
    <xf numFmtId="169" fontId="36" fillId="16" borderId="126" xfId="4" applyNumberFormat="1" applyFont="1" applyFill="1" applyBorder="1" applyAlignment="1">
      <alignment vertical="center"/>
    </xf>
    <xf numFmtId="169" fontId="36" fillId="16" borderId="137" xfId="4" applyNumberFormat="1" applyFont="1" applyFill="1" applyBorder="1" applyAlignment="1">
      <alignment vertical="center"/>
    </xf>
    <xf numFmtId="169" fontId="36" fillId="16" borderId="103" xfId="4" applyNumberFormat="1" applyFont="1" applyFill="1" applyBorder="1" applyAlignment="1">
      <alignment vertical="center"/>
    </xf>
    <xf numFmtId="169" fontId="36" fillId="16" borderId="127" xfId="4" applyNumberFormat="1" applyFont="1" applyFill="1" applyBorder="1" applyAlignment="1">
      <alignment vertical="center"/>
    </xf>
    <xf numFmtId="3" fontId="39" fillId="5" borderId="31" xfId="10" applyNumberFormat="1" applyFont="1" applyFill="1" applyBorder="1" applyAlignment="1">
      <alignment vertical="center"/>
    </xf>
    <xf numFmtId="3" fontId="39" fillId="5" borderId="106" xfId="10" applyNumberFormat="1" applyFont="1" applyFill="1" applyBorder="1" applyAlignment="1">
      <alignment vertical="center"/>
    </xf>
    <xf numFmtId="169" fontId="51" fillId="5" borderId="105" xfId="4" applyNumberFormat="1" applyFont="1" applyFill="1" applyBorder="1" applyAlignment="1">
      <alignment vertical="center"/>
    </xf>
    <xf numFmtId="169" fontId="51" fillId="5" borderId="106" xfId="4" applyNumberFormat="1" applyFont="1" applyFill="1" applyBorder="1" applyAlignment="1">
      <alignment vertical="center"/>
    </xf>
    <xf numFmtId="169" fontId="39" fillId="5" borderId="124" xfId="4" applyNumberFormat="1" applyFont="1" applyFill="1" applyBorder="1" applyAlignment="1">
      <alignment vertical="center"/>
    </xf>
    <xf numFmtId="169" fontId="39" fillId="5" borderId="106" xfId="4" applyNumberFormat="1" applyFont="1" applyFill="1" applyBorder="1" applyAlignment="1">
      <alignment vertical="center"/>
    </xf>
    <xf numFmtId="3" fontId="36" fillId="16" borderId="89" xfId="10" applyNumberFormat="1" applyFont="1" applyFill="1" applyBorder="1" applyAlignment="1">
      <alignment vertical="center"/>
    </xf>
    <xf numFmtId="3" fontId="36" fillId="16" borderId="90" xfId="10" applyNumberFormat="1" applyFont="1" applyFill="1" applyBorder="1" applyAlignment="1">
      <alignment vertical="center"/>
    </xf>
    <xf numFmtId="169" fontId="36" fillId="16" borderId="100" xfId="4" applyNumberFormat="1" applyFont="1" applyFill="1" applyBorder="1" applyAlignment="1">
      <alignment vertical="center"/>
    </xf>
    <xf numFmtId="3" fontId="51" fillId="5" borderId="106" xfId="10" applyNumberFormat="1" applyFont="1" applyFill="1" applyBorder="1" applyAlignment="1">
      <alignment vertical="center"/>
    </xf>
    <xf numFmtId="3" fontId="15" fillId="16" borderId="133" xfId="10" applyNumberFormat="1" applyFont="1" applyFill="1" applyBorder="1" applyAlignment="1">
      <alignment vertical="center"/>
    </xf>
    <xf numFmtId="3" fontId="15" fillId="16" borderId="134" xfId="10" applyNumberFormat="1" applyFont="1" applyFill="1" applyBorder="1" applyAlignment="1">
      <alignment vertical="center"/>
    </xf>
    <xf numFmtId="3" fontId="15" fillId="16" borderId="118" xfId="10" applyNumberFormat="1" applyFont="1" applyFill="1" applyBorder="1" applyAlignment="1">
      <alignment vertical="center"/>
    </xf>
    <xf numFmtId="3" fontId="15" fillId="16" borderId="94" xfId="10" applyNumberFormat="1" applyFont="1" applyFill="1" applyBorder="1" applyAlignment="1">
      <alignment vertical="center"/>
    </xf>
    <xf numFmtId="3" fontId="15" fillId="16" borderId="95" xfId="10" applyNumberFormat="1" applyFont="1" applyFill="1" applyBorder="1" applyAlignment="1">
      <alignment vertical="center"/>
    </xf>
    <xf numFmtId="169" fontId="15" fillId="16" borderId="92" xfId="4" applyNumberFormat="1" applyFont="1" applyFill="1" applyBorder="1" applyAlignment="1">
      <alignment vertical="center"/>
    </xf>
    <xf numFmtId="169" fontId="15" fillId="16" borderId="111" xfId="4" applyNumberFormat="1" applyFont="1" applyFill="1" applyBorder="1" applyAlignment="1">
      <alignment vertical="center"/>
    </xf>
    <xf numFmtId="169" fontId="15" fillId="16" borderId="136" xfId="4" applyNumberFormat="1" applyFont="1" applyFill="1" applyBorder="1" applyAlignment="1">
      <alignment vertical="center"/>
    </xf>
    <xf numFmtId="169" fontId="15" fillId="16" borderId="94" xfId="4" applyNumberFormat="1" applyFont="1" applyFill="1" applyBorder="1" applyAlignment="1">
      <alignment vertical="center"/>
    </xf>
    <xf numFmtId="169" fontId="15" fillId="16" borderId="112" xfId="4" applyNumberFormat="1" applyFont="1" applyFill="1" applyBorder="1" applyAlignment="1">
      <alignment vertical="center"/>
    </xf>
    <xf numFmtId="3" fontId="64" fillId="5" borderId="106" xfId="10" applyNumberFormat="1" applyFont="1" applyFill="1" applyBorder="1" applyAlignment="1">
      <alignment vertical="center"/>
    </xf>
    <xf numFmtId="169" fontId="6" fillId="16" borderId="87" xfId="4" applyNumberFormat="1" applyFill="1" applyBorder="1" applyAlignment="1">
      <alignment vertical="center"/>
    </xf>
    <xf numFmtId="169" fontId="6" fillId="16" borderId="129" xfId="4" applyNumberFormat="1" applyFill="1" applyBorder="1" applyAlignment="1">
      <alignment vertical="center"/>
    </xf>
    <xf numFmtId="169" fontId="6" fillId="16" borderId="135" xfId="4" applyNumberFormat="1" applyFill="1" applyBorder="1" applyAlignment="1">
      <alignment vertical="center"/>
    </xf>
    <xf numFmtId="169" fontId="6" fillId="16" borderId="89" xfId="4" applyNumberFormat="1" applyFill="1" applyBorder="1" applyAlignment="1">
      <alignment vertical="center"/>
    </xf>
    <xf numFmtId="169" fontId="6" fillId="16" borderId="131" xfId="4" applyNumberFormat="1" applyFill="1" applyBorder="1" applyAlignment="1">
      <alignment vertical="center"/>
    </xf>
    <xf numFmtId="3" fontId="47" fillId="5" borderId="31" xfId="10" applyNumberFormat="1" applyFont="1" applyFill="1" applyBorder="1" applyAlignment="1">
      <alignment vertical="center"/>
    </xf>
    <xf numFmtId="9" fontId="36" fillId="5" borderId="124" xfId="4" applyFont="1" applyFill="1" applyBorder="1" applyAlignment="1">
      <alignment vertical="center"/>
    </xf>
    <xf numFmtId="3" fontId="71" fillId="13" borderId="77" xfId="0" applyNumberFormat="1" applyFont="1" applyFill="1" applyBorder="1" applyAlignment="1">
      <alignment horizontal="left" vertical="top" wrapText="1"/>
    </xf>
    <xf numFmtId="9" fontId="71" fillId="13" borderId="77" xfId="0" applyNumberFormat="1" applyFont="1" applyFill="1" applyBorder="1" applyAlignment="1">
      <alignment horizontal="left" vertical="top" wrapText="1"/>
    </xf>
    <xf numFmtId="0" fontId="71" fillId="13" borderId="77" xfId="0" applyFont="1" applyFill="1" applyBorder="1" applyAlignment="1">
      <alignment horizontal="left" vertical="top" wrapText="1"/>
    </xf>
    <xf numFmtId="0" fontId="71" fillId="12" borderId="77" xfId="0" applyFont="1" applyFill="1" applyBorder="1" applyAlignment="1">
      <alignment horizontal="left" vertical="top" wrapText="1"/>
    </xf>
    <xf numFmtId="9" fontId="71" fillId="12" borderId="77" xfId="0" applyNumberFormat="1" applyFont="1" applyFill="1" applyBorder="1" applyAlignment="1">
      <alignment horizontal="left" vertical="top" wrapText="1"/>
    </xf>
    <xf numFmtId="3" fontId="71" fillId="12" borderId="77" xfId="0" applyNumberFormat="1" applyFont="1" applyFill="1" applyBorder="1" applyAlignment="1">
      <alignment horizontal="left" vertical="top" wrapText="1"/>
    </xf>
    <xf numFmtId="0" fontId="70" fillId="23" borderId="60" xfId="0" applyFont="1" applyFill="1" applyBorder="1" applyAlignment="1">
      <alignment horizontal="left" vertical="center" wrapText="1"/>
    </xf>
    <xf numFmtId="0" fontId="70" fillId="23" borderId="61" xfId="0" applyFont="1" applyFill="1" applyBorder="1" applyAlignment="1">
      <alignment horizontal="left" vertical="center" wrapText="1"/>
    </xf>
    <xf numFmtId="0" fontId="70" fillId="23" borderId="62" xfId="0" applyFont="1" applyFill="1" applyBorder="1" applyAlignment="1">
      <alignment horizontal="left" vertical="center" wrapText="1"/>
    </xf>
    <xf numFmtId="0" fontId="71" fillId="13" borderId="76" xfId="0" applyFont="1" applyFill="1" applyBorder="1" applyAlignment="1">
      <alignment horizontal="left" vertical="top" wrapText="1"/>
    </xf>
    <xf numFmtId="3" fontId="71" fillId="13" borderId="78" xfId="0" applyNumberFormat="1" applyFont="1" applyFill="1" applyBorder="1" applyAlignment="1">
      <alignment horizontal="left" vertical="top" wrapText="1"/>
    </xf>
    <xf numFmtId="0" fontId="71" fillId="12" borderId="76" xfId="0" applyFont="1" applyFill="1" applyBorder="1" applyAlignment="1">
      <alignment horizontal="left" vertical="top" wrapText="1"/>
    </xf>
    <xf numFmtId="3" fontId="71" fillId="12" borderId="78" xfId="0" applyNumberFormat="1" applyFont="1" applyFill="1" applyBorder="1" applyAlignment="1">
      <alignment horizontal="left" vertical="top" wrapText="1"/>
    </xf>
    <xf numFmtId="0" fontId="71" fillId="12" borderId="78" xfId="0" applyFont="1" applyFill="1" applyBorder="1" applyAlignment="1">
      <alignment horizontal="left" vertical="top" wrapText="1"/>
    </xf>
    <xf numFmtId="0" fontId="71" fillId="13" borderId="113" xfId="0" applyFont="1" applyFill="1" applyBorder="1" applyAlignment="1">
      <alignment horizontal="left" vertical="top" wrapText="1"/>
    </xf>
    <xf numFmtId="3" fontId="71" fillId="13" borderId="114" xfId="0" applyNumberFormat="1" applyFont="1" applyFill="1" applyBorder="1" applyAlignment="1">
      <alignment horizontal="left" vertical="top" wrapText="1"/>
    </xf>
    <xf numFmtId="9" fontId="71" fillId="13" borderId="114" xfId="0" applyNumberFormat="1" applyFont="1" applyFill="1" applyBorder="1" applyAlignment="1">
      <alignment horizontal="left" vertical="top" wrapText="1"/>
    </xf>
    <xf numFmtId="0" fontId="71" fillId="13" borderId="114" xfId="0" applyFont="1" applyFill="1" applyBorder="1" applyAlignment="1">
      <alignment horizontal="left" vertical="top" wrapText="1"/>
    </xf>
    <xf numFmtId="3" fontId="71" fillId="13" borderId="115" xfId="0" applyNumberFormat="1" applyFont="1" applyFill="1" applyBorder="1" applyAlignment="1">
      <alignment horizontal="left" vertical="top" wrapText="1"/>
    </xf>
    <xf numFmtId="0" fontId="72" fillId="12" borderId="69" xfId="0" applyFont="1" applyFill="1" applyBorder="1" applyAlignment="1">
      <alignment horizontal="left" vertical="center" wrapText="1"/>
    </xf>
    <xf numFmtId="0" fontId="72" fillId="12" borderId="70" xfId="0" applyFont="1" applyFill="1" applyBorder="1" applyAlignment="1">
      <alignment horizontal="left" vertical="center" wrapText="1"/>
    </xf>
    <xf numFmtId="0" fontId="72" fillId="12" borderId="71" xfId="0" applyFont="1" applyFill="1" applyBorder="1" applyAlignment="1">
      <alignment horizontal="left" vertical="center" wrapText="1"/>
    </xf>
    <xf numFmtId="0" fontId="72" fillId="13" borderId="96" xfId="0" applyFont="1" applyFill="1" applyBorder="1" applyAlignment="1">
      <alignment horizontal="left" vertical="center" wrapText="1"/>
    </xf>
    <xf numFmtId="0" fontId="72" fillId="13" borderId="97" xfId="0" applyFont="1" applyFill="1" applyBorder="1" applyAlignment="1">
      <alignment horizontal="left" vertical="center" wrapText="1"/>
    </xf>
    <xf numFmtId="0" fontId="72" fillId="13" borderId="98" xfId="0" applyFont="1" applyFill="1" applyBorder="1" applyAlignment="1">
      <alignment horizontal="left" vertical="center" wrapText="1"/>
    </xf>
    <xf numFmtId="0" fontId="72" fillId="12" borderId="96" xfId="0" applyFont="1" applyFill="1" applyBorder="1" applyAlignment="1">
      <alignment horizontal="left" vertical="center" wrapText="1"/>
    </xf>
    <xf numFmtId="0" fontId="72" fillId="12" borderId="97" xfId="0" applyFont="1" applyFill="1" applyBorder="1" applyAlignment="1">
      <alignment horizontal="left" vertical="center" wrapText="1"/>
    </xf>
    <xf numFmtId="0" fontId="72" fillId="12" borderId="98" xfId="0" applyFont="1" applyFill="1" applyBorder="1" applyAlignment="1">
      <alignment horizontal="left" vertical="center" wrapText="1"/>
    </xf>
    <xf numFmtId="0" fontId="73" fillId="24" borderId="0" xfId="0" applyFont="1" applyFill="1"/>
    <xf numFmtId="1" fontId="14" fillId="0" borderId="0" xfId="0" applyNumberFormat="1" applyFont="1"/>
    <xf numFmtId="2" fontId="14" fillId="0" borderId="0" xfId="0" applyNumberFormat="1" applyFont="1"/>
    <xf numFmtId="0" fontId="71" fillId="12" borderId="113" xfId="0" applyFont="1" applyFill="1" applyBorder="1" applyAlignment="1">
      <alignment horizontal="left" vertical="top" wrapText="1"/>
    </xf>
    <xf numFmtId="3" fontId="71" fillId="12" borderId="114" xfId="0" applyNumberFormat="1" applyFont="1" applyFill="1" applyBorder="1" applyAlignment="1">
      <alignment horizontal="left" vertical="top" wrapText="1"/>
    </xf>
    <xf numFmtId="9" fontId="71" fillId="12" borderId="114" xfId="0" applyNumberFormat="1" applyFont="1" applyFill="1" applyBorder="1" applyAlignment="1">
      <alignment horizontal="left" vertical="top" wrapText="1"/>
    </xf>
    <xf numFmtId="0" fontId="71" fillId="12" borderId="114" xfId="0" applyFont="1" applyFill="1" applyBorder="1" applyAlignment="1">
      <alignment horizontal="left" vertical="top" wrapText="1"/>
    </xf>
    <xf numFmtId="3" fontId="71" fillId="12" borderId="115" xfId="0" applyNumberFormat="1" applyFont="1" applyFill="1" applyBorder="1" applyAlignment="1">
      <alignment horizontal="left" vertical="top" wrapText="1"/>
    </xf>
    <xf numFmtId="0" fontId="74" fillId="0" borderId="0" xfId="0" applyFont="1"/>
    <xf numFmtId="0" fontId="42" fillId="17" borderId="81" xfId="10" applyFont="1" applyFill="1" applyBorder="1" applyAlignment="1">
      <alignment horizontal="center"/>
    </xf>
    <xf numFmtId="0" fontId="39" fillId="17" borderId="0" xfId="10" applyFont="1" applyFill="1" applyAlignment="1">
      <alignment horizontal="center"/>
    </xf>
    <xf numFmtId="0" fontId="36" fillId="16" borderId="0" xfId="10" applyFont="1" applyFill="1" applyAlignment="1">
      <alignment horizontal="center"/>
    </xf>
    <xf numFmtId="0" fontId="5" fillId="17" borderId="52" xfId="10" applyFill="1" applyBorder="1" applyAlignment="1">
      <alignment horizontal="center" textRotation="90" wrapText="1"/>
    </xf>
    <xf numFmtId="0" fontId="5" fillId="17" borderId="6" xfId="10" applyFill="1" applyBorder="1" applyAlignment="1">
      <alignment horizontal="center" textRotation="90" wrapText="1"/>
    </xf>
    <xf numFmtId="0" fontId="39" fillId="16" borderId="44" xfId="10" applyFont="1" applyFill="1" applyBorder="1" applyAlignment="1">
      <alignment horizontal="center"/>
    </xf>
    <xf numFmtId="3" fontId="36" fillId="5" borderId="106" xfId="10" applyNumberFormat="1" applyFont="1" applyFill="1" applyBorder="1" applyAlignment="1">
      <alignment vertical="center"/>
    </xf>
    <xf numFmtId="9" fontId="36" fillId="17" borderId="52" xfId="4" applyFont="1" applyFill="1" applyBorder="1" applyAlignment="1">
      <alignment horizontal="center" textRotation="90" wrapText="1"/>
    </xf>
    <xf numFmtId="9" fontId="36" fillId="17" borderId="6" xfId="4" applyFont="1" applyFill="1" applyBorder="1" applyAlignment="1">
      <alignment horizontal="center" vertical="center" wrapText="1"/>
    </xf>
    <xf numFmtId="2" fontId="39" fillId="17" borderId="0" xfId="4" applyNumberFormat="1" applyFont="1" applyFill="1" applyBorder="1" applyAlignment="1">
      <alignment horizontal="center" vertical="center" wrapText="1"/>
    </xf>
    <xf numFmtId="3" fontId="5" fillId="16" borderId="0" xfId="10" applyNumberFormat="1" applyFill="1"/>
    <xf numFmtId="3" fontId="5" fillId="5" borderId="38" xfId="10" applyNumberFormat="1" applyFill="1" applyBorder="1" applyAlignment="1">
      <alignment vertical="center"/>
    </xf>
    <xf numFmtId="3" fontId="5" fillId="16" borderId="40" xfId="10" applyNumberFormat="1" applyFill="1" applyBorder="1"/>
    <xf numFmtId="3" fontId="5" fillId="16" borderId="45" xfId="10" applyNumberFormat="1" applyFill="1" applyBorder="1"/>
    <xf numFmtId="0" fontId="75" fillId="0" borderId="0" xfId="0" applyFont="1"/>
    <xf numFmtId="0" fontId="76" fillId="25" borderId="29" xfId="0" applyFont="1" applyFill="1" applyBorder="1" applyAlignment="1">
      <alignment vertical="center"/>
    </xf>
    <xf numFmtId="0" fontId="76" fillId="25" borderId="33" xfId="0" applyFont="1" applyFill="1" applyBorder="1" applyAlignment="1">
      <alignment horizontal="right" vertical="center"/>
    </xf>
    <xf numFmtId="0" fontId="76" fillId="25" borderId="149" xfId="0" applyFont="1" applyFill="1" applyBorder="1" applyAlignment="1">
      <alignment horizontal="right" vertical="center" wrapText="1"/>
    </xf>
    <xf numFmtId="0" fontId="76" fillId="25" borderId="150" xfId="0" applyFont="1" applyFill="1" applyBorder="1" applyAlignment="1">
      <alignment horizontal="right" vertical="center" wrapText="1"/>
    </xf>
    <xf numFmtId="0" fontId="77" fillId="0" borderId="13" xfId="0" applyFont="1" applyBorder="1" applyAlignment="1">
      <alignment vertical="center"/>
    </xf>
    <xf numFmtId="3" fontId="77" fillId="0" borderId="151" xfId="0" applyNumberFormat="1" applyFont="1" applyBorder="1" applyAlignment="1">
      <alignment horizontal="right" vertical="center" wrapText="1"/>
    </xf>
    <xf numFmtId="3" fontId="77" fillId="0" borderId="152" xfId="0" applyNumberFormat="1" applyFont="1" applyBorder="1" applyAlignment="1">
      <alignment horizontal="right" vertical="center" wrapText="1"/>
    </xf>
    <xf numFmtId="0" fontId="77" fillId="0" borderId="25" xfId="0" applyFont="1" applyBorder="1" applyAlignment="1">
      <alignment vertical="center"/>
    </xf>
    <xf numFmtId="3" fontId="76" fillId="5" borderId="151" xfId="0" applyNumberFormat="1" applyFont="1" applyFill="1" applyBorder="1" applyAlignment="1">
      <alignment horizontal="right" vertical="center" wrapText="1"/>
    </xf>
    <xf numFmtId="3" fontId="77" fillId="0" borderId="2" xfId="0" applyNumberFormat="1" applyFont="1" applyBorder="1" applyAlignment="1">
      <alignment horizontal="right" vertical="center"/>
    </xf>
    <xf numFmtId="3" fontId="77" fillId="0" borderId="38" xfId="0" applyNumberFormat="1" applyFont="1" applyBorder="1" applyAlignment="1">
      <alignment horizontal="right" vertical="center"/>
    </xf>
    <xf numFmtId="3" fontId="77" fillId="0" borderId="13" xfId="0" applyNumberFormat="1" applyFont="1" applyBorder="1" applyAlignment="1">
      <alignment horizontal="right" vertical="center"/>
    </xf>
    <xf numFmtId="3" fontId="77" fillId="0" borderId="152" xfId="0" applyNumberFormat="1" applyFont="1" applyBorder="1" applyAlignment="1">
      <alignment horizontal="right" vertical="center"/>
    </xf>
    <xf numFmtId="3" fontId="77" fillId="0" borderId="0" xfId="0" applyNumberFormat="1" applyFont="1" applyAlignment="1">
      <alignment horizontal="right" vertical="center"/>
    </xf>
    <xf numFmtId="3" fontId="77" fillId="0" borderId="25" xfId="0" applyNumberFormat="1" applyFont="1" applyBorder="1" applyAlignment="1">
      <alignment horizontal="right" vertical="center"/>
    </xf>
    <xf numFmtId="3" fontId="76" fillId="5" borderId="152" xfId="0" applyNumberFormat="1" applyFont="1" applyFill="1" applyBorder="1" applyAlignment="1">
      <alignment horizontal="right" vertical="center"/>
    </xf>
    <xf numFmtId="3" fontId="76" fillId="5" borderId="106" xfId="0" applyNumberFormat="1" applyFont="1" applyFill="1" applyBorder="1" applyAlignment="1">
      <alignment horizontal="right" vertical="center"/>
    </xf>
    <xf numFmtId="3" fontId="76" fillId="5" borderId="29" xfId="0" applyNumberFormat="1" applyFont="1" applyFill="1" applyBorder="1" applyAlignment="1">
      <alignment horizontal="right" vertical="center"/>
    </xf>
    <xf numFmtId="3" fontId="18" fillId="7" borderId="0" xfId="0" applyNumberFormat="1" applyFont="1" applyFill="1" applyAlignment="1">
      <alignment horizontal="right" vertical="center"/>
    </xf>
    <xf numFmtId="3" fontId="78" fillId="0" borderId="0" xfId="0" applyNumberFormat="1" applyFont="1" applyAlignment="1">
      <alignment horizontal="right" vertical="center"/>
    </xf>
    <xf numFmtId="168" fontId="18" fillId="5" borderId="0" xfId="0" applyNumberFormat="1" applyFont="1" applyFill="1" applyAlignment="1">
      <alignment horizontal="right" vertical="center"/>
    </xf>
    <xf numFmtId="168" fontId="10" fillId="4" borderId="0" xfId="0" applyNumberFormat="1" applyFont="1" applyFill="1" applyAlignment="1">
      <alignment vertical="center" wrapText="1"/>
    </xf>
    <xf numFmtId="2" fontId="7" fillId="0" borderId="0" xfId="0" applyNumberFormat="1" applyFont="1" applyAlignment="1">
      <alignment horizontal="right" vertical="center"/>
    </xf>
    <xf numFmtId="168" fontId="13" fillId="3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168" fontId="13" fillId="0" borderId="1" xfId="0" applyNumberFormat="1" applyFont="1" applyBorder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" fontId="25" fillId="19" borderId="0" xfId="0" applyNumberFormat="1" applyFont="1" applyFill="1"/>
    <xf numFmtId="0" fontId="79" fillId="19" borderId="0" xfId="0" applyFont="1" applyFill="1"/>
    <xf numFmtId="43" fontId="7" fillId="0" borderId="1" xfId="0" applyNumberFormat="1" applyFont="1" applyBorder="1" applyAlignment="1">
      <alignment horizontal="right" vertical="center"/>
    </xf>
    <xf numFmtId="173" fontId="7" fillId="0" borderId="0" xfId="0" applyNumberFormat="1" applyFont="1" applyAlignment="1">
      <alignment horizontal="right" vertical="center"/>
    </xf>
    <xf numFmtId="0" fontId="25" fillId="19" borderId="0" xfId="0" applyFont="1" applyFill="1"/>
    <xf numFmtId="2" fontId="18" fillId="7" borderId="0" xfId="0" applyNumberFormat="1" applyFont="1" applyFill="1" applyAlignment="1">
      <alignment horizontal="right" vertical="center"/>
    </xf>
    <xf numFmtId="3" fontId="79" fillId="19" borderId="0" xfId="0" applyNumberFormat="1" applyFont="1" applyFill="1"/>
    <xf numFmtId="4" fontId="79" fillId="19" borderId="0" xfId="0" applyNumberFormat="1" applyFont="1" applyFill="1"/>
    <xf numFmtId="0" fontId="80" fillId="19" borderId="0" xfId="0" applyFont="1" applyFill="1" applyAlignment="1">
      <alignment horizontal="right"/>
    </xf>
    <xf numFmtId="0" fontId="28" fillId="19" borderId="0" xfId="0" quotePrefix="1" applyFont="1" applyFill="1" applyAlignment="1" applyProtection="1">
      <alignment horizontal="center"/>
      <protection locked="0"/>
    </xf>
    <xf numFmtId="0" fontId="56" fillId="19" borderId="0" xfId="0" applyFont="1" applyFill="1" applyProtection="1">
      <protection locked="0"/>
    </xf>
    <xf numFmtId="0" fontId="81" fillId="26" borderId="0" xfId="0" applyFont="1" applyFill="1"/>
    <xf numFmtId="1" fontId="30" fillId="0" borderId="0" xfId="0" applyNumberFormat="1" applyFont="1"/>
    <xf numFmtId="182" fontId="36" fillId="5" borderId="31" xfId="20" applyNumberFormat="1" applyFont="1" applyFill="1" applyBorder="1" applyAlignment="1">
      <alignment vertical="center"/>
    </xf>
    <xf numFmtId="183" fontId="36" fillId="5" borderId="31" xfId="10" applyNumberFormat="1" applyFont="1" applyFill="1" applyBorder="1" applyAlignment="1">
      <alignment vertical="center"/>
    </xf>
    <xf numFmtId="181" fontId="59" fillId="20" borderId="4" xfId="0" applyNumberFormat="1" applyFont="1" applyFill="1" applyBorder="1" applyAlignment="1">
      <alignment horizontal="right"/>
    </xf>
    <xf numFmtId="168" fontId="0" fillId="0" borderId="0" xfId="0" applyNumberFormat="1"/>
    <xf numFmtId="181" fontId="0" fillId="0" borderId="0" xfId="0" applyNumberFormat="1"/>
    <xf numFmtId="184" fontId="0" fillId="0" borderId="0" xfId="0" applyNumberFormat="1"/>
    <xf numFmtId="174" fontId="5" fillId="16" borderId="89" xfId="10" applyNumberFormat="1" applyFill="1" applyBorder="1"/>
    <xf numFmtId="174" fontId="5" fillId="16" borderId="94" xfId="10" applyNumberFormat="1" applyFill="1" applyBorder="1"/>
    <xf numFmtId="174" fontId="5" fillId="17" borderId="94" xfId="10" applyNumberFormat="1" applyFill="1" applyBorder="1"/>
    <xf numFmtId="174" fontId="5" fillId="16" borderId="103" xfId="10" applyNumberFormat="1" applyFill="1" applyBorder="1"/>
    <xf numFmtId="174" fontId="5" fillId="5" borderId="106" xfId="10" applyNumberFormat="1" applyFill="1" applyBorder="1" applyAlignment="1">
      <alignment vertical="center"/>
    </xf>
    <xf numFmtId="180" fontId="7" fillId="0" borderId="0" xfId="0" applyNumberFormat="1" applyFont="1" applyAlignment="1">
      <alignment horizontal="right" vertical="center"/>
    </xf>
    <xf numFmtId="0" fontId="22" fillId="0" borderId="0" xfId="6" applyBorder="1" applyAlignment="1"/>
    <xf numFmtId="0" fontId="22" fillId="0" borderId="0" xfId="6" applyAlignment="1"/>
    <xf numFmtId="1" fontId="14" fillId="19" borderId="0" xfId="0" applyNumberFormat="1" applyFont="1" applyFill="1"/>
    <xf numFmtId="2" fontId="14" fillId="19" borderId="0" xfId="0" applyNumberFormat="1" applyFont="1" applyFill="1"/>
    <xf numFmtId="4" fontId="14" fillId="19" borderId="0" xfId="0" applyNumberFormat="1" applyFont="1" applyFill="1"/>
    <xf numFmtId="0" fontId="14" fillId="19" borderId="0" xfId="0" applyFont="1" applyFill="1"/>
    <xf numFmtId="0" fontId="90" fillId="46" borderId="0" xfId="0" applyFont="1" applyFill="1" applyAlignment="1">
      <alignment horizontal="left" vertical="top" wrapText="1"/>
    </xf>
    <xf numFmtId="3" fontId="90" fillId="46" borderId="0" xfId="0" applyNumberFormat="1" applyFont="1" applyFill="1" applyAlignment="1">
      <alignment horizontal="left" vertical="top" wrapText="1"/>
    </xf>
    <xf numFmtId="9" fontId="90" fillId="46" borderId="0" xfId="0" applyNumberFormat="1" applyFont="1" applyFill="1" applyAlignment="1">
      <alignment horizontal="left" vertical="top" wrapText="1"/>
    </xf>
    <xf numFmtId="0" fontId="90" fillId="48" borderId="0" xfId="0" applyFont="1" applyFill="1" applyAlignment="1">
      <alignment horizontal="left" vertical="top" wrapText="1"/>
    </xf>
    <xf numFmtId="9" fontId="90" fillId="48" borderId="0" xfId="0" applyNumberFormat="1" applyFont="1" applyFill="1" applyAlignment="1">
      <alignment horizontal="left" vertical="top" wrapText="1"/>
    </xf>
    <xf numFmtId="3" fontId="90" fillId="48" borderId="0" xfId="0" applyNumberFormat="1" applyFont="1" applyFill="1" applyAlignment="1">
      <alignment horizontal="left" vertical="top" wrapText="1"/>
    </xf>
    <xf numFmtId="0" fontId="91" fillId="47" borderId="0" xfId="0" applyFont="1" applyFill="1" applyAlignment="1">
      <alignment horizontal="left" vertical="center" wrapText="1"/>
    </xf>
    <xf numFmtId="0" fontId="36" fillId="0" borderId="107" xfId="19" applyBorder="1" applyAlignment="1">
      <alignment vertical="top"/>
    </xf>
    <xf numFmtId="0" fontId="36" fillId="0" borderId="91" xfId="19" applyBorder="1" applyAlignment="1">
      <alignment vertical="top"/>
    </xf>
    <xf numFmtId="3" fontId="36" fillId="16" borderId="133" xfId="19" applyNumberFormat="1" applyFill="1" applyBorder="1" applyAlignment="1">
      <alignment vertical="center"/>
    </xf>
    <xf numFmtId="3" fontId="36" fillId="16" borderId="134" xfId="19" applyNumberFormat="1" applyFill="1" applyBorder="1" applyAlignment="1">
      <alignment vertical="center"/>
    </xf>
    <xf numFmtId="3" fontId="36" fillId="16" borderId="118" xfId="19" applyNumberFormat="1" applyFill="1" applyBorder="1" applyAlignment="1">
      <alignment vertical="center"/>
    </xf>
    <xf numFmtId="3" fontId="36" fillId="16" borderId="94" xfId="19" applyNumberFormat="1" applyFill="1" applyBorder="1" applyAlignment="1">
      <alignment vertical="center"/>
    </xf>
    <xf numFmtId="3" fontId="36" fillId="16" borderId="95" xfId="19" applyNumberFormat="1" applyFill="1" applyBorder="1" applyAlignment="1">
      <alignment vertical="center"/>
    </xf>
    <xf numFmtId="3" fontId="36" fillId="16" borderId="89" xfId="19" applyNumberFormat="1" applyFill="1" applyBorder="1" applyAlignment="1">
      <alignment vertical="center"/>
    </xf>
    <xf numFmtId="3" fontId="36" fillId="16" borderId="90" xfId="19" applyNumberFormat="1" applyFill="1" applyBorder="1" applyAlignment="1">
      <alignment vertical="center"/>
    </xf>
    <xf numFmtId="3" fontId="64" fillId="5" borderId="106" xfId="19" applyNumberFormat="1" applyFont="1" applyFill="1" applyBorder="1" applyAlignment="1">
      <alignment vertical="center"/>
    </xf>
    <xf numFmtId="3" fontId="15" fillId="16" borderId="133" xfId="19" applyNumberFormat="1" applyFont="1" applyFill="1" applyBorder="1" applyAlignment="1">
      <alignment vertical="center"/>
    </xf>
    <xf numFmtId="3" fontId="15" fillId="16" borderId="134" xfId="19" applyNumberFormat="1" applyFont="1" applyFill="1" applyBorder="1" applyAlignment="1">
      <alignment vertical="center"/>
    </xf>
    <xf numFmtId="3" fontId="15" fillId="16" borderId="118" xfId="19" applyNumberFormat="1" applyFont="1" applyFill="1" applyBorder="1" applyAlignment="1">
      <alignment vertical="center"/>
    </xf>
    <xf numFmtId="3" fontId="15" fillId="16" borderId="94" xfId="19" applyNumberFormat="1" applyFont="1" applyFill="1" applyBorder="1" applyAlignment="1">
      <alignment vertical="center"/>
    </xf>
    <xf numFmtId="3" fontId="15" fillId="16" borderId="95" xfId="19" applyNumberFormat="1" applyFont="1" applyFill="1" applyBorder="1" applyAlignment="1">
      <alignment vertical="center"/>
    </xf>
    <xf numFmtId="3" fontId="47" fillId="5" borderId="31" xfId="19" applyNumberFormat="1" applyFont="1" applyFill="1" applyBorder="1" applyAlignment="1">
      <alignment vertical="center"/>
    </xf>
    <xf numFmtId="3" fontId="68" fillId="5" borderId="31" xfId="19" applyNumberFormat="1" applyFont="1" applyFill="1" applyBorder="1" applyAlignment="1">
      <alignment vertical="center"/>
    </xf>
    <xf numFmtId="169" fontId="16" fillId="16" borderId="111" xfId="18" applyNumberFormat="1" applyFont="1" applyFill="1" applyBorder="1" applyAlignment="1">
      <alignment vertical="center"/>
    </xf>
    <xf numFmtId="3" fontId="36" fillId="16" borderId="103" xfId="19" applyNumberFormat="1" applyFill="1" applyBorder="1" applyAlignment="1">
      <alignment vertical="center"/>
    </xf>
    <xf numFmtId="0" fontId="76" fillId="5" borderId="13" xfId="0" applyFont="1" applyFill="1" applyBorder="1" applyAlignment="1">
      <alignment vertical="center"/>
    </xf>
    <xf numFmtId="0" fontId="76" fillId="25" borderId="2" xfId="0" applyFont="1" applyFill="1" applyBorder="1" applyAlignment="1">
      <alignment horizontal="right" vertical="center"/>
    </xf>
    <xf numFmtId="0" fontId="77" fillId="0" borderId="13" xfId="0" applyFont="1" applyBorder="1" applyAlignment="1">
      <alignment horizontal="right" vertical="center"/>
    </xf>
    <xf numFmtId="0" fontId="77" fillId="0" borderId="2" xfId="0" applyFont="1" applyBorder="1" applyAlignment="1">
      <alignment horizontal="right" vertical="center"/>
    </xf>
    <xf numFmtId="0" fontId="77" fillId="0" borderId="38" xfId="0" applyFont="1" applyBorder="1" applyAlignment="1">
      <alignment horizontal="right" vertical="center"/>
    </xf>
    <xf numFmtId="0" fontId="77" fillId="0" borderId="152" xfId="0" applyFont="1" applyBorder="1" applyAlignment="1">
      <alignment vertical="center"/>
    </xf>
    <xf numFmtId="0" fontId="77" fillId="0" borderId="151" xfId="0" applyFont="1" applyBorder="1" applyAlignment="1">
      <alignment horizontal="right" vertical="center"/>
    </xf>
    <xf numFmtId="0" fontId="77" fillId="0" borderId="151" xfId="0" applyFont="1" applyBorder="1" applyAlignment="1">
      <alignment vertical="center"/>
    </xf>
    <xf numFmtId="0" fontId="77" fillId="0" borderId="151" xfId="0" applyFont="1" applyBorder="1" applyAlignment="1">
      <alignment horizontal="right" vertical="center" wrapText="1"/>
    </xf>
    <xf numFmtId="0" fontId="76" fillId="5" borderId="13" xfId="0" applyFont="1" applyFill="1" applyBorder="1" applyAlignment="1">
      <alignment horizontal="right" vertical="center"/>
    </xf>
    <xf numFmtId="0" fontId="76" fillId="5" borderId="152" xfId="0" applyFont="1" applyFill="1" applyBorder="1" applyAlignment="1">
      <alignment horizontal="right" vertical="center"/>
    </xf>
    <xf numFmtId="0" fontId="76" fillId="5" borderId="38" xfId="0" applyFont="1" applyFill="1" applyBorder="1" applyAlignment="1">
      <alignment horizontal="right" vertical="center"/>
    </xf>
    <xf numFmtId="0" fontId="77" fillId="0" borderId="38" xfId="0" applyFont="1" applyBorder="1" applyAlignment="1">
      <alignment vertical="center"/>
    </xf>
    <xf numFmtId="3" fontId="77" fillId="0" borderId="151" xfId="0" applyNumberFormat="1" applyFont="1" applyBorder="1" applyAlignment="1">
      <alignment horizontal="right" vertical="center"/>
    </xf>
    <xf numFmtId="3" fontId="77" fillId="0" borderId="156" xfId="0" applyNumberFormat="1" applyFont="1" applyBorder="1" applyAlignment="1">
      <alignment horizontal="right" vertical="center"/>
    </xf>
    <xf numFmtId="3" fontId="77" fillId="0" borderId="157" xfId="0" applyNumberFormat="1" applyFont="1" applyBorder="1" applyAlignment="1">
      <alignment horizontal="right" vertical="center"/>
    </xf>
    <xf numFmtId="3" fontId="76" fillId="5" borderId="13" xfId="0" applyNumberFormat="1" applyFont="1" applyFill="1" applyBorder="1" applyAlignment="1">
      <alignment vertical="center"/>
    </xf>
    <xf numFmtId="0" fontId="77" fillId="0" borderId="0" xfId="0" applyFont="1" applyAlignment="1">
      <alignment vertical="center"/>
    </xf>
    <xf numFmtId="0" fontId="76" fillId="5" borderId="106" xfId="0" applyFont="1" applyFill="1" applyBorder="1" applyAlignment="1">
      <alignment vertical="center"/>
    </xf>
    <xf numFmtId="0" fontId="76" fillId="25" borderId="38" xfId="0" applyFont="1" applyFill="1" applyBorder="1" applyAlignment="1">
      <alignment vertical="center"/>
    </xf>
    <xf numFmtId="0" fontId="76" fillId="5" borderId="33" xfId="0" applyFont="1" applyFill="1" applyBorder="1" applyAlignment="1">
      <alignment vertical="center"/>
    </xf>
    <xf numFmtId="0" fontId="76" fillId="5" borderId="25" xfId="0" applyFont="1" applyFill="1" applyBorder="1" applyAlignment="1">
      <alignment vertical="center"/>
    </xf>
    <xf numFmtId="3" fontId="76" fillId="5" borderId="203" xfId="0" applyNumberFormat="1" applyFont="1" applyFill="1" applyBorder="1" applyAlignment="1">
      <alignment horizontal="right" vertical="center"/>
    </xf>
    <xf numFmtId="3" fontId="76" fillId="5" borderId="156" xfId="0" applyNumberFormat="1" applyFont="1" applyFill="1" applyBorder="1" applyAlignment="1">
      <alignment horizontal="right" vertical="center" wrapText="1"/>
    </xf>
    <xf numFmtId="0" fontId="76" fillId="25" borderId="0" xfId="0" applyFont="1" applyFill="1" applyAlignment="1">
      <alignment horizontal="left" vertical="center"/>
    </xf>
    <xf numFmtId="0" fontId="76" fillId="25" borderId="201" xfId="0" applyFont="1" applyFill="1" applyBorder="1" applyAlignment="1">
      <alignment horizontal="left" vertical="center" wrapText="1"/>
    </xf>
    <xf numFmtId="0" fontId="76" fillId="25" borderId="202" xfId="0" applyFont="1" applyFill="1" applyBorder="1" applyAlignment="1">
      <alignment horizontal="left" vertical="center" wrapText="1"/>
    </xf>
    <xf numFmtId="10" fontId="18" fillId="7" borderId="0" xfId="0" applyNumberFormat="1" applyFont="1" applyFill="1" applyAlignment="1">
      <alignment horizontal="right" vertical="center"/>
    </xf>
    <xf numFmtId="0" fontId="27" fillId="0" borderId="204" xfId="0" applyFont="1" applyBorder="1" applyAlignment="1">
      <alignment horizontal="center"/>
    </xf>
    <xf numFmtId="0" fontId="27" fillId="0" borderId="151" xfId="0" applyFont="1" applyBorder="1" applyAlignment="1">
      <alignment horizontal="center"/>
    </xf>
    <xf numFmtId="3" fontId="0" fillId="0" borderId="205" xfId="0" applyNumberFormat="1" applyBorder="1"/>
    <xf numFmtId="3" fontId="0" fillId="0" borderId="206" xfId="0" applyNumberFormat="1" applyBorder="1"/>
    <xf numFmtId="3" fontId="0" fillId="0" borderId="156" xfId="0" applyNumberFormat="1" applyBorder="1"/>
    <xf numFmtId="3" fontId="0" fillId="5" borderId="206" xfId="0" applyNumberFormat="1" applyFill="1" applyBorder="1"/>
    <xf numFmtId="3" fontId="0" fillId="5" borderId="157" xfId="0" applyNumberFormat="1" applyFill="1" applyBorder="1"/>
    <xf numFmtId="3" fontId="90" fillId="46" borderId="208" xfId="0" applyNumberFormat="1" applyFont="1" applyFill="1" applyBorder="1" applyAlignment="1">
      <alignment horizontal="left" vertical="top" wrapText="1"/>
    </xf>
    <xf numFmtId="9" fontId="90" fillId="46" borderId="208" xfId="0" applyNumberFormat="1" applyFont="1" applyFill="1" applyBorder="1" applyAlignment="1">
      <alignment horizontal="left" vertical="top" wrapText="1"/>
    </xf>
    <xf numFmtId="0" fontId="90" fillId="46" borderId="208" xfId="0" applyFont="1" applyFill="1" applyBorder="1" applyAlignment="1">
      <alignment horizontal="left" vertical="top" wrapText="1"/>
    </xf>
    <xf numFmtId="0" fontId="90" fillId="48" borderId="208" xfId="0" applyFont="1" applyFill="1" applyBorder="1" applyAlignment="1">
      <alignment horizontal="left" vertical="top" wrapText="1"/>
    </xf>
    <xf numFmtId="9" fontId="90" fillId="48" borderId="208" xfId="0" applyNumberFormat="1" applyFont="1" applyFill="1" applyBorder="1" applyAlignment="1">
      <alignment horizontal="left" vertical="top" wrapText="1"/>
    </xf>
    <xf numFmtId="3" fontId="90" fillId="48" borderId="208" xfId="0" applyNumberFormat="1" applyFont="1" applyFill="1" applyBorder="1" applyAlignment="1">
      <alignment horizontal="left" vertical="top" wrapText="1"/>
    </xf>
    <xf numFmtId="0" fontId="136" fillId="47" borderId="208" xfId="0" applyFont="1" applyFill="1" applyBorder="1" applyAlignment="1">
      <alignment horizontal="left" vertical="top" wrapText="1"/>
    </xf>
    <xf numFmtId="0" fontId="136" fillId="47" borderId="207" xfId="0" applyFont="1" applyFill="1" applyBorder="1" applyAlignment="1">
      <alignment horizontal="left" vertical="top" wrapText="1"/>
    </xf>
    <xf numFmtId="0" fontId="136" fillId="47" borderId="209" xfId="0" applyFont="1" applyFill="1" applyBorder="1" applyAlignment="1">
      <alignment horizontal="left" vertical="top" wrapText="1"/>
    </xf>
    <xf numFmtId="3" fontId="90" fillId="46" borderId="210" xfId="0" applyNumberFormat="1" applyFont="1" applyFill="1" applyBorder="1" applyAlignment="1">
      <alignment horizontal="left" vertical="top" wrapText="1"/>
    </xf>
    <xf numFmtId="3" fontId="90" fillId="48" borderId="210" xfId="0" applyNumberFormat="1" applyFont="1" applyFill="1" applyBorder="1" applyAlignment="1">
      <alignment horizontal="left" vertical="top" wrapText="1"/>
    </xf>
    <xf numFmtId="0" fontId="90" fillId="48" borderId="210" xfId="0" applyFont="1" applyFill="1" applyBorder="1" applyAlignment="1">
      <alignment horizontal="left" vertical="top" wrapText="1"/>
    </xf>
    <xf numFmtId="0" fontId="90" fillId="46" borderId="211" xfId="0" applyFont="1" applyFill="1" applyBorder="1" applyAlignment="1">
      <alignment horizontal="left" vertical="top" wrapText="1"/>
    </xf>
    <xf numFmtId="3" fontId="90" fillId="46" borderId="211" xfId="0" applyNumberFormat="1" applyFont="1" applyFill="1" applyBorder="1" applyAlignment="1">
      <alignment horizontal="left" vertical="top" wrapText="1"/>
    </xf>
    <xf numFmtId="9" fontId="90" fillId="46" borderId="211" xfId="0" applyNumberFormat="1" applyFont="1" applyFill="1" applyBorder="1" applyAlignment="1">
      <alignment horizontal="left" vertical="top" wrapText="1"/>
    </xf>
    <xf numFmtId="3" fontId="90" fillId="46" borderId="212" xfId="0" applyNumberFormat="1" applyFont="1" applyFill="1" applyBorder="1" applyAlignment="1">
      <alignment horizontal="left" vertical="top" wrapText="1"/>
    </xf>
    <xf numFmtId="0" fontId="138" fillId="46" borderId="0" xfId="0" applyFont="1" applyFill="1" applyAlignment="1">
      <alignment horizontal="left" vertical="top" wrapText="1"/>
    </xf>
    <xf numFmtId="3" fontId="138" fillId="46" borderId="0" xfId="0" applyNumberFormat="1" applyFont="1" applyFill="1" applyAlignment="1">
      <alignment horizontal="left" vertical="top" wrapText="1"/>
    </xf>
    <xf numFmtId="0" fontId="16" fillId="0" borderId="0" xfId="0" applyFont="1"/>
    <xf numFmtId="3" fontId="36" fillId="5" borderId="31" xfId="544" applyNumberFormat="1" applyFill="1" applyBorder="1" applyAlignment="1">
      <alignment vertical="center"/>
    </xf>
    <xf numFmtId="3" fontId="36" fillId="16" borderId="133" xfId="544" applyNumberFormat="1" applyFill="1" applyBorder="1" applyAlignment="1">
      <alignment vertical="center"/>
    </xf>
    <xf numFmtId="3" fontId="36" fillId="16" borderId="134" xfId="544" applyNumberFormat="1" applyFill="1" applyBorder="1" applyAlignment="1">
      <alignment vertical="center"/>
    </xf>
    <xf numFmtId="3" fontId="36" fillId="16" borderId="118" xfId="544" applyNumberFormat="1" applyFill="1" applyBorder="1" applyAlignment="1">
      <alignment vertical="center"/>
    </xf>
    <xf numFmtId="3" fontId="36" fillId="16" borderId="94" xfId="544" applyNumberFormat="1" applyFill="1" applyBorder="1" applyAlignment="1">
      <alignment vertical="center"/>
    </xf>
    <xf numFmtId="3" fontId="36" fillId="16" borderId="95" xfId="544" applyNumberFormat="1" applyFill="1" applyBorder="1" applyAlignment="1">
      <alignment vertical="center"/>
    </xf>
    <xf numFmtId="169" fontId="36" fillId="16" borderId="89" xfId="18" applyNumberFormat="1" applyFont="1" applyFill="1" applyBorder="1" applyAlignment="1">
      <alignment vertical="center"/>
    </xf>
    <xf numFmtId="169" fontId="36" fillId="16" borderId="131" xfId="18" applyNumberFormat="1" applyFont="1" applyFill="1" applyBorder="1" applyAlignment="1">
      <alignment vertical="center"/>
    </xf>
    <xf numFmtId="169" fontId="36" fillId="16" borderId="87" xfId="18" applyNumberFormat="1" applyFont="1" applyFill="1" applyBorder="1" applyAlignment="1">
      <alignment vertical="center"/>
    </xf>
    <xf numFmtId="169" fontId="36" fillId="16" borderId="129" xfId="18" applyNumberFormat="1" applyFont="1" applyFill="1" applyBorder="1" applyAlignment="1">
      <alignment vertical="center"/>
    </xf>
    <xf numFmtId="169" fontId="36" fillId="16" borderId="135" xfId="18" applyNumberFormat="1" applyFont="1" applyFill="1" applyBorder="1" applyAlignment="1">
      <alignment vertical="center"/>
    </xf>
    <xf numFmtId="3" fontId="36" fillId="16" borderId="89" xfId="544" applyNumberFormat="1" applyFill="1" applyBorder="1" applyAlignment="1">
      <alignment vertical="center"/>
    </xf>
    <xf numFmtId="3" fontId="36" fillId="16" borderId="90" xfId="544" applyNumberFormat="1" applyFill="1" applyBorder="1" applyAlignment="1">
      <alignment vertical="center"/>
    </xf>
    <xf numFmtId="3" fontId="64" fillId="5" borderId="106" xfId="544" applyNumberFormat="1" applyFont="1" applyFill="1" applyBorder="1" applyAlignment="1">
      <alignment vertical="center"/>
    </xf>
    <xf numFmtId="0" fontId="36" fillId="0" borderId="107" xfId="544" applyBorder="1" applyAlignment="1">
      <alignment vertical="top"/>
    </xf>
    <xf numFmtId="0" fontId="36" fillId="0" borderId="91" xfId="544" applyBorder="1" applyAlignment="1">
      <alignment vertical="top"/>
    </xf>
    <xf numFmtId="3" fontId="68" fillId="5" borderId="31" xfId="544" applyNumberFormat="1" applyFont="1" applyFill="1" applyBorder="1" applyAlignment="1">
      <alignment vertical="center"/>
    </xf>
    <xf numFmtId="3" fontId="36" fillId="16" borderId="103" xfId="544" applyNumberFormat="1" applyFill="1" applyBorder="1" applyAlignment="1">
      <alignment vertical="center"/>
    </xf>
    <xf numFmtId="169" fontId="140" fillId="16" borderId="136" xfId="18" applyNumberFormat="1" applyFont="1" applyFill="1" applyBorder="1" applyAlignment="1">
      <alignment vertical="center"/>
    </xf>
    <xf numFmtId="169" fontId="140" fillId="16" borderId="100" xfId="18" applyNumberFormat="1" applyFont="1" applyFill="1" applyBorder="1" applyAlignment="1">
      <alignment vertical="center"/>
    </xf>
    <xf numFmtId="169" fontId="140" fillId="16" borderId="126" xfId="18" applyNumberFormat="1" applyFont="1" applyFill="1" applyBorder="1" applyAlignment="1">
      <alignment vertical="center"/>
    </xf>
    <xf numFmtId="169" fontId="140" fillId="16" borderId="137" xfId="18" applyNumberFormat="1" applyFont="1" applyFill="1" applyBorder="1" applyAlignment="1">
      <alignment vertical="center"/>
    </xf>
    <xf numFmtId="169" fontId="140" fillId="16" borderId="103" xfId="18" applyNumberFormat="1" applyFont="1" applyFill="1" applyBorder="1" applyAlignment="1">
      <alignment vertical="center"/>
    </xf>
    <xf numFmtId="3" fontId="21" fillId="16" borderId="92" xfId="10" applyNumberFormat="1" applyFont="1" applyFill="1" applyBorder="1"/>
    <xf numFmtId="3" fontId="21" fillId="16" borderId="100" xfId="10" applyNumberFormat="1" applyFont="1" applyFill="1" applyBorder="1"/>
    <xf numFmtId="0" fontId="139" fillId="0" borderId="0" xfId="0" applyFont="1"/>
    <xf numFmtId="0" fontId="36" fillId="0" borderId="0" xfId="0" applyFont="1"/>
    <xf numFmtId="3" fontId="17" fillId="7" borderId="0" xfId="0" applyNumberFormat="1" applyFont="1" applyFill="1" applyAlignment="1">
      <alignment vertical="center"/>
    </xf>
    <xf numFmtId="3" fontId="0" fillId="5" borderId="205" xfId="0" applyNumberFormat="1" applyFill="1" applyBorder="1"/>
    <xf numFmtId="3" fontId="0" fillId="5" borderId="156" xfId="0" applyNumberFormat="1" applyFill="1" applyBorder="1"/>
    <xf numFmtId="176" fontId="27" fillId="5" borderId="32" xfId="0" applyNumberFormat="1" applyFont="1" applyFill="1" applyBorder="1"/>
    <xf numFmtId="2" fontId="141" fillId="0" borderId="0" xfId="0" applyNumberFormat="1" applyFont="1" applyAlignment="1">
      <alignment horizontal="right" vertical="center"/>
    </xf>
    <xf numFmtId="180" fontId="141" fillId="0" borderId="0" xfId="0" applyNumberFormat="1" applyFont="1" applyAlignment="1">
      <alignment horizontal="right" vertical="center"/>
    </xf>
    <xf numFmtId="9" fontId="18" fillId="7" borderId="0" xfId="2" applyFont="1" applyFill="1" applyAlignment="1">
      <alignment horizontal="right" vertical="center"/>
    </xf>
    <xf numFmtId="168" fontId="0" fillId="5" borderId="0" xfId="0" applyNumberFormat="1" applyFill="1" applyAlignment="1">
      <alignment vertical="center"/>
    </xf>
    <xf numFmtId="168" fontId="16" fillId="7" borderId="0" xfId="0" applyNumberFormat="1" applyFont="1" applyFill="1" applyAlignment="1">
      <alignment vertical="center"/>
    </xf>
    <xf numFmtId="168" fontId="141" fillId="0" borderId="0" xfId="0" applyNumberFormat="1" applyFont="1" applyAlignment="1">
      <alignment horizontal="right" vertical="center"/>
    </xf>
    <xf numFmtId="0" fontId="56" fillId="19" borderId="0" xfId="0" applyFont="1" applyFill="1" applyAlignment="1" applyProtection="1">
      <alignment horizontal="center"/>
      <protection locked="0"/>
    </xf>
    <xf numFmtId="0" fontId="81" fillId="26" borderId="0" xfId="0" applyFont="1" applyFill="1" applyAlignment="1">
      <alignment horizontal="center"/>
    </xf>
    <xf numFmtId="0" fontId="37" fillId="0" borderId="65" xfId="17" applyFont="1" applyBorder="1" applyAlignment="1">
      <alignment horizontal="center" vertical="center" textRotation="90"/>
    </xf>
    <xf numFmtId="0" fontId="37" fillId="0" borderId="82" xfId="17" applyFont="1" applyBorder="1" applyAlignment="1">
      <alignment horizontal="center" vertical="center" textRotation="90"/>
    </xf>
    <xf numFmtId="0" fontId="46" fillId="0" borderId="125" xfId="17" applyFont="1" applyBorder="1" applyAlignment="1">
      <alignment horizontal="center" vertical="center" textRotation="90" wrapText="1"/>
    </xf>
    <xf numFmtId="0" fontId="46" fillId="0" borderId="73" xfId="17" applyFont="1" applyBorder="1" applyAlignment="1">
      <alignment horizontal="center" vertical="center" textRotation="90" wrapText="1"/>
    </xf>
    <xf numFmtId="0" fontId="46" fillId="0" borderId="123" xfId="17" applyFont="1" applyBorder="1" applyAlignment="1">
      <alignment horizontal="center" vertical="center" textRotation="90" wrapText="1"/>
    </xf>
    <xf numFmtId="0" fontId="36" fillId="5" borderId="138" xfId="17" applyFont="1" applyFill="1" applyBorder="1" applyAlignment="1">
      <alignment horizontal="right" vertical="center"/>
    </xf>
    <xf numFmtId="0" fontId="36" fillId="5" borderId="105" xfId="17" applyFont="1" applyFill="1" applyBorder="1" applyAlignment="1">
      <alignment horizontal="right" vertical="center"/>
    </xf>
    <xf numFmtId="0" fontId="37" fillId="0" borderId="65" xfId="0" applyFont="1" applyBorder="1" applyAlignment="1">
      <alignment horizontal="center" vertical="center" textRotation="90"/>
    </xf>
    <xf numFmtId="0" fontId="37" fillId="0" borderId="82" xfId="0" applyFont="1" applyBorder="1" applyAlignment="1">
      <alignment horizontal="center" vertical="center" textRotation="90"/>
    </xf>
    <xf numFmtId="0" fontId="46" fillId="0" borderId="125" xfId="0" applyFont="1" applyBorder="1" applyAlignment="1">
      <alignment horizontal="center" vertical="center" textRotation="90" wrapText="1"/>
    </xf>
    <xf numFmtId="0" fontId="46" fillId="0" borderId="73" xfId="0" applyFont="1" applyBorder="1" applyAlignment="1">
      <alignment horizontal="center" vertical="center" textRotation="90" wrapText="1"/>
    </xf>
    <xf numFmtId="0" fontId="46" fillId="0" borderId="123" xfId="0" applyFont="1" applyBorder="1" applyAlignment="1">
      <alignment horizontal="center" vertical="center" textRotation="90" wrapText="1"/>
    </xf>
    <xf numFmtId="0" fontId="36" fillId="14" borderId="138" xfId="0" applyFont="1" applyFill="1" applyBorder="1" applyAlignment="1">
      <alignment horizontal="right" vertical="center"/>
    </xf>
    <xf numFmtId="0" fontId="36" fillId="14" borderId="105" xfId="0" applyFont="1" applyFill="1" applyBorder="1" applyAlignment="1">
      <alignment horizontal="right" vertical="center"/>
    </xf>
    <xf numFmtId="0" fontId="37" fillId="0" borderId="85" xfId="0" applyFont="1" applyBorder="1" applyAlignment="1">
      <alignment horizontal="center" vertical="center" textRotation="90" wrapText="1"/>
    </xf>
    <xf numFmtId="0" fontId="37" fillId="0" borderId="65" xfId="0" applyFont="1" applyBorder="1" applyAlignment="1">
      <alignment horizontal="center" vertical="center" textRotation="90" wrapText="1"/>
    </xf>
    <xf numFmtId="0" fontId="37" fillId="0" borderId="82" xfId="0" applyFont="1" applyBorder="1" applyAlignment="1">
      <alignment horizontal="center" vertical="center" textRotation="90" wrapText="1"/>
    </xf>
    <xf numFmtId="0" fontId="37" fillId="0" borderId="80" xfId="0" applyFont="1" applyBorder="1" applyAlignment="1">
      <alignment horizontal="center" vertical="center" textRotation="90"/>
    </xf>
    <xf numFmtId="0" fontId="43" fillId="0" borderId="73" xfId="0" applyFont="1" applyBorder="1" applyAlignment="1">
      <alignment horizontal="center" vertical="center" textRotation="90" wrapText="1"/>
    </xf>
    <xf numFmtId="0" fontId="43" fillId="0" borderId="123" xfId="0" applyFont="1" applyBorder="1" applyAlignment="1">
      <alignment horizontal="center" vertical="center" textRotation="90" wrapText="1"/>
    </xf>
    <xf numFmtId="0" fontId="37" fillId="0" borderId="44" xfId="0" applyFont="1" applyBorder="1" applyAlignment="1">
      <alignment horizontal="center" vertical="center" textRotation="90"/>
    </xf>
    <xf numFmtId="0" fontId="37" fillId="0" borderId="85" xfId="0" applyFont="1" applyBorder="1" applyAlignment="1">
      <alignment horizontal="center" vertical="center" textRotation="90"/>
    </xf>
    <xf numFmtId="0" fontId="46" fillId="0" borderId="9" xfId="0" applyFont="1" applyBorder="1" applyAlignment="1">
      <alignment horizontal="center" vertical="center" textRotation="90" wrapText="1"/>
    </xf>
    <xf numFmtId="0" fontId="46" fillId="0" borderId="25" xfId="0" applyFont="1" applyBorder="1" applyAlignment="1">
      <alignment horizontal="center" vertical="center" textRotation="90" wrapText="1"/>
    </xf>
    <xf numFmtId="0" fontId="46" fillId="0" borderId="13" xfId="0" applyFont="1" applyBorder="1" applyAlignment="1">
      <alignment horizontal="center" vertical="center" textRotation="90" wrapText="1"/>
    </xf>
    <xf numFmtId="0" fontId="40" fillId="13" borderId="96" xfId="0" applyFont="1" applyFill="1" applyBorder="1" applyAlignment="1">
      <alignment horizontal="left" vertical="center" wrapText="1" indent="1"/>
    </xf>
    <xf numFmtId="0" fontId="40" fillId="13" borderId="97" xfId="0" applyFont="1" applyFill="1" applyBorder="1" applyAlignment="1">
      <alignment horizontal="left" vertical="center" wrapText="1" indent="1"/>
    </xf>
    <xf numFmtId="0" fontId="40" fillId="13" borderId="98" xfId="0" applyFont="1" applyFill="1" applyBorder="1" applyAlignment="1">
      <alignment horizontal="left" vertical="center" wrapText="1" indent="1"/>
    </xf>
    <xf numFmtId="0" fontId="40" fillId="12" borderId="96" xfId="0" applyFont="1" applyFill="1" applyBorder="1" applyAlignment="1">
      <alignment horizontal="left" vertical="center" wrapText="1" indent="1"/>
    </xf>
    <xf numFmtId="0" fontId="40" fillId="12" borderId="97" xfId="0" applyFont="1" applyFill="1" applyBorder="1" applyAlignment="1">
      <alignment horizontal="left" vertical="center" wrapText="1" indent="1"/>
    </xf>
    <xf numFmtId="0" fontId="40" fillId="12" borderId="98" xfId="0" applyFont="1" applyFill="1" applyBorder="1" applyAlignment="1">
      <alignment horizontal="left" vertical="center" wrapText="1" indent="1"/>
    </xf>
    <xf numFmtId="0" fontId="35" fillId="0" borderId="38" xfId="0" applyFont="1" applyBorder="1" applyAlignment="1">
      <alignment horizontal="center"/>
    </xf>
    <xf numFmtId="0" fontId="36" fillId="0" borderId="39" xfId="0" applyFont="1" applyBorder="1" applyAlignment="1">
      <alignment horizontal="center"/>
    </xf>
    <xf numFmtId="0" fontId="36" fillId="0" borderId="40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36" fillId="0" borderId="45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0" fontId="36" fillId="0" borderId="55" xfId="0" applyFont="1" applyBorder="1" applyAlignment="1">
      <alignment horizontal="center"/>
    </xf>
    <xf numFmtId="0" fontId="37" fillId="9" borderId="41" xfId="0" applyFont="1" applyFill="1" applyBorder="1" applyAlignment="1">
      <alignment horizontal="center"/>
    </xf>
    <xf numFmtId="0" fontId="37" fillId="9" borderId="42" xfId="0" applyFont="1" applyFill="1" applyBorder="1" applyAlignment="1">
      <alignment horizontal="center"/>
    </xf>
    <xf numFmtId="0" fontId="37" fillId="9" borderId="43" xfId="0" applyFont="1" applyFill="1" applyBorder="1" applyAlignment="1">
      <alignment horizontal="center"/>
    </xf>
    <xf numFmtId="0" fontId="36" fillId="9" borderId="50" xfId="0" applyFont="1" applyFill="1" applyBorder="1" applyAlignment="1">
      <alignment horizontal="center" textRotation="90" wrapText="1"/>
    </xf>
    <xf numFmtId="0" fontId="37" fillId="9" borderId="44" xfId="0" applyFont="1" applyFill="1" applyBorder="1" applyAlignment="1">
      <alignment horizontal="center" textRotation="90" wrapText="1"/>
    </xf>
    <xf numFmtId="0" fontId="37" fillId="9" borderId="54" xfId="0" applyFont="1" applyFill="1" applyBorder="1" applyAlignment="1">
      <alignment horizontal="center" textRotation="90" wrapText="1"/>
    </xf>
    <xf numFmtId="0" fontId="37" fillId="9" borderId="51" xfId="0" applyFont="1" applyFill="1" applyBorder="1" applyAlignment="1">
      <alignment horizontal="center"/>
    </xf>
    <xf numFmtId="0" fontId="37" fillId="9" borderId="52" xfId="0" applyFont="1" applyFill="1" applyBorder="1" applyAlignment="1">
      <alignment horizontal="center"/>
    </xf>
    <xf numFmtId="0" fontId="37" fillId="9" borderId="53" xfId="0" applyFont="1" applyFill="1" applyBorder="1" applyAlignment="1">
      <alignment horizontal="center"/>
    </xf>
    <xf numFmtId="0" fontId="36" fillId="9" borderId="63" xfId="0" applyFont="1" applyFill="1" applyBorder="1" applyAlignment="1">
      <alignment horizontal="center"/>
    </xf>
    <xf numFmtId="0" fontId="36" fillId="9" borderId="64" xfId="0" applyFont="1" applyFill="1" applyBorder="1" applyAlignment="1">
      <alignment horizontal="center"/>
    </xf>
    <xf numFmtId="0" fontId="36" fillId="9" borderId="68" xfId="0" applyFont="1" applyFill="1" applyBorder="1" applyAlignment="1">
      <alignment horizontal="center"/>
    </xf>
    <xf numFmtId="0" fontId="36" fillId="9" borderId="53" xfId="0" applyFont="1" applyFill="1" applyBorder="1" applyAlignment="1">
      <alignment horizontal="center"/>
    </xf>
    <xf numFmtId="0" fontId="40" fillId="12" borderId="69" xfId="0" applyFont="1" applyFill="1" applyBorder="1" applyAlignment="1">
      <alignment horizontal="left" vertical="center" wrapText="1" indent="1"/>
    </xf>
    <xf numFmtId="0" fontId="40" fillId="12" borderId="70" xfId="0" applyFont="1" applyFill="1" applyBorder="1" applyAlignment="1">
      <alignment horizontal="left" vertical="center" wrapText="1" indent="1"/>
    </xf>
    <xf numFmtId="0" fontId="40" fillId="12" borderId="71" xfId="0" applyFont="1" applyFill="1" applyBorder="1" applyAlignment="1">
      <alignment horizontal="left" vertical="center" wrapText="1" indent="1"/>
    </xf>
    <xf numFmtId="0" fontId="39" fillId="11" borderId="63" xfId="0" applyFont="1" applyFill="1" applyBorder="1" applyAlignment="1">
      <alignment horizontal="center"/>
    </xf>
    <xf numFmtId="0" fontId="39" fillId="11" borderId="72" xfId="0" applyFont="1" applyFill="1" applyBorder="1" applyAlignment="1">
      <alignment horizontal="center"/>
    </xf>
    <xf numFmtId="0" fontId="36" fillId="9" borderId="50" xfId="0" applyFont="1" applyFill="1" applyBorder="1" applyAlignment="1">
      <alignment horizontal="center"/>
    </xf>
    <xf numFmtId="0" fontId="36" fillId="9" borderId="52" xfId="0" applyFont="1" applyFill="1" applyBorder="1" applyAlignment="1">
      <alignment horizontal="center"/>
    </xf>
    <xf numFmtId="0" fontId="39" fillId="9" borderId="74" xfId="0" applyFont="1" applyFill="1" applyBorder="1" applyAlignment="1">
      <alignment horizontal="center"/>
    </xf>
    <xf numFmtId="0" fontId="39" fillId="9" borderId="75" xfId="0" applyFont="1" applyFill="1" applyBorder="1" applyAlignment="1">
      <alignment horizontal="center"/>
    </xf>
    <xf numFmtId="0" fontId="36" fillId="9" borderId="80" xfId="0" applyFont="1" applyFill="1" applyBorder="1" applyAlignment="1">
      <alignment horizontal="center"/>
    </xf>
    <xf numFmtId="0" fontId="36" fillId="9" borderId="38" xfId="0" applyFont="1" applyFill="1" applyBorder="1" applyAlignment="1">
      <alignment horizontal="center"/>
    </xf>
    <xf numFmtId="0" fontId="137" fillId="48" borderId="213" xfId="0" applyFont="1" applyFill="1" applyBorder="1" applyAlignment="1">
      <alignment horizontal="left" vertical="center" wrapText="1"/>
    </xf>
    <xf numFmtId="0" fontId="137" fillId="48" borderId="214" xfId="0" applyFont="1" applyFill="1" applyBorder="1" applyAlignment="1">
      <alignment horizontal="left" vertical="center" wrapText="1"/>
    </xf>
    <xf numFmtId="0" fontId="137" fillId="48" borderId="215" xfId="0" applyFont="1" applyFill="1" applyBorder="1" applyAlignment="1">
      <alignment horizontal="left" vertical="center" wrapText="1"/>
    </xf>
    <xf numFmtId="0" fontId="137" fillId="46" borderId="211" xfId="0" applyFont="1" applyFill="1" applyBorder="1" applyAlignment="1">
      <alignment horizontal="left" vertical="center" wrapText="1"/>
    </xf>
    <xf numFmtId="0" fontId="137" fillId="46" borderId="216" xfId="0" applyFont="1" applyFill="1" applyBorder="1" applyAlignment="1">
      <alignment horizontal="left" vertical="center" wrapText="1"/>
    </xf>
    <xf numFmtId="0" fontId="137" fillId="46" borderId="217" xfId="0" applyFont="1" applyFill="1" applyBorder="1" applyAlignment="1">
      <alignment horizontal="left" vertical="center" wrapText="1"/>
    </xf>
    <xf numFmtId="0" fontId="137" fillId="48" borderId="211" xfId="0" applyFont="1" applyFill="1" applyBorder="1" applyAlignment="1">
      <alignment horizontal="left" vertical="center" wrapText="1"/>
    </xf>
    <xf numFmtId="0" fontId="137" fillId="48" borderId="216" xfId="0" applyFont="1" applyFill="1" applyBorder="1" applyAlignment="1">
      <alignment horizontal="left" vertical="center" wrapText="1"/>
    </xf>
    <xf numFmtId="0" fontId="137" fillId="48" borderId="217" xfId="0" applyFont="1" applyFill="1" applyBorder="1" applyAlignment="1">
      <alignment horizontal="left" vertical="center" wrapText="1"/>
    </xf>
    <xf numFmtId="0" fontId="37" fillId="0" borderId="65" xfId="10" applyFont="1" applyBorder="1" applyAlignment="1">
      <alignment horizontal="center" vertical="center" textRotation="90"/>
    </xf>
    <xf numFmtId="0" fontId="37" fillId="0" borderId="82" xfId="10" applyFont="1" applyBorder="1" applyAlignment="1">
      <alignment horizontal="center" vertical="center" textRotation="90"/>
    </xf>
    <xf numFmtId="0" fontId="46" fillId="0" borderId="125" xfId="10" applyFont="1" applyBorder="1" applyAlignment="1">
      <alignment horizontal="center" vertical="center" textRotation="90" wrapText="1"/>
    </xf>
    <xf numFmtId="0" fontId="46" fillId="0" borderId="73" xfId="10" applyFont="1" applyBorder="1" applyAlignment="1">
      <alignment horizontal="center" vertical="center" textRotation="90" wrapText="1"/>
    </xf>
    <xf numFmtId="0" fontId="46" fillId="0" borderId="123" xfId="10" applyFont="1" applyBorder="1" applyAlignment="1">
      <alignment horizontal="center" vertical="center" textRotation="90" wrapText="1"/>
    </xf>
    <xf numFmtId="0" fontId="36" fillId="5" borderId="138" xfId="10" applyFont="1" applyFill="1" applyBorder="1" applyAlignment="1">
      <alignment horizontal="right" vertical="center"/>
    </xf>
    <xf numFmtId="0" fontId="36" fillId="5" borderId="105" xfId="10" applyFont="1" applyFill="1" applyBorder="1" applyAlignment="1">
      <alignment horizontal="right" vertical="center"/>
    </xf>
    <xf numFmtId="0" fontId="37" fillId="0" borderId="85" xfId="10" applyFont="1" applyBorder="1" applyAlignment="1">
      <alignment horizontal="center" vertical="center" textRotation="90"/>
    </xf>
    <xf numFmtId="0" fontId="37" fillId="0" borderId="44" xfId="10" applyFont="1" applyBorder="1" applyAlignment="1">
      <alignment horizontal="center" vertical="center" textRotation="90"/>
    </xf>
    <xf numFmtId="0" fontId="37" fillId="0" borderId="85" xfId="10" applyFont="1" applyBorder="1" applyAlignment="1">
      <alignment horizontal="center" vertical="center" textRotation="90" wrapText="1"/>
    </xf>
    <xf numFmtId="0" fontId="37" fillId="0" borderId="65" xfId="10" applyFont="1" applyBorder="1" applyAlignment="1">
      <alignment horizontal="center" vertical="center" textRotation="90" wrapText="1"/>
    </xf>
    <xf numFmtId="0" fontId="37" fillId="0" borderId="82" xfId="10" applyFont="1" applyBorder="1" applyAlignment="1">
      <alignment horizontal="center" vertical="center" textRotation="90" wrapText="1"/>
    </xf>
    <xf numFmtId="0" fontId="46" fillId="0" borderId="9" xfId="10" applyFont="1" applyBorder="1" applyAlignment="1">
      <alignment horizontal="center" vertical="center" textRotation="90" wrapText="1"/>
    </xf>
    <xf numFmtId="0" fontId="46" fillId="0" borderId="25" xfId="10" applyFont="1" applyBorder="1" applyAlignment="1">
      <alignment horizontal="center" vertical="center" textRotation="90" wrapText="1"/>
    </xf>
    <xf numFmtId="0" fontId="46" fillId="0" borderId="13" xfId="10" applyFont="1" applyBorder="1" applyAlignment="1">
      <alignment horizontal="center" vertical="center" textRotation="90" wrapText="1"/>
    </xf>
    <xf numFmtId="0" fontId="35" fillId="0" borderId="38" xfId="10" applyFont="1" applyBorder="1" applyAlignment="1">
      <alignment horizontal="center"/>
    </xf>
    <xf numFmtId="0" fontId="5" fillId="0" borderId="39" xfId="10" applyBorder="1" applyAlignment="1">
      <alignment horizontal="center"/>
    </xf>
    <xf numFmtId="0" fontId="5" fillId="0" borderId="40" xfId="10" applyBorder="1" applyAlignment="1">
      <alignment horizontal="center"/>
    </xf>
    <xf numFmtId="0" fontId="5" fillId="0" borderId="44" xfId="10" applyBorder="1" applyAlignment="1">
      <alignment horizontal="center"/>
    </xf>
    <xf numFmtId="0" fontId="5" fillId="0" borderId="45" xfId="10" applyBorder="1" applyAlignment="1">
      <alignment horizontal="center"/>
    </xf>
    <xf numFmtId="0" fontId="5" fillId="0" borderId="54" xfId="10" applyBorder="1" applyAlignment="1">
      <alignment horizontal="center"/>
    </xf>
    <xf numFmtId="0" fontId="5" fillId="0" borderId="55" xfId="10" applyBorder="1" applyAlignment="1">
      <alignment horizontal="center"/>
    </xf>
    <xf numFmtId="0" fontId="37" fillId="16" borderId="41" xfId="10" applyFont="1" applyFill="1" applyBorder="1" applyAlignment="1">
      <alignment horizontal="center"/>
    </xf>
    <xf numFmtId="0" fontId="37" fillId="16" borderId="42" xfId="10" applyFont="1" applyFill="1" applyBorder="1" applyAlignment="1">
      <alignment horizontal="center"/>
    </xf>
    <xf numFmtId="0" fontId="37" fillId="16" borderId="43" xfId="10" applyFont="1" applyFill="1" applyBorder="1" applyAlignment="1">
      <alignment horizontal="center"/>
    </xf>
    <xf numFmtId="0" fontId="36" fillId="16" borderId="50" xfId="10" applyFont="1" applyFill="1" applyBorder="1" applyAlignment="1">
      <alignment horizontal="center" textRotation="90" wrapText="1"/>
    </xf>
    <xf numFmtId="0" fontId="37" fillId="16" borderId="44" xfId="10" applyFont="1" applyFill="1" applyBorder="1" applyAlignment="1">
      <alignment horizontal="center" textRotation="90" wrapText="1"/>
    </xf>
    <xf numFmtId="0" fontId="37" fillId="16" borderId="54" xfId="10" applyFont="1" applyFill="1" applyBorder="1" applyAlignment="1">
      <alignment horizontal="center" textRotation="90" wrapText="1"/>
    </xf>
    <xf numFmtId="0" fontId="37" fillId="17" borderId="51" xfId="10" applyFont="1" applyFill="1" applyBorder="1" applyAlignment="1">
      <alignment horizontal="center"/>
    </xf>
    <xf numFmtId="0" fontId="37" fillId="17" borderId="52" xfId="10" applyFont="1" applyFill="1" applyBorder="1" applyAlignment="1">
      <alignment horizontal="center"/>
    </xf>
    <xf numFmtId="0" fontId="37" fillId="17" borderId="53" xfId="10" applyFont="1" applyFill="1" applyBorder="1" applyAlignment="1">
      <alignment horizontal="center"/>
    </xf>
    <xf numFmtId="0" fontId="36" fillId="17" borderId="63" xfId="10" applyFont="1" applyFill="1" applyBorder="1" applyAlignment="1">
      <alignment horizontal="center"/>
    </xf>
    <xf numFmtId="0" fontId="5" fillId="17" borderId="64" xfId="10" applyFill="1" applyBorder="1" applyAlignment="1">
      <alignment horizontal="center"/>
    </xf>
    <xf numFmtId="0" fontId="36" fillId="17" borderId="68" xfId="10" applyFont="1" applyFill="1" applyBorder="1" applyAlignment="1">
      <alignment horizontal="center"/>
    </xf>
    <xf numFmtId="0" fontId="36" fillId="17" borderId="53" xfId="10" applyFont="1" applyFill="1" applyBorder="1" applyAlignment="1">
      <alignment horizontal="center"/>
    </xf>
    <xf numFmtId="0" fontId="72" fillId="12" borderId="69" xfId="0" applyFont="1" applyFill="1" applyBorder="1" applyAlignment="1">
      <alignment horizontal="left" vertical="center" wrapText="1"/>
    </xf>
    <xf numFmtId="0" fontId="72" fillId="12" borderId="70" xfId="0" applyFont="1" applyFill="1" applyBorder="1" applyAlignment="1">
      <alignment horizontal="left" vertical="center" wrapText="1"/>
    </xf>
    <xf numFmtId="0" fontId="72" fillId="12" borderId="71" xfId="0" applyFont="1" applyFill="1" applyBorder="1" applyAlignment="1">
      <alignment horizontal="left" vertical="center" wrapText="1"/>
    </xf>
    <xf numFmtId="0" fontId="72" fillId="13" borderId="96" xfId="0" applyFont="1" applyFill="1" applyBorder="1" applyAlignment="1">
      <alignment horizontal="left" vertical="center" wrapText="1"/>
    </xf>
    <xf numFmtId="0" fontId="72" fillId="13" borderId="97" xfId="0" applyFont="1" applyFill="1" applyBorder="1" applyAlignment="1">
      <alignment horizontal="left" vertical="center" wrapText="1"/>
    </xf>
    <xf numFmtId="0" fontId="72" fillId="13" borderId="98" xfId="0" applyFont="1" applyFill="1" applyBorder="1" applyAlignment="1">
      <alignment horizontal="left" vertical="center" wrapText="1"/>
    </xf>
    <xf numFmtId="0" fontId="72" fillId="12" borderId="96" xfId="0" applyFont="1" applyFill="1" applyBorder="1" applyAlignment="1">
      <alignment horizontal="left" vertical="center" wrapText="1"/>
    </xf>
    <xf numFmtId="0" fontId="72" fillId="12" borderId="97" xfId="0" applyFont="1" applyFill="1" applyBorder="1" applyAlignment="1">
      <alignment horizontal="left" vertical="center" wrapText="1"/>
    </xf>
    <xf numFmtId="0" fontId="72" fillId="12" borderId="98" xfId="0" applyFont="1" applyFill="1" applyBorder="1" applyAlignment="1">
      <alignment horizontal="left" vertical="center" wrapText="1"/>
    </xf>
    <xf numFmtId="0" fontId="89" fillId="48" borderId="0" xfId="0" applyFont="1" applyFill="1" applyAlignment="1">
      <alignment horizontal="left" vertical="center" wrapText="1"/>
    </xf>
    <xf numFmtId="0" fontId="89" fillId="46" borderId="0" xfId="0" applyFont="1" applyFill="1" applyAlignment="1">
      <alignment horizontal="left" vertical="center" wrapText="1"/>
    </xf>
    <xf numFmtId="0" fontId="37" fillId="0" borderId="65" xfId="19" applyFont="1" applyBorder="1" applyAlignment="1">
      <alignment horizontal="center" vertical="center" textRotation="90"/>
    </xf>
    <xf numFmtId="0" fontId="37" fillId="0" borderId="82" xfId="19" applyFont="1" applyBorder="1" applyAlignment="1">
      <alignment horizontal="center" vertical="center" textRotation="90"/>
    </xf>
    <xf numFmtId="0" fontId="46" fillId="0" borderId="125" xfId="19" applyFont="1" applyBorder="1" applyAlignment="1">
      <alignment horizontal="center" vertical="center" textRotation="90" wrapText="1"/>
    </xf>
    <xf numFmtId="0" fontId="46" fillId="0" borderId="73" xfId="19" applyFont="1" applyBorder="1" applyAlignment="1">
      <alignment horizontal="center" vertical="center" textRotation="90" wrapText="1"/>
    </xf>
    <xf numFmtId="0" fontId="46" fillId="0" borderId="123" xfId="19" applyFont="1" applyBorder="1" applyAlignment="1">
      <alignment horizontal="center" vertical="center" textRotation="90" wrapText="1"/>
    </xf>
    <xf numFmtId="0" fontId="36" fillId="5" borderId="138" xfId="19" applyFill="1" applyBorder="1" applyAlignment="1">
      <alignment horizontal="right" vertical="center"/>
    </xf>
    <xf numFmtId="0" fontId="36" fillId="5" borderId="105" xfId="19" applyFill="1" applyBorder="1" applyAlignment="1">
      <alignment horizontal="right" vertical="center"/>
    </xf>
    <xf numFmtId="0" fontId="37" fillId="0" borderId="80" xfId="10" applyFont="1" applyBorder="1" applyAlignment="1">
      <alignment horizontal="center" vertical="center" textRotation="90"/>
    </xf>
    <xf numFmtId="0" fontId="43" fillId="0" borderId="73" xfId="10" applyFont="1" applyBorder="1" applyAlignment="1">
      <alignment horizontal="center" vertical="center" textRotation="90" wrapText="1"/>
    </xf>
    <xf numFmtId="0" fontId="43" fillId="0" borderId="123" xfId="10" applyFont="1" applyBorder="1" applyAlignment="1">
      <alignment horizontal="center" vertical="center" textRotation="90" wrapText="1"/>
    </xf>
    <xf numFmtId="0" fontId="39" fillId="18" borderId="63" xfId="10" applyFont="1" applyFill="1" applyBorder="1" applyAlignment="1">
      <alignment horizontal="center"/>
    </xf>
    <xf numFmtId="0" fontId="39" fillId="18" borderId="72" xfId="10" applyFont="1" applyFill="1" applyBorder="1" applyAlignment="1">
      <alignment horizontal="center"/>
    </xf>
    <xf numFmtId="0" fontId="36" fillId="17" borderId="50" xfId="10" applyFont="1" applyFill="1" applyBorder="1" applyAlignment="1">
      <alignment horizontal="center"/>
    </xf>
    <xf numFmtId="0" fontId="36" fillId="17" borderId="52" xfId="10" applyFont="1" applyFill="1" applyBorder="1" applyAlignment="1">
      <alignment horizontal="center"/>
    </xf>
    <xf numFmtId="0" fontId="39" fillId="17" borderId="74" xfId="10" applyFont="1" applyFill="1" applyBorder="1" applyAlignment="1">
      <alignment horizontal="center"/>
    </xf>
    <xf numFmtId="0" fontId="39" fillId="17" borderId="75" xfId="10" applyFont="1" applyFill="1" applyBorder="1" applyAlignment="1">
      <alignment horizontal="center"/>
    </xf>
    <xf numFmtId="0" fontId="36" fillId="16" borderId="80" xfId="10" applyFont="1" applyFill="1" applyBorder="1" applyAlignment="1">
      <alignment horizontal="center"/>
    </xf>
    <xf numFmtId="0" fontId="36" fillId="16" borderId="38" xfId="10" applyFont="1" applyFill="1" applyBorder="1" applyAlignment="1">
      <alignment horizontal="center"/>
    </xf>
    <xf numFmtId="0" fontId="37" fillId="0" borderId="65" xfId="544" applyFont="1" applyBorder="1" applyAlignment="1">
      <alignment horizontal="center" vertical="center" textRotation="90"/>
    </xf>
    <xf numFmtId="0" fontId="37" fillId="0" borderId="82" xfId="544" applyFont="1" applyBorder="1" applyAlignment="1">
      <alignment horizontal="center" vertical="center" textRotation="90"/>
    </xf>
    <xf numFmtId="0" fontId="46" fillId="0" borderId="125" xfId="544" applyFont="1" applyBorder="1" applyAlignment="1">
      <alignment horizontal="center" vertical="center" textRotation="90" wrapText="1"/>
    </xf>
    <xf numFmtId="0" fontId="46" fillId="0" borderId="73" xfId="544" applyFont="1" applyBorder="1" applyAlignment="1">
      <alignment horizontal="center" vertical="center" textRotation="90" wrapText="1"/>
    </xf>
    <xf numFmtId="0" fontId="46" fillId="0" borderId="123" xfId="544" applyFont="1" applyBorder="1" applyAlignment="1">
      <alignment horizontal="center" vertical="center" textRotation="90" wrapText="1"/>
    </xf>
    <xf numFmtId="0" fontId="36" fillId="5" borderId="138" xfId="544" applyFill="1" applyBorder="1" applyAlignment="1">
      <alignment horizontal="right" vertical="center"/>
    </xf>
    <xf numFmtId="0" fontId="36" fillId="5" borderId="105" xfId="544" applyFill="1" applyBorder="1" applyAlignment="1">
      <alignment horizontal="right" vertical="center"/>
    </xf>
    <xf numFmtId="0" fontId="0" fillId="0" borderId="6" xfId="0" applyBorder="1" applyAlignment="1">
      <alignment horizontal="center"/>
    </xf>
    <xf numFmtId="0" fontId="27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7" fillId="17" borderId="59" xfId="10" applyFont="1" applyFill="1" applyBorder="1" applyAlignment="1">
      <alignment horizontal="center"/>
    </xf>
    <xf numFmtId="0" fontId="37" fillId="17" borderId="6" xfId="10" applyFont="1" applyFill="1" applyBorder="1" applyAlignment="1">
      <alignment horizontal="center"/>
    </xf>
    <xf numFmtId="0" fontId="37" fillId="17" borderId="51" xfId="10" applyFont="1" applyFill="1" applyBorder="1" applyAlignment="1">
      <alignment horizontal="center" vertical="center"/>
    </xf>
    <xf numFmtId="0" fontId="37" fillId="17" borderId="52" xfId="10" applyFont="1" applyFill="1" applyBorder="1" applyAlignment="1">
      <alignment horizontal="center" vertical="center"/>
    </xf>
    <xf numFmtId="0" fontId="60" fillId="16" borderId="54" xfId="15" applyFont="1" applyFill="1" applyBorder="1" applyAlignment="1">
      <alignment horizontal="center" vertical="center"/>
    </xf>
    <xf numFmtId="0" fontId="60" fillId="16" borderId="6" xfId="15" applyFont="1" applyFill="1" applyBorder="1" applyAlignment="1">
      <alignment horizontal="center" vertical="center"/>
    </xf>
    <xf numFmtId="0" fontId="60" fillId="16" borderId="53" xfId="15" applyFont="1" applyFill="1" applyBorder="1" applyAlignment="1">
      <alignment horizontal="center" vertical="center" wrapText="1"/>
    </xf>
    <xf numFmtId="0" fontId="60" fillId="16" borderId="55" xfId="15" applyFont="1" applyFill="1" applyBorder="1" applyAlignment="1">
      <alignment horizontal="center" vertical="center" wrapText="1"/>
    </xf>
    <xf numFmtId="0" fontId="36" fillId="16" borderId="139" xfId="10" applyFont="1" applyFill="1" applyBorder="1" applyAlignment="1">
      <alignment horizontal="center"/>
    </xf>
    <xf numFmtId="0" fontId="43" fillId="0" borderId="125" xfId="10" applyFont="1" applyBorder="1" applyAlignment="1">
      <alignment horizontal="center" vertical="center" textRotation="90" wrapText="1"/>
    </xf>
    <xf numFmtId="0" fontId="39" fillId="16" borderId="52" xfId="10" applyFont="1" applyFill="1" applyBorder="1" applyAlignment="1">
      <alignment horizontal="center"/>
    </xf>
    <xf numFmtId="0" fontId="39" fillId="16" borderId="143" xfId="10" applyFont="1" applyFill="1" applyBorder="1" applyAlignment="1">
      <alignment horizontal="center"/>
    </xf>
  </cellXfs>
  <cellStyles count="2275">
    <cellStyle name="???????????" xfId="60" xr:uid="{2CA70EB2-9F1E-4CF5-B468-8666E400A2A6}"/>
    <cellStyle name="???????_2++" xfId="61" xr:uid="{8ED62070-45AE-49EC-AD4C-0248B84A286E}"/>
    <cellStyle name="20 % - Akzent1" xfId="80" hidden="1" xr:uid="{E4A5291F-E351-41C7-9FC9-C6189F4CF2F2}"/>
    <cellStyle name="20 % - Akzent1" xfId="980" hidden="1" xr:uid="{D19AF3FD-3A62-456A-B412-5F4ABB46D8AD}"/>
    <cellStyle name="20 % - Akzent1" xfId="1277" hidden="1" xr:uid="{5998E5F2-CC3B-42A5-ADFF-AFD0E723B5B2}"/>
    <cellStyle name="20 % - Akzent1" xfId="1455" hidden="1" xr:uid="{791B0D7F-949F-46FC-81FF-A78F68396B8D}"/>
    <cellStyle name="20 % - Akzent1" xfId="1472" hidden="1" xr:uid="{62CC637B-8440-49A6-BE61-306D6F29C17A}"/>
    <cellStyle name="20 % - Akzent1" xfId="937" hidden="1" xr:uid="{0430A41D-B727-447B-A09B-DD20F5F1CCD0}"/>
    <cellStyle name="20 % - Akzent1 2" xfId="407" xr:uid="{067AC044-B50C-49B6-9861-2DDF868BDE54}"/>
    <cellStyle name="20 % - Akzent1 3" xfId="276" xr:uid="{25D7F45E-250E-406C-8D6D-1CDF75324E66}"/>
    <cellStyle name="20 % - Akzent2" xfId="84" hidden="1" xr:uid="{BF5572C2-104E-40DD-8DF1-5303D99A402C}"/>
    <cellStyle name="20 % - Akzent2" xfId="983" hidden="1" xr:uid="{EA061194-973F-4D59-955C-B032E9994271}"/>
    <cellStyle name="20 % - Akzent2" xfId="1394" hidden="1" xr:uid="{BC148E72-47EB-4D14-B109-2E12D5C36E18}"/>
    <cellStyle name="20 % - Akzent2" xfId="1440" hidden="1" xr:uid="{1B4B24B3-55A3-409F-824B-7AC98AC6791F}"/>
    <cellStyle name="20 % - Akzent2" xfId="1282" hidden="1" xr:uid="{39E5E1DD-49FF-4553-A1A8-3E7F6F9E7BBE}"/>
    <cellStyle name="20 % - Akzent2" xfId="1517" hidden="1" xr:uid="{8ECE1732-07E8-4724-AA47-AD53778DAC97}"/>
    <cellStyle name="20 % - Akzent2 2" xfId="408" xr:uid="{4A5DD45B-6943-49FD-835C-7CBB0D1814E7}"/>
    <cellStyle name="20 % - Akzent2 3" xfId="277" xr:uid="{035555BD-9C35-42B8-9E7A-D72B2AF74D63}"/>
    <cellStyle name="20 % - Akzent3" xfId="88" hidden="1" xr:uid="{672937A7-88FF-4AC4-A7B9-09527FE1BC51}"/>
    <cellStyle name="20 % - Akzent3" xfId="987" hidden="1" xr:uid="{BD7D0349-F72A-441B-A9C0-014C42ECE5CF}"/>
    <cellStyle name="20 % - Akzent3" xfId="1070" hidden="1" xr:uid="{122E1B21-DBF1-49C7-A4C0-3454FADB53C8}"/>
    <cellStyle name="20 % - Akzent3" xfId="1174" hidden="1" xr:uid="{F334E2E0-1CDC-4C12-B17B-610714E3823C}"/>
    <cellStyle name="20 % - Akzent3" xfId="1429" hidden="1" xr:uid="{90875C26-A47F-49BE-982F-17DC07155DC9}"/>
    <cellStyle name="20 % - Akzent3" xfId="1523" hidden="1" xr:uid="{75F81ED0-3140-4D9B-BB60-32D0A89878FF}"/>
    <cellStyle name="20 % - Akzent3 2" xfId="409" xr:uid="{70404095-9A7A-4676-ADDF-9A0BA0F81598}"/>
    <cellStyle name="20 % - Akzent3 3" xfId="278" xr:uid="{A8DA2641-B6D3-46C9-B464-5EECEBC45696}"/>
    <cellStyle name="20 % - Akzent4" xfId="92" hidden="1" xr:uid="{23B245EE-0BA6-4689-AABE-3F51FC5D48A4}"/>
    <cellStyle name="20 % - Akzent4" xfId="991" hidden="1" xr:uid="{5146412F-363F-42FF-A795-52A9658AA3AA}"/>
    <cellStyle name="20 % - Akzent4" xfId="1436" hidden="1" xr:uid="{B0AE6632-1034-47D6-9BBF-B3C81A283B63}"/>
    <cellStyle name="20 % - Akzent4" xfId="1016" hidden="1" xr:uid="{C294A81F-FE98-469F-9C42-DE052BFDAF6C}"/>
    <cellStyle name="20 % - Akzent4" xfId="1392" hidden="1" xr:uid="{F5E38DF1-18C8-472E-B30E-9C1BF61B3806}"/>
    <cellStyle name="20 % - Akzent4" xfId="1520" hidden="1" xr:uid="{8CD902E2-1070-4D0B-8662-5A6E10345811}"/>
    <cellStyle name="20 % - Akzent4 2" xfId="410" xr:uid="{0F3FA289-A356-4D31-A2B0-37DF00E2AB2D}"/>
    <cellStyle name="20 % - Akzent4 3" xfId="279" xr:uid="{1EC94C05-C7E5-4CBF-9E38-16FCA7125C08}"/>
    <cellStyle name="20 % - Akzent5" xfId="96" hidden="1" xr:uid="{57D9724B-F948-4E07-8FFA-FBF77B3BC3B4}"/>
    <cellStyle name="20 % - Akzent5" xfId="995" hidden="1" xr:uid="{31115CCF-B8FA-473D-B6F0-5372AA0CCBD4}"/>
    <cellStyle name="20 % - Akzent5" xfId="1469" hidden="1" xr:uid="{BC22B658-AFEA-4F23-8BC5-CD94F676E0CB}"/>
    <cellStyle name="20 % - Akzent5" xfId="1482" hidden="1" xr:uid="{8C819178-1D6A-438F-8846-411B8BED13AF}"/>
    <cellStyle name="20 % - Akzent5" xfId="986" hidden="1" xr:uid="{4FB25ED1-361C-4D0C-AF3A-2B0DA4BECF84}"/>
    <cellStyle name="20 % - Akzent5" xfId="1521" hidden="1" xr:uid="{098AEBB1-E51E-4978-960B-0D1565C1AF9A}"/>
    <cellStyle name="20 % - Akzent5 2" xfId="411" xr:uid="{F38D1004-D8B8-480B-905A-AB657857B70D}"/>
    <cellStyle name="20 % - Akzent5 3" xfId="280" xr:uid="{7D1810D2-19EC-412F-B3CD-6165846F8D03}"/>
    <cellStyle name="20 % - Akzent6" xfId="99" hidden="1" xr:uid="{CBAEB6D6-2E1D-4B99-9381-86499DD03F4C}"/>
    <cellStyle name="20 % - Akzent6" xfId="999" hidden="1" xr:uid="{3CE31124-33CC-4B51-B667-58397FDEC1C1}"/>
    <cellStyle name="20 % - Akzent6" xfId="1069" hidden="1" xr:uid="{77352583-BB01-4B9A-9BDC-336AFD5EE58C}"/>
    <cellStyle name="20 % - Akzent6" xfId="1268" hidden="1" xr:uid="{48FF1416-F623-462A-90A2-AC5472069417}"/>
    <cellStyle name="20 % - Akzent6" xfId="1078" hidden="1" xr:uid="{EF7684B7-B070-4EAD-A7E8-A3A10F0703FD}"/>
    <cellStyle name="20 % - Akzent6" xfId="1518" hidden="1" xr:uid="{7219A573-AEA4-442F-AADC-239AEFCF877F}"/>
    <cellStyle name="20 % - Akzent6 2" xfId="412" xr:uid="{F1203828-BDC5-4F3C-A2A2-1374938A06EF}"/>
    <cellStyle name="20 % - Akzent6 3" xfId="281" xr:uid="{03E3E489-2390-4F53-B9C1-100D9E51A60C}"/>
    <cellStyle name="20% - Accent1 2" xfId="113" xr:uid="{5372610A-D17F-4F16-B0C0-1E341692386F}"/>
    <cellStyle name="20% - Accent1 3" xfId="233" xr:uid="{35D92693-02E7-4FC2-BFB6-0FA7BA897C6C}"/>
    <cellStyle name="20% - Accent2 2" xfId="114" xr:uid="{D098AAA0-AB0B-40DA-9C30-0D6DC07B5ED4}"/>
    <cellStyle name="20% - Accent2 3" xfId="234" xr:uid="{1C521092-2EDE-48CB-9D32-8BFC33EF963A}"/>
    <cellStyle name="20% - Accent3 2" xfId="115" xr:uid="{7A2679F9-585E-4878-A1B1-8F4300FF9E47}"/>
    <cellStyle name="20% - Accent3 3" xfId="235" xr:uid="{A85BF03B-25F2-46B7-8765-13A2E5C97347}"/>
    <cellStyle name="20% - Accent4 2" xfId="116" xr:uid="{1F4025A1-E474-4E2E-B92F-08CCFC1FE9E7}"/>
    <cellStyle name="20% - Accent4 3" xfId="236" xr:uid="{00B2B249-C74E-42B3-8795-749A17F26F6C}"/>
    <cellStyle name="20% - Accent5 2" xfId="117" xr:uid="{63607C81-EE6E-45AE-BC30-059A6A7D802B}"/>
    <cellStyle name="20% - Accent5 3" xfId="237" xr:uid="{C2220C9B-4357-4F7A-A1DC-386F4E03D83F}"/>
    <cellStyle name="20% - Accent6 2" xfId="118" xr:uid="{E743252A-17B3-4758-9C61-6AC1B279050A}"/>
    <cellStyle name="20% - Accent6 3" xfId="238" xr:uid="{D41603F9-F213-4887-9EDF-091DBB01013A}"/>
    <cellStyle name="2x indented GHG Textfiels" xfId="29" xr:uid="{AD281C84-DCDD-4A34-9FCC-8B1BB105A14D}"/>
    <cellStyle name="2x indented GHG Textfiels 2" xfId="119" xr:uid="{5190DD86-A10D-4E59-B700-66E61B61CDFA}"/>
    <cellStyle name="2x indented GHG Textfiels 2 2" xfId="120" xr:uid="{590DD318-AF38-4614-B96D-E92A02AA04D8}"/>
    <cellStyle name="2x indented GHG Textfiels 3" xfId="121" xr:uid="{25ED3005-4A76-49D5-9A3C-17776CB82CFD}"/>
    <cellStyle name="2x indented GHG Textfiels 3 2" xfId="434" xr:uid="{B762A209-049D-4C35-8A88-A6B0E3999C75}"/>
    <cellStyle name="2x indented GHG Textfiels 3 2 2" xfId="564" xr:uid="{51F7D417-E9C1-47D2-BFE7-CC0220E89C27}"/>
    <cellStyle name="2x indented GHG Textfiels 3 2 2 2" xfId="779" xr:uid="{3D336415-EDFF-4D98-A899-FF3DF02B91B2}"/>
    <cellStyle name="2x indented GHG Textfiels 3 2 2 2 2" xfId="1073" xr:uid="{7318456F-7E76-410F-99FE-563D0FFF36C1}"/>
    <cellStyle name="2x indented GHG Textfiels 3 2 2 2 3" xfId="1755" xr:uid="{3E53ECB9-319D-4767-84E2-37DA2FC9C76D}"/>
    <cellStyle name="2x indented GHG Textfiels 3 2 2 2 4" xfId="2126" xr:uid="{92013531-B77B-4C35-95F2-DF25A625AB67}"/>
    <cellStyle name="2x indented GHG Textfiels 3 2 2 3" xfId="1024" xr:uid="{09A87A2D-39CA-49A8-9466-B5757B1BEEBC}"/>
    <cellStyle name="2x indented GHG Textfiels 3 2 2 4" xfId="1548" xr:uid="{72D15723-B317-4E0A-94BC-AA2C9E89E594}"/>
    <cellStyle name="2x indented GHG Textfiels 3 2 2 5" xfId="1920" xr:uid="{D7366D0E-A916-414D-9DED-FD6995AA5BC6}"/>
    <cellStyle name="2x indented GHG Textfiels 3 2 3" xfId="742" xr:uid="{AD3DABA1-2C03-4142-B62B-01BE5E02C9E3}"/>
    <cellStyle name="2x indented GHG Textfiels 3 2 3 2" xfId="1085" xr:uid="{D4C0A716-6690-4299-BAEE-3E434DF47C90}"/>
    <cellStyle name="2x indented GHG Textfiels 3 2 3 3" xfId="1718" xr:uid="{C11F06C4-2583-42C8-AB0A-3EC9DB64C629}"/>
    <cellStyle name="2x indented GHG Textfiels 3 2 3 4" xfId="2089" xr:uid="{738F08E8-A120-4FCC-AF01-B9AC6C61C86B}"/>
    <cellStyle name="2x indented GHG Textfiels 3 3" xfId="382" xr:uid="{A1249D20-446B-4EF1-A9AA-845D39730352}"/>
    <cellStyle name="2x indented GHG Textfiels 3 3 2" xfId="669" xr:uid="{4A062341-A07F-435B-8E45-1F76FF96BDCB}"/>
    <cellStyle name="2x indented GHG Textfiels 3 3 2 2" xfId="884" xr:uid="{8C1CD530-1D72-4D50-9D01-DB996907A9B4}"/>
    <cellStyle name="2x indented GHG Textfiels 3 3 2 2 2" xfId="1110" xr:uid="{A697A510-1491-4A00-86DD-C9F07A4350C9}"/>
    <cellStyle name="2x indented GHG Textfiels 3 3 2 2 3" xfId="1860" xr:uid="{5368D6A7-A84C-44E9-B335-469190FB9F00}"/>
    <cellStyle name="2x indented GHG Textfiels 3 3 2 2 4" xfId="2231" xr:uid="{D2EC8AC8-5EA5-4C6A-8689-A698889FC8E1}"/>
    <cellStyle name="2x indented GHG Textfiels 3 3 2 3" xfId="1489" xr:uid="{5AFD33EB-D0C0-4215-B5F4-2CD745713EAB}"/>
    <cellStyle name="2x indented GHG Textfiels 3 3 2 4" xfId="1653" xr:uid="{51C24651-C465-45DB-ABED-4C9DE9200265}"/>
    <cellStyle name="2x indented GHG Textfiels 3 3 2 5" xfId="2025" xr:uid="{818D6FEF-5008-4E6A-A7B2-BBCD39790456}"/>
    <cellStyle name="2x indented GHG Textfiels 3 3 3" xfId="671" xr:uid="{BB628A7B-56BA-42B9-A63B-5B999C8C146A}"/>
    <cellStyle name="2x indented GHG Textfiels 3 3 3 2" xfId="886" xr:uid="{EC3494C2-56B7-437C-B9CF-09C38719AC18}"/>
    <cellStyle name="2x indented GHG Textfiels 3 3 3 2 2" xfId="1314" xr:uid="{6628C9E3-DABC-45C2-9707-8A850AEB1D07}"/>
    <cellStyle name="2x indented GHG Textfiels 3 3 3 2 3" xfId="1862" xr:uid="{23AA6064-5758-4ABA-925D-6BA23CF55446}"/>
    <cellStyle name="2x indented GHG Textfiels 3 3 3 2 4" xfId="2233" xr:uid="{E06F1CC9-96DC-4F44-A7CE-30E4E1686F27}"/>
    <cellStyle name="2x indented GHG Textfiels 3 3 3 3" xfId="954" xr:uid="{CE7AD9AE-9B88-4C80-A134-F91346F90970}"/>
    <cellStyle name="2x indented GHG Textfiels 3 3 3 4" xfId="1655" xr:uid="{BFFB9A3C-1051-4B23-B675-4D0BDCF7C142}"/>
    <cellStyle name="2x indented GHG Textfiels 3 3 3 5" xfId="2027" xr:uid="{A4A671A0-7869-49B2-A6CD-8506D08B7169}"/>
    <cellStyle name="2x indented GHG Textfiels 3 3 4" xfId="567" xr:uid="{63C810AD-90DF-4598-A4FD-BA1032D020BD}"/>
    <cellStyle name="2x indented GHG Textfiels 3 3 4 2" xfId="782" xr:uid="{0BFCEEAF-F07B-4B99-8E80-9C1858CF1456}"/>
    <cellStyle name="2x indented GHG Textfiels 3 3 4 2 2" xfId="1049" xr:uid="{0A6FEC70-487C-4848-A711-C44592820A4A}"/>
    <cellStyle name="2x indented GHG Textfiels 3 3 4 2 3" xfId="1758" xr:uid="{8AB043A5-2950-494A-8150-6EE91332C808}"/>
    <cellStyle name="2x indented GHG Textfiels 3 3 4 2 4" xfId="2129" xr:uid="{FD5D4E47-86E1-4A59-893C-B4E18C0C122E}"/>
    <cellStyle name="2x indented GHG Textfiels 3 3 4 3" xfId="1091" xr:uid="{8DB99737-7A57-4252-B93D-5C06898CAF62}"/>
    <cellStyle name="2x indented GHG Textfiels 3 3 4 4" xfId="1551" xr:uid="{D6C912B1-7CCE-4919-9D64-AB727022A79D}"/>
    <cellStyle name="2x indented GHG Textfiels 3 3 4 5" xfId="1923" xr:uid="{1BC01B78-DF87-478B-AB12-5302FAA4D987}"/>
    <cellStyle name="2x indented GHG Textfiels 3 3 5" xfId="1330" xr:uid="{AB311794-596F-48AE-83B3-56102B0502C0}"/>
    <cellStyle name="2x indented GHG Textfiels 3 3 6" xfId="1408" xr:uid="{27675F97-41AC-4820-90D9-2E694E4CBD41}"/>
    <cellStyle name="2x indented GHG Textfiels 3 3 7" xfId="1232" xr:uid="{5E2E77C2-FD27-473B-A653-E9D7D252133F}"/>
    <cellStyle name="40 % - Akzent1" xfId="81" hidden="1" xr:uid="{F53F3372-C23E-4C19-A1AA-176FD319A326}"/>
    <cellStyle name="40 % - Akzent1" xfId="981" hidden="1" xr:uid="{32DFBFA5-5C44-42A7-A252-A426966A510F}"/>
    <cellStyle name="40 % - Akzent1" xfId="1450" hidden="1" xr:uid="{7FE5F317-7BB1-4E23-B5B0-D5FF3870D61D}"/>
    <cellStyle name="40 % - Akzent1" xfId="1384" hidden="1" xr:uid="{6618376E-510F-4FD6-B24B-F20A79BEA6AA}"/>
    <cellStyle name="40 % - Akzent1" xfId="1321" hidden="1" xr:uid="{C8155D21-75B0-458A-A1B0-7D4A0CAD7C06}"/>
    <cellStyle name="40 % - Akzent1" xfId="1029" hidden="1" xr:uid="{3A397C9B-70F7-48A2-8438-63AFAC6AAB31}"/>
    <cellStyle name="40 % - Akzent1 2" xfId="413" xr:uid="{2566F1C0-9050-46B6-B668-6F95CC2872EA}"/>
    <cellStyle name="40 % - Akzent1 3" xfId="282" xr:uid="{C773C958-121B-42F5-B781-CBF76D29BE43}"/>
    <cellStyle name="40 % - Akzent2" xfId="85" hidden="1" xr:uid="{7FAC7307-A6A2-45FC-8DDE-987FF9582A1A}"/>
    <cellStyle name="40 % - Akzent2" xfId="984" hidden="1" xr:uid="{D5971DAA-FEEB-4FB0-9DC2-6FEB6BCA2B06}"/>
    <cellStyle name="40 % - Akzent2" xfId="1426" hidden="1" xr:uid="{B898EC80-6BC9-446E-9B57-27EB04D1F223}"/>
    <cellStyle name="40 % - Akzent2" xfId="1476" hidden="1" xr:uid="{6B637EA9-D100-4730-BF78-C7F8F47EEEC2}"/>
    <cellStyle name="40 % - Akzent2" xfId="1014" hidden="1" xr:uid="{AD89CB20-B682-46EF-942F-F881DCCC094D}"/>
    <cellStyle name="40 % - Akzent2" xfId="1175" hidden="1" xr:uid="{3C283BFB-BDC6-48C5-8EE4-7C4834309CBC}"/>
    <cellStyle name="40 % - Akzent2 2" xfId="414" xr:uid="{8402006C-9E14-4634-AC87-38F671E3C324}"/>
    <cellStyle name="40 % - Akzent2 3" xfId="283" xr:uid="{DFF271FB-D8F6-4F83-9ACA-B15295FE770F}"/>
    <cellStyle name="40 % - Akzent3" xfId="89" hidden="1" xr:uid="{FAAFD067-BACE-4220-9697-E55BAF45C330}"/>
    <cellStyle name="40 % - Akzent3" xfId="988" hidden="1" xr:uid="{097B5DB9-BBD6-4109-83D8-8B311E7255E2}"/>
    <cellStyle name="40 % - Akzent3" xfId="1376" hidden="1" xr:uid="{8B565D3F-33F9-4461-B295-56EBF0E4692E}"/>
    <cellStyle name="40 % - Akzent3" xfId="1213" hidden="1" xr:uid="{9A225B91-FA5A-4092-91DA-A9735190F5F7}"/>
    <cellStyle name="40 % - Akzent3" xfId="1350" hidden="1" xr:uid="{579B0109-DD26-42AC-AF7F-C3A98041569D}"/>
    <cellStyle name="40 % - Akzent3" xfId="1524" hidden="1" xr:uid="{8C3E7E48-BADA-41C2-B73C-4EDDA7243512}"/>
    <cellStyle name="40 % - Akzent3 2" xfId="415" xr:uid="{B2D612C2-E021-4B38-816E-E087DB29F2DF}"/>
    <cellStyle name="40 % - Akzent3 3" xfId="284" xr:uid="{C7CA5A2C-BD83-4E3E-9010-13360CDF221B}"/>
    <cellStyle name="40 % - Akzent4" xfId="93" hidden="1" xr:uid="{311A8F2D-AFB6-442D-8A01-AC58E27CCA57}"/>
    <cellStyle name="40 % - Akzent4" xfId="992" hidden="1" xr:uid="{13B51E09-BEBC-4D39-B64D-401B47EBDF22}"/>
    <cellStyle name="40 % - Akzent4" xfId="1315" hidden="1" xr:uid="{2B40D53C-70FC-4199-9313-820519ABC7BD}"/>
    <cellStyle name="40 % - Akzent4" xfId="1300" hidden="1" xr:uid="{6F1B5380-2FA8-432F-8A7A-4A172C9C58A1}"/>
    <cellStyle name="40 % - Akzent4" xfId="1185" hidden="1" xr:uid="{4ECFBAF6-2385-4E98-968B-B97433C3B15D}"/>
    <cellStyle name="40 % - Akzent4" xfId="1522" hidden="1" xr:uid="{CCF6A8D2-2B55-4A18-8723-3804DC1DB034}"/>
    <cellStyle name="40 % - Akzent4 2" xfId="416" xr:uid="{1E053C3C-D7B2-4E1A-A4AB-85F1176FCE52}"/>
    <cellStyle name="40 % - Akzent4 3" xfId="285" xr:uid="{EEF9C988-8CFA-428E-BCF9-91006DE6F79C}"/>
    <cellStyle name="40 % - Akzent5" xfId="97" hidden="1" xr:uid="{58E95902-3173-4E7A-BC3C-403E6C0A62CA}"/>
    <cellStyle name="40 % - Akzent5" xfId="996" hidden="1" xr:uid="{2159A6C7-DBDC-4E72-BE95-C4B91DCEA6EE}"/>
    <cellStyle name="40 % - Akzent5" xfId="1360" hidden="1" xr:uid="{D5BD7075-76A3-43F0-ABF0-264C81A4185B}"/>
    <cellStyle name="40 % - Akzent5" xfId="1317" hidden="1" xr:uid="{D89B9609-1303-4290-AC4E-2F9547244779}"/>
    <cellStyle name="40 % - Akzent5" xfId="1423" hidden="1" xr:uid="{ED27E935-24CD-4578-BC3E-D3F4E6C2FC3A}"/>
    <cellStyle name="40 % - Akzent5" xfId="1351" hidden="1" xr:uid="{D52D8AEF-4858-422B-9289-BA3AEA9AB9A2}"/>
    <cellStyle name="40 % - Akzent5 2" xfId="417" xr:uid="{C735DD0A-4268-45A7-AB90-F8666EFBEE42}"/>
    <cellStyle name="40 % - Akzent5 3" xfId="286" xr:uid="{0138DBB9-78DF-4746-9D85-38069719ADB7}"/>
    <cellStyle name="40 % - Akzent6" xfId="100" hidden="1" xr:uid="{4CEFF2BC-CE1F-4D8B-8D6D-492128713531}"/>
    <cellStyle name="40 % - Akzent6" xfId="1000" hidden="1" xr:uid="{10677B5E-DDFC-4DDA-9889-017C4E694B68}"/>
    <cellStyle name="40 % - Akzent6" xfId="1374" hidden="1" xr:uid="{0D69EAB1-F9B0-4FC7-A4F7-53A2D935AFA9}"/>
    <cellStyle name="40 % - Akzent6" xfId="1441" hidden="1" xr:uid="{2573F0CF-6FBA-49EE-9BE2-6FB8B291CA37}"/>
    <cellStyle name="40 % - Akzent6" xfId="1309" hidden="1" xr:uid="{D5A9A760-42B7-4EA4-8FF8-0A32816B7039}"/>
    <cellStyle name="40 % - Akzent6" xfId="1519" hidden="1" xr:uid="{C5790CC2-094D-4174-A32D-3B765B5BC3E1}"/>
    <cellStyle name="40 % - Akzent6 2" xfId="418" xr:uid="{C21F8BCF-24CA-4678-B16D-1AF5F8741C39}"/>
    <cellStyle name="40 % - Akzent6 3" xfId="287" xr:uid="{F1D4AFDC-0F1A-4652-BA75-F57ECB86C46D}"/>
    <cellStyle name="40% - Accent1 2" xfId="122" xr:uid="{5DD2CAE3-4346-4C44-9C8C-A4901A8A7990}"/>
    <cellStyle name="40% - Accent1 3" xfId="239" xr:uid="{CE4B13C3-8941-4592-A63F-3CB2F8710B84}"/>
    <cellStyle name="40% - Accent2 2" xfId="123" xr:uid="{E411C0B6-37DF-47BD-8846-4151E8AF826E}"/>
    <cellStyle name="40% - Accent2 3" xfId="240" xr:uid="{03099A47-61BC-41AA-9C42-6E4B6E82F127}"/>
    <cellStyle name="40% - Accent3 2" xfId="124" xr:uid="{A3394EBF-2167-4E83-9952-ECB75CC8B991}"/>
    <cellStyle name="40% - Accent3 3" xfId="241" xr:uid="{08679D1F-E7BB-4544-A2BB-74CA0F2ABCE7}"/>
    <cellStyle name="40% - Accent4 2" xfId="125" xr:uid="{C4F57BD3-ED34-40C5-AE3A-7E23C79310F2}"/>
    <cellStyle name="40% - Accent4 3" xfId="242" xr:uid="{C79DD2EA-9FBD-4B1B-8433-A7BF47506309}"/>
    <cellStyle name="40% - Accent5 2" xfId="126" xr:uid="{E12DC4C7-0DEB-4827-86BD-F04C1C023D9A}"/>
    <cellStyle name="40% - Accent5 3" xfId="243" xr:uid="{61145C56-470B-41CC-A4BE-FB6525F01163}"/>
    <cellStyle name="40% - Accent6 2" xfId="127" xr:uid="{5C35EE70-7869-40CE-B198-015A3BC64A8D}"/>
    <cellStyle name="40% - Accent6 3" xfId="244" xr:uid="{6DCB9A06-6A85-47A5-A70B-5981B966568E}"/>
    <cellStyle name="5x indented GHG Textfiels" xfId="16" xr:uid="{CEA07820-3E37-4833-AD2D-1CB70C9CCC35}"/>
    <cellStyle name="5x indented GHG Textfiels 2" xfId="128" xr:uid="{C823A8F3-BFC1-4429-AB52-0D5430162640}"/>
    <cellStyle name="5x indented GHG Textfiels 2 2" xfId="129" xr:uid="{7D43F8AD-6C6C-45B4-9972-C721B7C832BA}"/>
    <cellStyle name="5x indented GHG Textfiels 3" xfId="130" xr:uid="{9E3D0619-33C9-458D-AB4A-7B665E1EA398}"/>
    <cellStyle name="5x indented GHG Textfiels 3 2" xfId="435" xr:uid="{9FBD89D5-6F6F-4523-8432-A98BE82B311B}"/>
    <cellStyle name="5x indented GHG Textfiels 3 3" xfId="383" xr:uid="{072CAA1F-6927-4F99-A621-E3565B49460B}"/>
    <cellStyle name="5x indented GHG Textfiels 3 3 2" xfId="670" xr:uid="{FB761513-FD39-4C3D-AB63-3FCF3C382EA7}"/>
    <cellStyle name="5x indented GHG Textfiels 3 3 2 2" xfId="885" xr:uid="{D7CE8501-8FB9-41DF-9409-35BDCC37988D}"/>
    <cellStyle name="5x indented GHG Textfiels 3 3 2 2 2" xfId="1265" xr:uid="{E7A77F26-F992-402D-8BA3-38834659F482}"/>
    <cellStyle name="5x indented GHG Textfiels 3 3 2 2 3" xfId="1861" xr:uid="{60EF018C-AF68-46E8-A666-74635A46CD27}"/>
    <cellStyle name="5x indented GHG Textfiels 3 3 2 2 4" xfId="2232" xr:uid="{BA46A289-1227-4D53-8EB6-2AD041DEB531}"/>
    <cellStyle name="5x indented GHG Textfiels 3 3 2 3" xfId="1215" xr:uid="{7BA50719-7369-42C8-AF9E-3190FD809EBD}"/>
    <cellStyle name="5x indented GHG Textfiels 3 3 2 4" xfId="1654" xr:uid="{31A39935-3AAE-4F41-979C-2B804E577CF3}"/>
    <cellStyle name="5x indented GHG Textfiels 3 3 2 5" xfId="2026" xr:uid="{6D1170AC-4A8D-45EB-A6F7-D8B931AA78FB}"/>
    <cellStyle name="5x indented GHG Textfiels 3 3 3" xfId="617" xr:uid="{7A2E6B35-9445-4A98-BAB7-4C21D4527B33}"/>
    <cellStyle name="5x indented GHG Textfiels 3 3 3 2" xfId="832" xr:uid="{EB0B3991-1756-44BD-841C-40A8261957ED}"/>
    <cellStyle name="5x indented GHG Textfiels 3 3 3 2 2" xfId="1222" xr:uid="{6FAEB55C-B225-4099-B3A3-ED09BFAD9187}"/>
    <cellStyle name="5x indented GHG Textfiels 3 3 3 2 3" xfId="1808" xr:uid="{BEB44198-215A-4A42-BDBF-7CEBBA37FBDB}"/>
    <cellStyle name="5x indented GHG Textfiels 3 3 3 2 4" xfId="2179" xr:uid="{CA528CEF-3316-46B9-B2B8-19AC2DD76092}"/>
    <cellStyle name="5x indented GHG Textfiels 3 3 3 3" xfId="1146" xr:uid="{AE800B7C-5C46-4D76-B277-76579CC99A8D}"/>
    <cellStyle name="5x indented GHG Textfiels 3 3 3 4" xfId="1601" xr:uid="{137D10F5-6F32-4120-B39B-4C9155AF33E0}"/>
    <cellStyle name="5x indented GHG Textfiels 3 3 3 5" xfId="1973" xr:uid="{E44C0870-356A-4542-A4B6-86030D1C4FC6}"/>
    <cellStyle name="5x indented GHG Textfiels 3 3 4" xfId="701" xr:uid="{D4E1404D-49C8-4B02-AA88-610605FA0624}"/>
    <cellStyle name="5x indented GHG Textfiels 3 3 4 2" xfId="916" xr:uid="{46D40126-3389-466A-9396-B87B838530C7}"/>
    <cellStyle name="5x indented GHG Textfiels 3 3 4 2 2" xfId="1508" xr:uid="{734A932F-A7D4-4AAF-BD4A-0C8A01B28032}"/>
    <cellStyle name="5x indented GHG Textfiels 3 3 4 2 3" xfId="1892" xr:uid="{E2226E90-DE98-4A09-8820-CC9111F2E87B}"/>
    <cellStyle name="5x indented GHG Textfiels 3 3 4 2 4" xfId="2263" xr:uid="{E7C7EAC7-3CF0-47E7-9F8D-C67FF3F1AE7C}"/>
    <cellStyle name="5x indented GHG Textfiels 3 3 4 3" xfId="949" xr:uid="{3243C1E3-A993-4FE3-BEFD-074907A4AAC4}"/>
    <cellStyle name="5x indented GHG Textfiels 3 3 4 4" xfId="1685" xr:uid="{3D0DF304-E935-4344-B504-B3A2187FC383}"/>
    <cellStyle name="5x indented GHG Textfiels 3 3 4 5" xfId="2057" xr:uid="{1B110593-4ADB-4AB1-838F-A36C0975D01F}"/>
    <cellStyle name="5x indented GHG Textfiels 3 3 5" xfId="738" xr:uid="{94EA9C8D-415F-4590-AFAE-40F30FE6782A}"/>
    <cellStyle name="5x indented GHG Textfiels 3 3 6" xfId="75" xr:uid="{85098B97-9561-4F4E-9D4C-6FD082CA23C1}"/>
    <cellStyle name="5x indented GHG Textfiels 3 3 7" xfId="1367" xr:uid="{3F5AD7E2-E823-4133-ABD8-0C077B948B13}"/>
    <cellStyle name="5x indented GHG Textfiels 3 3 8" xfId="1080" xr:uid="{EF6561FF-35C7-4340-BD38-CEB338363F1F}"/>
    <cellStyle name="5x indented GHG Textfiels_Table 4(II)" xfId="225" xr:uid="{6F1406F4-EDEA-47E1-A22F-05787E206B3A}"/>
    <cellStyle name="60 % - Akzent1" xfId="82" hidden="1" xr:uid="{9D7758CE-8875-496E-B51A-2D5F1F335514}"/>
    <cellStyle name="60 % - Akzent1" xfId="982" hidden="1" xr:uid="{E49AB9B6-8202-415C-A473-C14528E187EF}"/>
    <cellStyle name="60 % - Akzent1" xfId="1337" hidden="1" xr:uid="{6F20C6FF-3450-4216-A7EC-4FC847547784}"/>
    <cellStyle name="60 % - Akzent1" xfId="1032" hidden="1" xr:uid="{BF8D9103-1B82-4C8D-AD86-969073CFE863}"/>
    <cellStyle name="60 % - Akzent1" xfId="1371" hidden="1" xr:uid="{A58DC0AF-671B-4CAA-A075-9DCD2D7288BE}"/>
    <cellStyle name="60 % - Akzent1" xfId="1271" hidden="1" xr:uid="{A37A5E3D-DB56-4A51-8129-50FBC7F49915}"/>
    <cellStyle name="60 % - Akzent1 2" xfId="419" xr:uid="{BA02AA72-BDCC-4DA6-BE53-AEC071618E7F}"/>
    <cellStyle name="60 % - Akzent1 3" xfId="288" xr:uid="{F2A7FCCF-5BA6-49CE-8BCE-0060BF41282A}"/>
    <cellStyle name="60 % - Akzent2" xfId="86" hidden="1" xr:uid="{2C6074C4-A2FB-4DCD-A2C5-8C4E8FC8E913}"/>
    <cellStyle name="60 % - Akzent2" xfId="985" hidden="1" xr:uid="{F0778F89-E4B6-4310-901C-8BCA538F2700}"/>
    <cellStyle name="60 % - Akzent2" xfId="1306" hidden="1" xr:uid="{27A4B934-8B0D-4BB0-9E66-F72C674C73AD}"/>
    <cellStyle name="60 % - Akzent2" xfId="1473" hidden="1" xr:uid="{C08FD134-A404-43A7-BC64-CE5E4DDCE9AC}"/>
    <cellStyle name="60 % - Akzent2" xfId="1461" hidden="1" xr:uid="{E02903BB-9D8C-4E12-AD5E-A8ADCECD0B74}"/>
    <cellStyle name="60 % - Akzent2" xfId="1525" hidden="1" xr:uid="{BEA56DD6-4856-4BDB-BCB6-0FDEBE972C82}"/>
    <cellStyle name="60 % - Akzent2 2" xfId="420" xr:uid="{61ACEDBC-3CFE-487D-96CB-DC38A3F86ECF}"/>
    <cellStyle name="60 % - Akzent2 3" xfId="289" xr:uid="{79D1F0AD-E4EA-4DFB-B1D7-4D65651578A7}"/>
    <cellStyle name="60 % - Akzent3" xfId="90" hidden="1" xr:uid="{CDC2FE1A-45AE-46EC-A5E5-F9FA14B5D606}"/>
    <cellStyle name="60 % - Akzent3" xfId="989" hidden="1" xr:uid="{E58826B5-126E-4E23-9CFD-0B4F70E2073A}"/>
    <cellStyle name="60 % - Akzent3" xfId="1463" hidden="1" xr:uid="{192AE991-1CE5-4F73-B68F-C6ECD6F540FD}"/>
    <cellStyle name="60 % - Akzent3" xfId="1198" hidden="1" xr:uid="{E3173634-2984-441F-83BE-ACCA71CCAC99}"/>
    <cellStyle name="60 % - Akzent3" xfId="1097" hidden="1" xr:uid="{590BFDAE-0D76-43FE-A39A-DE3E55B3DAC5}"/>
    <cellStyle name="60 % - Akzent3" xfId="1100" hidden="1" xr:uid="{95A42B6D-CE85-4509-B1ED-544976F5709D}"/>
    <cellStyle name="60 % - Akzent3 2" xfId="421" xr:uid="{05E43AA3-2F56-43B0-A8CE-60A5850D9DE1}"/>
    <cellStyle name="60 % - Akzent3 3" xfId="290" xr:uid="{A9C219BB-010D-42D3-A507-904AD1A3650E}"/>
    <cellStyle name="60 % - Akzent4" xfId="94" hidden="1" xr:uid="{F38AD95E-092A-4C7F-8ECC-E20F3EB531DE}"/>
    <cellStyle name="60 % - Akzent4" xfId="993" hidden="1" xr:uid="{93AFB5CD-3148-4BF4-9DA6-B21835476DBD}"/>
    <cellStyle name="60 % - Akzent4" xfId="1111" hidden="1" xr:uid="{27B8DF3E-BC85-4729-9A70-FA8093FD8F4E}"/>
    <cellStyle name="60 % - Akzent4" xfId="1250" hidden="1" xr:uid="{2529E816-5032-4329-B798-C24930085E4B}"/>
    <cellStyle name="60 % - Akzent4" xfId="1481" hidden="1" xr:uid="{F3E587E6-B7D8-4C39-97DB-B7922E7D024B}"/>
    <cellStyle name="60 % - Akzent4" xfId="967" hidden="1" xr:uid="{8F32B811-B0BF-4B3C-BCA4-A452E4E6BFDA}"/>
    <cellStyle name="60 % - Akzent4 2" xfId="422" xr:uid="{93874E5B-6ED9-42EE-9BD9-281A730B0C8F}"/>
    <cellStyle name="60 % - Akzent4 3" xfId="291" xr:uid="{3129B9EE-F4FD-4327-9E40-F288084B2D3A}"/>
    <cellStyle name="60 % - Akzent5" xfId="98" hidden="1" xr:uid="{629BA659-817A-4386-9C1C-9D8E762289D2}"/>
    <cellStyle name="60 % - Akzent5" xfId="997" hidden="1" xr:uid="{A7EA69A6-8F4A-4B0C-8D45-D1BA777E424D}"/>
    <cellStyle name="60 % - Akzent5" xfId="1421" hidden="1" xr:uid="{51D3B9DF-E7F8-4AE1-9BE3-B48BCA983093}"/>
    <cellStyle name="60 % - Akzent5" xfId="1128" hidden="1" xr:uid="{A67DDDA5-27ED-48E6-A0B4-BFC387FC4F01}"/>
    <cellStyle name="60 % - Akzent5" xfId="998" hidden="1" xr:uid="{251593B8-FE8D-42AF-BE0F-6625C7C7C4B2}"/>
    <cellStyle name="60 % - Akzent5" xfId="1361" hidden="1" xr:uid="{9A8BC23B-2F48-4232-B885-72E282043FD6}"/>
    <cellStyle name="60 % - Akzent5 2" xfId="423" xr:uid="{F6634AB6-2C21-4F33-B36B-0E2FF9851678}"/>
    <cellStyle name="60 % - Akzent5 3" xfId="292" xr:uid="{D393A69A-97C5-4484-8C96-129270EC4651}"/>
    <cellStyle name="60 % - Akzent6" xfId="101" hidden="1" xr:uid="{59EF7B71-5B97-4CA6-B1C6-9E373FD3AB7D}"/>
    <cellStyle name="60 % - Akzent6" xfId="1001" hidden="1" xr:uid="{C309DE0F-4994-4368-A070-FBE3BBB3D7D6}"/>
    <cellStyle name="60 % - Akzent6" xfId="1438" hidden="1" xr:uid="{F54C93EA-D95A-4CAA-96F3-9D50D432698C}"/>
    <cellStyle name="60 % - Akzent6" xfId="1089" hidden="1" xr:uid="{3A87A03A-51B9-460E-B516-52246C512B57}"/>
    <cellStyle name="60 % - Akzent6" xfId="1021" hidden="1" xr:uid="{B001B264-87E6-4156-AE31-7C69E30A645A}"/>
    <cellStyle name="60 % - Akzent6" xfId="1344" hidden="1" xr:uid="{C22E5BAC-E391-42CB-B223-F8670A6EF049}"/>
    <cellStyle name="60 % - Akzent6 2" xfId="424" xr:uid="{813946C3-4C31-48F0-97AA-EA32108C663C}"/>
    <cellStyle name="60 % - Akzent6 3" xfId="293" xr:uid="{C3086A51-1BB3-4889-9104-D38CF861C22D}"/>
    <cellStyle name="60% - Accent1 2" xfId="131" xr:uid="{4CE9C742-FF56-4341-BAAC-F4937558F933}"/>
    <cellStyle name="60% - Accent1 3" xfId="245" xr:uid="{EA75C631-6246-410F-A4FC-6CBF525C32E3}"/>
    <cellStyle name="60% - Accent2 2" xfId="132" xr:uid="{606CDA22-7EED-43CE-AB51-5326DFAAE008}"/>
    <cellStyle name="60% - Accent2 3" xfId="246" xr:uid="{D4F47A64-D756-4E4A-B42E-2CDE1795A473}"/>
    <cellStyle name="60% - Accent3 2" xfId="133" xr:uid="{317578C9-D4DA-402D-B1BA-6CCC7D79F974}"/>
    <cellStyle name="60% - Accent3 3" xfId="247" xr:uid="{BD5472CF-B599-47E6-BD7A-F57932F24244}"/>
    <cellStyle name="60% - Accent4 2" xfId="134" xr:uid="{8887A3C2-F8B8-42EB-B69A-E9FC68DDDCB3}"/>
    <cellStyle name="60% - Accent4 3" xfId="248" xr:uid="{7E576E6A-9493-4718-AB32-15ED7B985D9A}"/>
    <cellStyle name="60% - Accent5 2" xfId="135" xr:uid="{0D299495-0C12-4897-AA76-A957F6A5498F}"/>
    <cellStyle name="60% - Accent5 3" xfId="249" xr:uid="{755EE0CE-1B31-44C9-8450-FA19B57BE5A5}"/>
    <cellStyle name="60% - Accent6 2" xfId="136" xr:uid="{2F566CBD-04CB-4A7E-B74D-8821F0F880F6}"/>
    <cellStyle name="60% - Accent6 3" xfId="250" xr:uid="{BD766DBE-C6A0-409A-B3EE-36EFEB3007C2}"/>
    <cellStyle name="Accent1 2" xfId="137" xr:uid="{C3C61439-A1DA-4A6F-AA9B-830AEBB8AF4A}"/>
    <cellStyle name="Accent1 3" xfId="251" xr:uid="{029D4088-4884-42DC-8071-D37DC154BF5F}"/>
    <cellStyle name="Accent1 4" xfId="384" xr:uid="{BCAAD469-622E-4060-A73E-B777DCA3F4C4}"/>
    <cellStyle name="Accent2 2" xfId="138" xr:uid="{4ABEA6BC-6E67-4BB1-8737-2ECC37736EF5}"/>
    <cellStyle name="Accent2 3" xfId="252" xr:uid="{FD11C961-573D-4D52-8168-BBAA11349DAE}"/>
    <cellStyle name="Accent2 4" xfId="385" xr:uid="{14A92181-02C2-466F-9FF3-E788974504BB}"/>
    <cellStyle name="Accent3 2" xfId="139" xr:uid="{A33FB452-6FA6-4D1C-9A07-DDC9C07D08E1}"/>
    <cellStyle name="Accent3 3" xfId="253" xr:uid="{9ABC926C-9007-47DE-9626-1F45B4AA297C}"/>
    <cellStyle name="Accent3 4" xfId="386" xr:uid="{C8AE5C66-D614-445B-B98F-D66B8EC00A55}"/>
    <cellStyle name="Accent4 2" xfId="140" xr:uid="{5C7EEB6D-900B-4542-8D8E-82CDA2B8A5D9}"/>
    <cellStyle name="Accent4 3" xfId="254" xr:uid="{381507D1-6DD5-4C65-9601-6535ACD41093}"/>
    <cellStyle name="Accent4 4" xfId="387" xr:uid="{A3489DFE-6D57-40FA-9E00-CC18CD34327A}"/>
    <cellStyle name="Accent5 2" xfId="141" xr:uid="{9717D0D3-A65D-4008-A4EC-9278893452A0}"/>
    <cellStyle name="Accent5 3" xfId="255" xr:uid="{937F41EA-D8E8-4FF6-A2CF-3021660E0270}"/>
    <cellStyle name="Accent5 4" xfId="388" xr:uid="{28B3DB5F-DBA6-42E0-AAD2-059FB5834CEB}"/>
    <cellStyle name="Accent6 2" xfId="142" xr:uid="{5E70A6F2-531B-4D5D-BF49-90F2E95D1C0C}"/>
    <cellStyle name="Accent6 3" xfId="256" xr:uid="{FC25CFEA-62E9-48E8-A65F-2625ED18B212}"/>
    <cellStyle name="Accent6 4" xfId="389" xr:uid="{C40135AA-FDAE-48A3-A253-917C64A1796D}"/>
    <cellStyle name="AggblueBoldCels" xfId="143" xr:uid="{5A3DF743-ADD0-452D-8E9A-9C6006961B8E}"/>
    <cellStyle name="AggblueBoldCels 2" xfId="144" xr:uid="{191374FE-0B43-41B5-B3A2-05EAC364E911}"/>
    <cellStyle name="AggblueCels" xfId="55" xr:uid="{5DAEE6D7-CE3E-4991-B14C-BB838497653B}"/>
    <cellStyle name="AggblueCels 2" xfId="145" xr:uid="{3DFD2CC2-12D5-4923-927A-9C7908A341A7}"/>
    <cellStyle name="AggblueCels_1x" xfId="54" xr:uid="{1BF7B860-7EE8-4B1B-80A3-B92CF4417958}"/>
    <cellStyle name="AggBoldCells" xfId="27" xr:uid="{DDD0C2B4-7E73-44EC-BB91-59B451F0F9E7}"/>
    <cellStyle name="AggBoldCells 2" xfId="146" xr:uid="{02998A3C-C032-4EAB-A41E-E9681CBC36C9}"/>
    <cellStyle name="AggBoldCells 3" xfId="226" xr:uid="{525BC162-C42C-4107-817A-1D6C5D814C6B}"/>
    <cellStyle name="AggBoldCells 4" xfId="378" xr:uid="{5582B29B-AEE8-460C-9E9E-E147DD1D8F5C}"/>
    <cellStyle name="AggCels" xfId="30" xr:uid="{178A09F5-A30D-4048-8822-360EAAE62CA7}"/>
    <cellStyle name="AggCels 2" xfId="147" xr:uid="{10ADFBD9-6413-48FE-99C8-A9E095911AB5}"/>
    <cellStyle name="AggCels 3" xfId="227" xr:uid="{C027386D-A295-4AB3-B718-0BA7C401DE28}"/>
    <cellStyle name="AggCels 4" xfId="379" xr:uid="{A7FE75C0-3B96-482B-BB4C-352C1CFF8EEE}"/>
    <cellStyle name="AggCels_T(2)" xfId="28" xr:uid="{4F107CE3-B6FF-4DDF-9104-E686C194F889}"/>
    <cellStyle name="AggGreen" xfId="45" xr:uid="{B7375D7E-6B90-49A7-892E-8378320B7508}"/>
    <cellStyle name="AggGreen 2" xfId="148" xr:uid="{8CACBFE3-3111-4CBE-A061-904DDF695365}"/>
    <cellStyle name="AggGreen 2 2" xfId="437" xr:uid="{09D54AC6-3B34-45E3-9FD7-3CBF01368FA2}"/>
    <cellStyle name="AggGreen 2 2 2" xfId="614" xr:uid="{459A0160-5179-4011-9802-30341E3D9D92}"/>
    <cellStyle name="AggGreen 2 2 2 2" xfId="829" xr:uid="{905F47E3-D8EF-4D46-8998-92FFBF85116A}"/>
    <cellStyle name="AggGreen 2 2 2 2 2" xfId="1134" xr:uid="{DB4E0480-9842-4C02-AA7E-AAD5F3795B12}"/>
    <cellStyle name="AggGreen 2 2 2 2 3" xfId="1805" xr:uid="{EB8D60FE-2A9B-4AF6-88DF-D4EAE44EBDCC}"/>
    <cellStyle name="AggGreen 2 2 2 2 4" xfId="2176" xr:uid="{D7858307-65C0-453E-B178-7E21967A0FAC}"/>
    <cellStyle name="AggGreen 2 2 2 3" xfId="1390" xr:uid="{FDD42188-8EFD-45D7-BD4B-A0C83B91D548}"/>
    <cellStyle name="AggGreen 2 2 2 4" xfId="1598" xr:uid="{7D12496C-7360-420F-AE75-2F500BF1AC3B}"/>
    <cellStyle name="AggGreen 2 2 2 5" xfId="1970" xr:uid="{4CDF260A-712D-443B-834C-DFBE6065E010}"/>
    <cellStyle name="AggGreen 2 2 3" xfId="744" xr:uid="{8DCD6113-E13E-4A3E-940C-05D69BB5089F}"/>
    <cellStyle name="AggGreen 2 2 3 2" xfId="1212" xr:uid="{896FEE7E-41F9-4E49-8BB9-8880B89AE508}"/>
    <cellStyle name="AggGreen 2 2 3 3" xfId="1720" xr:uid="{BCAB08FD-A420-457F-8AC5-230ECC0499DA}"/>
    <cellStyle name="AggGreen 2 2 3 4" xfId="2091" xr:uid="{05457BE3-0F75-4E47-BA0C-D22978D3B595}"/>
    <cellStyle name="AggGreen 2 3" xfId="295" xr:uid="{4E91D060-B23F-4A67-AAD9-4684CD8B52F5}"/>
    <cellStyle name="AggGreen 2 3 2" xfId="634" xr:uid="{5AB075B4-7CDD-4A16-A5C6-632D3FBC9836}"/>
    <cellStyle name="AggGreen 2 3 2 2" xfId="849" xr:uid="{8B682A41-D619-4018-B60C-9F3975FD4E57}"/>
    <cellStyle name="AggGreen 2 3 2 2 2" xfId="1296" xr:uid="{947C40CF-834B-4A5A-9550-4ED7908DA8EF}"/>
    <cellStyle name="AggGreen 2 3 2 2 3" xfId="1825" xr:uid="{A42B3B5B-4BB0-441F-AF60-4DB5D4D87603}"/>
    <cellStyle name="AggGreen 2 3 2 2 4" xfId="2196" xr:uid="{E6936F84-3237-4DE4-B9BD-7126DED258EE}"/>
    <cellStyle name="AggGreen 2 3 2 3" xfId="945" xr:uid="{CED3D208-6AB2-478B-B8E7-BC106A7ED900}"/>
    <cellStyle name="AggGreen 2 3 2 4" xfId="1618" xr:uid="{E42F7407-D39B-461A-86CD-8F42837B85CA}"/>
    <cellStyle name="AggGreen 2 3 2 5" xfId="1990" xr:uid="{259CC3E6-6922-45DD-8DBC-4858C931F574}"/>
    <cellStyle name="AggGreen 2 3 3" xfId="703" xr:uid="{87CBE2DA-FCA6-4869-9090-F597553A3B98}"/>
    <cellStyle name="AggGreen 2 3 3 2" xfId="918" xr:uid="{0B1291FF-0BDA-4360-A92D-1A6BA1F497C3}"/>
    <cellStyle name="AggGreen 2 3 3 2 2" xfId="1510" xr:uid="{8A067207-A487-4EF4-A2C3-E55B4C09CCE6}"/>
    <cellStyle name="AggGreen 2 3 3 2 3" xfId="1894" xr:uid="{9A98BB19-68F7-44C9-9407-723F858196FB}"/>
    <cellStyle name="AggGreen 2 3 3 2 4" xfId="2265" xr:uid="{1201B664-B274-44BB-8C52-28422053C463}"/>
    <cellStyle name="AggGreen 2 3 3 3" xfId="1386" xr:uid="{49D8CC8F-56E4-48F0-A39D-68AC2AEDD6F8}"/>
    <cellStyle name="AggGreen 2 3 3 4" xfId="1687" xr:uid="{D5CDDE4E-E2FF-4E77-9D20-0F0E98A49616}"/>
    <cellStyle name="AggGreen 2 3 3 5" xfId="2059" xr:uid="{D06946CC-3B29-4FB1-9D7A-9025BC9CC95A}"/>
    <cellStyle name="AggGreen 2 3 4" xfId="699" xr:uid="{5F020E2D-AFDA-4FA5-93CD-4B8431AA0E96}"/>
    <cellStyle name="AggGreen 2 3 4 2" xfId="914" xr:uid="{A4876584-136A-411C-8D6A-815B7C69167E}"/>
    <cellStyle name="AggGreen 2 3 4 2 2" xfId="1506" xr:uid="{92B23C64-1814-4E8B-80AA-4194BE3A9C37}"/>
    <cellStyle name="AggGreen 2 3 4 2 3" xfId="1890" xr:uid="{DEB53262-67C7-4C16-B304-138CE4E3F654}"/>
    <cellStyle name="AggGreen 2 3 4 2 4" xfId="2261" xr:uid="{B667C487-B42C-4ABA-9ACD-17602C1E43D1}"/>
    <cellStyle name="AggGreen 2 3 4 3" xfId="1031" xr:uid="{C4185E1F-00DA-412C-A1A3-D3F3F63E4A0C}"/>
    <cellStyle name="AggGreen 2 3 4 4" xfId="1683" xr:uid="{79B8BD97-6914-4166-B271-29A2F5DA500C}"/>
    <cellStyle name="AggGreen 2 3 4 5" xfId="2055" xr:uid="{3AEFE5FA-35DB-48CB-9AB2-1EF891ED6D93}"/>
    <cellStyle name="AggGreen 2 3 5" xfId="957" xr:uid="{6B4A340F-6F02-4784-8D9A-48C1CC7164F9}"/>
    <cellStyle name="AggGreen 2 3 6" xfId="1195" xr:uid="{AE2C06A9-6646-4FA8-B35A-5C611B82211E}"/>
    <cellStyle name="AggGreen 2 3 7" xfId="1061" xr:uid="{3D203BC6-3E11-4187-957C-154C33D46754}"/>
    <cellStyle name="AggGreen 3" xfId="436" xr:uid="{C53C0277-1D2C-44F0-9770-B5DDBDC1ACCB}"/>
    <cellStyle name="AggGreen 3 2" xfId="563" xr:uid="{EE883938-2853-4EAF-9D3F-EC6BFDE53A55}"/>
    <cellStyle name="AggGreen 3 2 2" xfId="778" xr:uid="{79595B6C-D92E-4DCA-9242-43936C17868A}"/>
    <cellStyle name="AggGreen 3 2 2 2" xfId="1062" xr:uid="{D4B8CCFF-C4E0-4CB3-B4C9-8A331A3BFE0C}"/>
    <cellStyle name="AggGreen 3 2 2 3" xfId="1754" xr:uid="{187AF051-17A6-420A-A81C-2169BDD6F5C3}"/>
    <cellStyle name="AggGreen 3 2 2 4" xfId="2125" xr:uid="{85E4DC6A-AEC9-4C06-B9E1-B31374151C69}"/>
    <cellStyle name="AggGreen 3 2 3" xfId="1325" xr:uid="{73544E2A-E8D5-44AB-A335-8B80A0EE045C}"/>
    <cellStyle name="AggGreen 3 2 4" xfId="1547" xr:uid="{EBBE47FC-ADAC-4A18-843E-35F887FF7CD1}"/>
    <cellStyle name="AggGreen 3 2 5" xfId="1919" xr:uid="{57D9077F-936B-4CDF-B975-6564146DC5F0}"/>
    <cellStyle name="AggGreen 3 3" xfId="743" xr:uid="{0580BE26-00C9-4EF8-9492-24AB531D495C}"/>
    <cellStyle name="AggGreen 3 3 2" xfId="1439" xr:uid="{DE97CF3A-D931-46B8-802E-488A7D6EB594}"/>
    <cellStyle name="AggGreen 3 3 3" xfId="1719" xr:uid="{7251034F-162E-40B0-8B11-F4290F3C1766}"/>
    <cellStyle name="AggGreen 3 3 4" xfId="2090" xr:uid="{A832017A-63AF-4289-98F9-18122B1F3CE9}"/>
    <cellStyle name="AggGreen 4" xfId="294" xr:uid="{D1B42CD1-8F9D-4CE6-81CB-6DFD95CCAC8F}"/>
    <cellStyle name="AggGreen 4 2" xfId="633" xr:uid="{8D2FB9DA-8E16-4791-99EA-EF965E8BF20E}"/>
    <cellStyle name="AggGreen 4 2 2" xfId="848" xr:uid="{2CCF3942-C073-4505-ABED-8158986B73F1}"/>
    <cellStyle name="AggGreen 4 2 2 2" xfId="1263" xr:uid="{63A7C850-6176-46BC-B6E0-B424070294E7}"/>
    <cellStyle name="AggGreen 4 2 2 3" xfId="1824" xr:uid="{5B879C71-3A96-4FE5-84DE-3DE5789E0271}"/>
    <cellStyle name="AggGreen 4 2 2 4" xfId="2195" xr:uid="{DA54C77F-1E2B-49BA-95B0-10EA4DF32639}"/>
    <cellStyle name="AggGreen 4 2 3" xfId="1335" xr:uid="{4D0F59C0-7637-43FC-9DD8-3695E073A47D}"/>
    <cellStyle name="AggGreen 4 2 4" xfId="1617" xr:uid="{8D5F60CB-F0CA-41E7-A5DA-F4038A8E8654}"/>
    <cellStyle name="AggGreen 4 2 5" xfId="1989" xr:uid="{B1D2D530-4597-47E4-8D74-48BC99B3994B}"/>
    <cellStyle name="AggGreen 4 3" xfId="548" xr:uid="{F7EE20FB-FE8C-4796-AB34-2E1BCBEFDBFE}"/>
    <cellStyle name="AggGreen 4 3 2" xfId="763" xr:uid="{F8AEDF46-D37A-416D-8C71-2A824409F159}"/>
    <cellStyle name="AggGreen 4 3 2 2" xfId="1382" xr:uid="{7BBFC809-43DE-4DBF-9C34-22E01ADFFE51}"/>
    <cellStyle name="AggGreen 4 3 2 3" xfId="1739" xr:uid="{CAFBAD66-263C-4255-9940-89E08AB6197D}"/>
    <cellStyle name="AggGreen 4 3 2 4" xfId="2110" xr:uid="{CA3A6AE5-5844-4800-AD41-4C115552BBA4}"/>
    <cellStyle name="AggGreen 4 3 3" xfId="1353" xr:uid="{F9D85863-D676-4B76-BEDE-CB20DC31878A}"/>
    <cellStyle name="AggGreen 4 3 4" xfId="1532" xr:uid="{AED15140-AA86-49B1-9075-ECB83108EAC7}"/>
    <cellStyle name="AggGreen 4 3 5" xfId="1904" xr:uid="{E9498D11-6581-4A79-B927-75EFB7594C38}"/>
    <cellStyle name="AggGreen 4 4" xfId="666" xr:uid="{95FDDB32-97C1-4C0B-9E76-192A66016394}"/>
    <cellStyle name="AggGreen 4 4 2" xfId="881" xr:uid="{9E9CA4AB-E026-4F9F-8A67-81B2A1E7C4A8}"/>
    <cellStyle name="AggGreen 4 4 2 2" xfId="1264" xr:uid="{D05F2D99-5AFA-41AC-8247-05C4FB4BD4BA}"/>
    <cellStyle name="AggGreen 4 4 2 3" xfId="1857" xr:uid="{5B612A11-51E5-4453-8AF8-1AA57E161C83}"/>
    <cellStyle name="AggGreen 4 4 2 4" xfId="2228" xr:uid="{43DB0448-E3FB-44D9-9660-A06A8E651DB8}"/>
    <cellStyle name="AggGreen 4 4 3" xfId="1088" xr:uid="{08AFA6BB-4BD1-47BC-8A8E-EAC30F08A434}"/>
    <cellStyle name="AggGreen 4 4 4" xfId="1650" xr:uid="{EFA80DF6-1CE0-4833-8947-8F372962330C}"/>
    <cellStyle name="AggGreen 4 4 5" xfId="2022" xr:uid="{131D04F0-7540-4832-A09B-D3A539AE1EB1}"/>
    <cellStyle name="AggGreen 4 5" xfId="1040" xr:uid="{7CAADC22-8A21-4BA6-9B4A-5513E0B1D937}"/>
    <cellStyle name="AggGreen 4 6" xfId="1480" xr:uid="{B0634E9A-7F26-4755-865B-D5DB0F948CAA}"/>
    <cellStyle name="AggGreen 4 7" xfId="1528" xr:uid="{CB0D2F2E-EC7E-44A6-B5DC-215C46F44120}"/>
    <cellStyle name="AggGreen 5" xfId="110" xr:uid="{D81ED735-F246-40E6-B346-9820CC2C4E57}"/>
    <cellStyle name="AggGreen_Bbdr" xfId="46" xr:uid="{C205EEFC-6B93-4E2B-A923-D6480C7527F3}"/>
    <cellStyle name="AggGreen12" xfId="43" xr:uid="{155C0F09-8BAA-4F8C-A3D6-F0021F94245D}"/>
    <cellStyle name="AggGreen12 2" xfId="149" xr:uid="{126D9A59-7ACE-47D2-940E-17FDBB39EE35}"/>
    <cellStyle name="AggGreen12 2 2" xfId="439" xr:uid="{E2773522-3ACD-458E-8994-D9E7AA77CD6E}"/>
    <cellStyle name="AggGreen12 2 2 2" xfId="632" xr:uid="{8944F871-C464-4137-BA86-2CB9A100B0B3}"/>
    <cellStyle name="AggGreen12 2 2 2 2" xfId="847" xr:uid="{51ADA974-8388-414B-8278-B1AA128D2D95}"/>
    <cellStyle name="AggGreen12 2 2 2 2 2" xfId="1068" xr:uid="{46C3539D-3182-4AC9-B7CE-3C6246282ED0}"/>
    <cellStyle name="AggGreen12 2 2 2 2 3" xfId="1823" xr:uid="{8D76C410-8912-4401-BF5C-E776B247CBF7}"/>
    <cellStyle name="AggGreen12 2 2 2 2 4" xfId="2194" xr:uid="{B417B64F-CC94-4C7F-BB7A-2033EFF97D38}"/>
    <cellStyle name="AggGreen12 2 2 2 3" xfId="1302" xr:uid="{689E0A07-BCBF-4AC3-9847-CCEC1B4E11D2}"/>
    <cellStyle name="AggGreen12 2 2 2 4" xfId="1616" xr:uid="{FA208A6A-2FB3-43A6-8D0F-D962EE52C4AC}"/>
    <cellStyle name="AggGreen12 2 2 2 5" xfId="1988" xr:uid="{44789AED-DE6A-4EA4-A9ED-4F0C76B4FD28}"/>
    <cellStyle name="AggGreen12 2 2 3" xfId="746" xr:uid="{3075755F-3615-4F61-9A94-C2439A1B6789}"/>
    <cellStyle name="AggGreen12 2 2 3 2" xfId="1087" xr:uid="{DCB8C609-9194-4F11-A27B-49C394DABD59}"/>
    <cellStyle name="AggGreen12 2 2 3 3" xfId="1722" xr:uid="{E954EB94-ABD5-4F07-B900-21D5869AD62F}"/>
    <cellStyle name="AggGreen12 2 2 3 4" xfId="2093" xr:uid="{BA65A48F-4BCD-454F-B0B4-704583FEB13C}"/>
    <cellStyle name="AggGreen12 2 3" xfId="297" xr:uid="{CA5007A0-4453-4139-80B8-A29B816B0FC9}"/>
    <cellStyle name="AggGreen12 2 3 2" xfId="636" xr:uid="{F7D15BB4-2DB1-452F-820F-ABC70AE61D5E}"/>
    <cellStyle name="AggGreen12 2 3 2 2" xfId="851" xr:uid="{977B76F3-E729-4AFB-B13F-C7DD1ADAF71B}"/>
    <cellStyle name="AggGreen12 2 3 2 2 2" xfId="1045" xr:uid="{5276AB88-0069-458A-9D8E-8705F47D6989}"/>
    <cellStyle name="AggGreen12 2 3 2 2 3" xfId="1827" xr:uid="{FEFAFA74-5BD6-4C16-AD64-8E738BD0BA35}"/>
    <cellStyle name="AggGreen12 2 3 2 2 4" xfId="2198" xr:uid="{097A770B-D2DE-4865-B37C-5E714BC380B8}"/>
    <cellStyle name="AggGreen12 2 3 2 3" xfId="1345" xr:uid="{63DBE412-0F2E-4420-A3C8-5E4ECE20AE79}"/>
    <cellStyle name="AggGreen12 2 3 2 4" xfId="1620" xr:uid="{479F5A86-D2A6-4B92-84EF-167A0050BC01}"/>
    <cellStyle name="AggGreen12 2 3 2 5" xfId="1992" xr:uid="{554AC5DE-4865-4844-83A2-A761CE8AFF83}"/>
    <cellStyle name="AggGreen12 2 3 3" xfId="585" xr:uid="{5627C56D-7F43-4E35-901B-493EB27E628F}"/>
    <cellStyle name="AggGreen12 2 3 3 2" xfId="800" xr:uid="{FDD0961F-B62E-4935-912C-1AB55C44CEC5}"/>
    <cellStyle name="AggGreen12 2 3 3 2 2" xfId="1251" xr:uid="{1BE2A7F5-E978-4AD5-B8E0-ADCCF933CF36}"/>
    <cellStyle name="AggGreen12 2 3 3 2 3" xfId="1776" xr:uid="{8CBF1465-0FDB-4F90-8DD4-26C048EB78B2}"/>
    <cellStyle name="AggGreen12 2 3 3 2 4" xfId="2147" xr:uid="{3387083D-43DE-4CA0-BB7F-115CDE698798}"/>
    <cellStyle name="AggGreen12 2 3 3 3" xfId="1030" xr:uid="{2794E91F-619A-4A14-AB2E-60708554CC43}"/>
    <cellStyle name="AggGreen12 2 3 3 4" xfId="1569" xr:uid="{0E3A2FCA-54CD-46AB-8016-4616ED1F9C32}"/>
    <cellStyle name="AggGreen12 2 3 3 5" xfId="1941" xr:uid="{607C5142-1B74-42E3-A91C-A2B9476EC725}"/>
    <cellStyle name="AggGreen12 2 3 4" xfId="665" xr:uid="{7724421F-10B8-4A03-B42F-86FD20B19441}"/>
    <cellStyle name="AggGreen12 2 3 4 2" xfId="880" xr:uid="{E0EFD496-A572-4F69-ABF9-4D2FDC467F17}"/>
    <cellStyle name="AggGreen12 2 3 4 2 2" xfId="1403" xr:uid="{59870BDE-C8B1-484A-BB59-BDBCA3D6436F}"/>
    <cellStyle name="AggGreen12 2 3 4 2 3" xfId="1856" xr:uid="{1BD43455-123E-4CA1-BF68-3675C2991A4B}"/>
    <cellStyle name="AggGreen12 2 3 4 2 4" xfId="2227" xr:uid="{ACD18955-1EDE-428F-A5D5-19FAE41131A3}"/>
    <cellStyle name="AggGreen12 2 3 4 3" xfId="1385" xr:uid="{945941CC-A34D-45BC-965B-496B7F9BBF18}"/>
    <cellStyle name="AggGreen12 2 3 4 4" xfId="1649" xr:uid="{28F3562E-A9A6-42E4-B326-88A6EC9E2B4A}"/>
    <cellStyle name="AggGreen12 2 3 4 5" xfId="2021" xr:uid="{B31A7BE7-8457-4D57-98C8-7E5D57AC2651}"/>
    <cellStyle name="AggGreen12 2 3 5" xfId="1311" xr:uid="{6A88F10F-8FA3-445F-84B6-59999D7035B9}"/>
    <cellStyle name="AggGreen12 2 3 6" xfId="1238" xr:uid="{83121CB9-40E8-498B-AD11-576785CC9B0A}"/>
    <cellStyle name="AggGreen12 2 3 7" xfId="1711" xr:uid="{8F290A18-DBD7-422F-88E8-D90735A7378C}"/>
    <cellStyle name="AggGreen12 3" xfId="438" xr:uid="{9EB4C05A-35CD-4370-8B92-5FC911DF6525}"/>
    <cellStyle name="AggGreen12 3 2" xfId="562" xr:uid="{0AE12670-57A6-4E66-A32A-D5B654BA38DA}"/>
    <cellStyle name="AggGreen12 3 2 2" xfId="777" xr:uid="{EF73739C-0F26-4FB1-8C76-2AEB50338152}"/>
    <cellStyle name="AggGreen12 3 2 2 2" xfId="1299" xr:uid="{661CA322-AF82-4370-B984-49D4EE88BDD0}"/>
    <cellStyle name="AggGreen12 3 2 2 3" xfId="1753" xr:uid="{5B2CCA6A-BD42-49AA-B71D-DE3727914752}"/>
    <cellStyle name="AggGreen12 3 2 2 4" xfId="2124" xr:uid="{AE552D04-549A-417B-AF78-96BC6A2BB94F}"/>
    <cellStyle name="AggGreen12 3 2 3" xfId="1484" xr:uid="{D0864309-D604-484C-A345-981E55DA4847}"/>
    <cellStyle name="AggGreen12 3 2 4" xfId="1546" xr:uid="{DA8425EB-7393-4F4E-9227-3B0F66622AA1}"/>
    <cellStyle name="AggGreen12 3 2 5" xfId="1918" xr:uid="{C4267EFE-BC04-42A8-B3E6-BF2420B1B6D8}"/>
    <cellStyle name="AggGreen12 3 3" xfId="745" xr:uid="{3D95877E-BD79-44DB-897A-CB2DEB3A43F2}"/>
    <cellStyle name="AggGreen12 3 3 2" xfId="1312" xr:uid="{56F57BF2-4B0A-4EC3-97D4-D3AEBFEAC634}"/>
    <cellStyle name="AggGreen12 3 3 3" xfId="1721" xr:uid="{E8A8FEAA-7C8E-4FA8-BDB7-BA3634075365}"/>
    <cellStyle name="AggGreen12 3 3 4" xfId="2092" xr:uid="{0C6DAA4A-6869-4F9A-BBD8-185F56A56962}"/>
    <cellStyle name="AggGreen12 4" xfId="296" xr:uid="{39EBB71E-5A9A-4A1E-86A8-B01218257DDB}"/>
    <cellStyle name="AggGreen12 4 2" xfId="635" xr:uid="{A113AEE4-DD3E-4826-B176-9FEC040A6431}"/>
    <cellStyle name="AggGreen12 4 2 2" xfId="850" xr:uid="{7A59778D-0F86-4FF8-893A-BC3173645430}"/>
    <cellStyle name="AggGreen12 4 2 2 2" xfId="1060" xr:uid="{9C849FAB-01A7-4062-85A4-7E75B65F31D5}"/>
    <cellStyle name="AggGreen12 4 2 2 3" xfId="1826" xr:uid="{55FC50A2-1ED2-4121-9CC4-C5CD61015061}"/>
    <cellStyle name="AggGreen12 4 2 2 4" xfId="2197" xr:uid="{34F8E36A-9FC0-4C97-9790-45208860D165}"/>
    <cellStyle name="AggGreen12 4 2 3" xfId="1417" xr:uid="{BE4777E9-D841-42D2-BF90-6468E5CB7BA0}"/>
    <cellStyle name="AggGreen12 4 2 4" xfId="1619" xr:uid="{35FEBAD8-896C-4731-94DE-DEDD31C8D20D}"/>
    <cellStyle name="AggGreen12 4 2 5" xfId="1991" xr:uid="{08744956-668C-49C4-9F10-14199F26F62A}"/>
    <cellStyle name="AggGreen12 4 3" xfId="687" xr:uid="{216C3024-F529-4283-BAF5-FD5629FC7FE8}"/>
    <cellStyle name="AggGreen12 4 3 2" xfId="902" xr:uid="{F77EB706-C797-4D2C-BDCF-27C4E8466194}"/>
    <cellStyle name="AggGreen12 4 3 2 2" xfId="1397" xr:uid="{2DD37E5F-A1D7-48EA-BC33-C2AB03ADAE2D}"/>
    <cellStyle name="AggGreen12 4 3 2 3" xfId="1878" xr:uid="{2FB53B3D-69FD-444E-9EE6-EC9A66BF759E}"/>
    <cellStyle name="AggGreen12 4 3 2 4" xfId="2249" xr:uid="{D1995E61-9136-48EF-AE98-E2DC272E7324}"/>
    <cellStyle name="AggGreen12 4 3 3" xfId="1193" xr:uid="{9EACF181-606C-40F7-9B0F-DEEF4177BD0B}"/>
    <cellStyle name="AggGreen12 4 3 4" xfId="1671" xr:uid="{E3ABF04E-AC45-4F35-BE6D-78044AD7A67A}"/>
    <cellStyle name="AggGreen12 4 3 5" xfId="2043" xr:uid="{6188196B-3C94-4C3C-8402-518BD6193BC4}"/>
    <cellStyle name="AggGreen12 4 4" xfId="698" xr:uid="{EDE79AC6-9FE3-4046-9E51-9A3766421FDB}"/>
    <cellStyle name="AggGreen12 4 4 2" xfId="913" xr:uid="{5699A08E-47B7-400B-A194-C3B451852AC3}"/>
    <cellStyle name="AggGreen12 4 4 2 2" xfId="1505" xr:uid="{DA94E4C1-5196-4A6B-B30E-7C73D0FF446D}"/>
    <cellStyle name="AggGreen12 4 4 2 3" xfId="1889" xr:uid="{2EAA1AD4-6336-47B7-8867-C54D93910614}"/>
    <cellStyle name="AggGreen12 4 4 2 4" xfId="2260" xr:uid="{71B4DAA8-9C5C-4F71-88E6-259993D3659F}"/>
    <cellStyle name="AggGreen12 4 4 3" xfId="1116" xr:uid="{7A921113-5F49-4CFF-B156-38C08FF7FFEE}"/>
    <cellStyle name="AggGreen12 4 4 4" xfId="1682" xr:uid="{3BCCF765-A365-4BE4-BACD-129B4E6FE4F9}"/>
    <cellStyle name="AggGreen12 4 4 5" xfId="2054" xr:uid="{6E28A342-317B-4185-ADDE-F15BF2BA206C}"/>
    <cellStyle name="AggGreen12 4 5" xfId="951" xr:uid="{E80FADE7-86E8-4FEE-8BB3-0ED8D8A9DD61}"/>
    <cellStyle name="AggGreen12 4 6" xfId="968" xr:uid="{556ADF92-B0A9-47B8-8018-6E49780B1301}"/>
    <cellStyle name="AggGreen12 4 7" xfId="1141" xr:uid="{D851084F-8665-4C87-80BA-9587D1272BD0}"/>
    <cellStyle name="AggGreen12 5" xfId="108" xr:uid="{5BB45D88-4CC5-460A-9B0E-03B2CCBE9569}"/>
    <cellStyle name="AggOrange" xfId="38" xr:uid="{4FCC05BB-B43D-4994-8795-E27CD7600401}"/>
    <cellStyle name="AggOrange 2" xfId="150" xr:uid="{E05277FF-0EB4-40E6-8C12-BBEEDCAF4D82}"/>
    <cellStyle name="AggOrange 2 2" xfId="441" xr:uid="{F155EA7D-0687-43C7-8E98-8D2F4156818A}"/>
    <cellStyle name="AggOrange 2 2 2" xfId="561" xr:uid="{527E5DC6-FB3A-4C0E-A47B-3CF878A5A6DE}"/>
    <cellStyle name="AggOrange 2 2 2 2" xfId="776" xr:uid="{7B96CB33-054B-493D-AAC1-168EC7B8C01D}"/>
    <cellStyle name="AggOrange 2 2 2 2 2" xfId="1072" xr:uid="{DB6B07F4-6E02-4028-B4A4-6825B392D715}"/>
    <cellStyle name="AggOrange 2 2 2 2 3" xfId="1752" xr:uid="{EA77BC1E-2778-4595-94CB-35290D1A82B3}"/>
    <cellStyle name="AggOrange 2 2 2 2 4" xfId="2123" xr:uid="{AF85E7E1-D218-4604-82F8-04E5BE451304}"/>
    <cellStyle name="AggOrange 2 2 2 3" xfId="1131" xr:uid="{4B5CB4FF-408C-47CE-98FC-92B97D16C2C6}"/>
    <cellStyle name="AggOrange 2 2 2 4" xfId="1545" xr:uid="{3F53207B-CE31-4C91-BF19-571E9CCD6399}"/>
    <cellStyle name="AggOrange 2 2 2 5" xfId="1917" xr:uid="{BDD23D61-30CB-4642-A2AD-5F8B49267717}"/>
    <cellStyle name="AggOrange 2 2 3" xfId="748" xr:uid="{5FBDBE9F-9BF3-4436-A492-120E4D4CB639}"/>
    <cellStyle name="AggOrange 2 2 3 2" xfId="1243" xr:uid="{182F8744-FE53-4201-9ADD-8C7F4E4512DA}"/>
    <cellStyle name="AggOrange 2 2 3 3" xfId="1724" xr:uid="{2B3C3A93-35E0-42F1-AABF-5823DE19172B}"/>
    <cellStyle name="AggOrange 2 2 3 4" xfId="2095" xr:uid="{96C6243B-E9F3-462F-B86F-46243E12ECD2}"/>
    <cellStyle name="AggOrange 2 3" xfId="299" xr:uid="{56C4110D-8E8F-48BE-B20F-9C092080D90C}"/>
    <cellStyle name="AggOrange 2 3 2" xfId="638" xr:uid="{B1F9B587-C656-4EFE-8531-5D20EB721B8F}"/>
    <cellStyle name="AggOrange 2 3 2 2" xfId="853" xr:uid="{9236379D-4F94-4E68-AA10-6F6A69B144EB}"/>
    <cellStyle name="AggOrange 2 3 2 2 2" xfId="1104" xr:uid="{7B402EF2-EB2B-46A9-B749-B5F0F4D727EC}"/>
    <cellStyle name="AggOrange 2 3 2 2 3" xfId="1829" xr:uid="{BDF7BCF9-F7E2-4B05-B64C-83124028A3A1}"/>
    <cellStyle name="AggOrange 2 3 2 2 4" xfId="2200" xr:uid="{67A2F98F-3630-4280-9234-9693F3B8173C}"/>
    <cellStyle name="AggOrange 2 3 2 3" xfId="1035" xr:uid="{A7B9F4F0-D7DA-41A2-A852-AA541B06770D}"/>
    <cellStyle name="AggOrange 2 3 2 4" xfId="1622" xr:uid="{9641775E-28AF-4BD4-9D97-9B6BC77810DD}"/>
    <cellStyle name="AggOrange 2 3 2 5" xfId="1994" xr:uid="{3AEBB90F-6877-4A3C-935D-4CE4BD3720D8}"/>
    <cellStyle name="AggOrange 2 3 3" xfId="545" xr:uid="{9106CC7E-9B3F-4153-995A-B24E742AB4AC}"/>
    <cellStyle name="AggOrange 2 3 3 2" xfId="760" xr:uid="{467EBD60-8628-4C9B-AD88-67FE1CA1EB0E}"/>
    <cellStyle name="AggOrange 2 3 3 2 2" xfId="1399" xr:uid="{7C81ED11-E63C-4EEA-8F20-5AA6C9DF3496}"/>
    <cellStyle name="AggOrange 2 3 3 2 3" xfId="1736" xr:uid="{95389624-1D7B-4CAF-BE2F-73A7A7AEB44A}"/>
    <cellStyle name="AggOrange 2 3 3 2 4" xfId="2107" xr:uid="{D1914573-70FD-4826-B08D-7C541CC62F88}"/>
    <cellStyle name="AggOrange 2 3 3 3" xfId="1126" xr:uid="{9D003C1C-F62C-4736-A9BD-5D160641F65D}"/>
    <cellStyle name="AggOrange 2 3 3 4" xfId="1529" xr:uid="{951F25C8-BBB6-4EAB-9E86-F9FC6B2BAD1A}"/>
    <cellStyle name="AggOrange 2 3 3 5" xfId="1901" xr:uid="{1DD2891D-6A5A-4946-A477-3244D750083C}"/>
    <cellStyle name="AggOrange 2 3 4" xfId="560" xr:uid="{4A24122B-20B9-49FA-ACB7-9AC701070A58}"/>
    <cellStyle name="AggOrange 2 3 4 2" xfId="775" xr:uid="{4485AB6D-507C-443A-A4D4-41411E76F28E}"/>
    <cellStyle name="AggOrange 2 3 4 2 2" xfId="1270" xr:uid="{E6FD6A0E-E011-4030-8581-E98DD4D19B48}"/>
    <cellStyle name="AggOrange 2 3 4 2 3" xfId="1751" xr:uid="{493A8F11-EBF8-4FF7-AE54-2D84D4B0F39E}"/>
    <cellStyle name="AggOrange 2 3 4 2 4" xfId="2122" xr:uid="{916A54BD-BCE8-4D83-9F2C-1A031B83F2CD}"/>
    <cellStyle name="AggOrange 2 3 4 3" xfId="1493" xr:uid="{12084443-05DF-4AF3-89CA-4A08D8911EFD}"/>
    <cellStyle name="AggOrange 2 3 4 4" xfId="1544" xr:uid="{A46BFF8B-C1E7-41D1-BEB8-8A5A37B4CF22}"/>
    <cellStyle name="AggOrange 2 3 4 5" xfId="1916" xr:uid="{ED1645BF-5E97-4738-80EE-6EA4391A48EC}"/>
    <cellStyle name="AggOrange 2 3 5" xfId="1108" xr:uid="{26C64B65-76B3-4900-8E56-794B91BCD9A6}"/>
    <cellStyle name="AggOrange 2 3 6" xfId="1446" xr:uid="{C96AD43B-D21A-4FB0-8DA4-3982DFD2B47A}"/>
    <cellStyle name="AggOrange 2 3 7" xfId="1381" xr:uid="{C4B9266F-A186-4148-85AE-6094648D43DA}"/>
    <cellStyle name="AggOrange 3" xfId="440" xr:uid="{FE7A566E-9744-420B-8BE9-625B830DA360}"/>
    <cellStyle name="AggOrange 3 2" xfId="680" xr:uid="{C6D7A7C2-4B7D-4946-8DD1-67B6395277EB}"/>
    <cellStyle name="AggOrange 3 2 2" xfId="895" xr:uid="{BDC57467-9D9F-49D9-993E-6B7ADFF174D6}"/>
    <cellStyle name="AggOrange 3 2 2 2" xfId="1247" xr:uid="{E288DF2C-CCF1-462F-B5F6-C4707F38E3CE}"/>
    <cellStyle name="AggOrange 3 2 2 3" xfId="1871" xr:uid="{85042139-009C-4199-B726-6CB50E63B1D7}"/>
    <cellStyle name="AggOrange 3 2 2 4" xfId="2242" xr:uid="{F0676322-33BD-4D56-AB7B-C004E607E19D}"/>
    <cellStyle name="AggOrange 3 2 3" xfId="1284" xr:uid="{79F13C6D-D280-4F9B-BB5E-F79253913563}"/>
    <cellStyle name="AggOrange 3 2 4" xfId="1664" xr:uid="{9E337426-43D4-44C8-BC88-5D377C4D709E}"/>
    <cellStyle name="AggOrange 3 2 5" xfId="2036" xr:uid="{2B946CB6-6FD8-41C4-9515-77C4BD68E3BE}"/>
    <cellStyle name="AggOrange 3 3" xfId="747" xr:uid="{5DD8E925-3811-4804-BE7D-AD53CEB07977}"/>
    <cellStyle name="AggOrange 3 3 2" xfId="1033" xr:uid="{CB329C0D-423B-4F9E-A278-1F8438D76884}"/>
    <cellStyle name="AggOrange 3 3 3" xfId="1723" xr:uid="{0AB92725-A1E1-45EC-A75D-892EBDFAB541}"/>
    <cellStyle name="AggOrange 3 3 4" xfId="2094" xr:uid="{3FAF46AC-E408-411A-8C04-1B0052A2601C}"/>
    <cellStyle name="AggOrange 4" xfId="298" xr:uid="{9264F6DF-AD34-4310-A150-45554B5DA23A}"/>
    <cellStyle name="AggOrange 4 2" xfId="637" xr:uid="{92B40C69-80C7-489B-8C9E-06013E0B971D}"/>
    <cellStyle name="AggOrange 4 2 2" xfId="852" xr:uid="{75DCF04E-35AC-4D47-84F8-C00FF2241CB6}"/>
    <cellStyle name="AggOrange 4 2 2 2" xfId="1224" xr:uid="{C669EDC4-33EE-4D6C-80DF-C49CFF611E1B}"/>
    <cellStyle name="AggOrange 4 2 2 3" xfId="1828" xr:uid="{04C587D4-0C8E-452C-A962-743BF7D7542E}"/>
    <cellStyle name="AggOrange 4 2 2 4" xfId="2199" xr:uid="{4A4F727E-BE37-4E22-B0CE-34FAA736D064}"/>
    <cellStyle name="AggOrange 4 2 3" xfId="1204" xr:uid="{90D8E413-2C11-4B32-B016-EC022B2DD4D0}"/>
    <cellStyle name="AggOrange 4 2 4" xfId="1621" xr:uid="{284A764B-070A-4C42-A2AE-5009F0F15140}"/>
    <cellStyle name="AggOrange 4 2 5" xfId="1993" xr:uid="{F6D625B6-630B-41D9-94C9-A5A73ABC98F4}"/>
    <cellStyle name="AggOrange 4 3" xfId="626" xr:uid="{AAC437F7-5B0B-4558-81CF-9E3350B5A46F}"/>
    <cellStyle name="AggOrange 4 3 2" xfId="841" xr:uid="{110A30CE-4BA5-4D86-AEF0-6B8C32B0DB6F}"/>
    <cellStyle name="AggOrange 4 3 2 2" xfId="938" xr:uid="{C8461EF0-2DCD-4CAB-973D-CAF253CA3F6B}"/>
    <cellStyle name="AggOrange 4 3 2 3" xfId="1817" xr:uid="{01E094BF-B202-423F-B268-F28339056C5C}"/>
    <cellStyle name="AggOrange 4 3 2 4" xfId="2188" xr:uid="{D3EFF419-AC26-49AD-8A39-AABCCF3B2AE1}"/>
    <cellStyle name="AggOrange 4 3 3" xfId="964" xr:uid="{C0F86F71-D081-45D2-A5E7-A93C34F37C67}"/>
    <cellStyle name="AggOrange 4 3 4" xfId="1610" xr:uid="{487FFC5D-E00F-4075-88B9-1060C6BBC7B4}"/>
    <cellStyle name="AggOrange 4 3 5" xfId="1982" xr:uid="{26AF91FD-EB44-4F8A-8828-7EE2B9A47A12}"/>
    <cellStyle name="AggOrange 4 4" xfId="600" xr:uid="{FEB22B86-AB5E-4379-A8F7-56097F63F9B8}"/>
    <cellStyle name="AggOrange 4 4 2" xfId="815" xr:uid="{03D84A98-ACEC-46C7-B054-C6CBE9ACCB8B}"/>
    <cellStyle name="AggOrange 4 4 2 2" xfId="1182" xr:uid="{0095AAAE-C341-475D-A4F1-74266ED26ADD}"/>
    <cellStyle name="AggOrange 4 4 2 3" xfId="1791" xr:uid="{A06DA237-3C18-435F-9CD4-BCFEC2977322}"/>
    <cellStyle name="AggOrange 4 4 2 4" xfId="2162" xr:uid="{07170336-A8E4-47E0-A297-D0395133626D}"/>
    <cellStyle name="AggOrange 4 4 3" xfId="185" xr:uid="{0DD6AB2D-E01F-48F1-9E30-EC001146F24E}"/>
    <cellStyle name="AggOrange 4 4 4" xfId="1584" xr:uid="{B9EF05C2-2056-44FA-9F17-83F614BD9923}"/>
    <cellStyle name="AggOrange 4 4 5" xfId="1956" xr:uid="{854226D7-B7A4-4031-BCC6-F209F2CE736E}"/>
    <cellStyle name="AggOrange 4 5" xfId="1136" xr:uid="{E9839948-1494-4EB5-8E53-2D55D8B6F41A}"/>
    <cellStyle name="AggOrange 4 6" xfId="1387" xr:uid="{5EE7A5F6-3736-4BEC-81E3-7879AF1C99C0}"/>
    <cellStyle name="AggOrange 4 7" xfId="1527" xr:uid="{3072050D-97BD-4011-B47E-BB62CA4DBA8D}"/>
    <cellStyle name="AggOrange 5" xfId="104" xr:uid="{DBD75404-71EF-465B-9040-56B710F66A58}"/>
    <cellStyle name="AggOrange_B_border" xfId="50" xr:uid="{E15320BA-4720-45A2-BB64-A1F5BD6FF701}"/>
    <cellStyle name="AggOrange9" xfId="37" xr:uid="{2374663A-C202-4087-B51D-B49F66B1F722}"/>
    <cellStyle name="AggOrange9 2" xfId="151" xr:uid="{603FB98E-FA34-4F8E-BA0E-510D17B4DE7B}"/>
    <cellStyle name="AggOrange9 2 2" xfId="443" xr:uid="{60241ACB-4596-4B8B-89C6-B4FA5AF1012D}"/>
    <cellStyle name="AggOrange9 2 2 2" xfId="679" xr:uid="{E9B6B743-CE5D-4E3E-B6F0-19C079FF0F8F}"/>
    <cellStyle name="AggOrange9 2 2 2 2" xfId="894" xr:uid="{5969AF5A-4B3D-4CB4-A55D-517855B3503A}"/>
    <cellStyle name="AggOrange9 2 2 2 2 2" xfId="1191" xr:uid="{4A0CC885-1D70-42CB-877F-3DE5D006A82D}"/>
    <cellStyle name="AggOrange9 2 2 2 2 3" xfId="1870" xr:uid="{2157F8B3-D4C3-4631-BA8D-110F68F149AD}"/>
    <cellStyle name="AggOrange9 2 2 2 2 4" xfId="2241" xr:uid="{936262AB-135C-42D8-AD8E-DD7CC33440C6}"/>
    <cellStyle name="AggOrange9 2 2 2 3" xfId="1338" xr:uid="{4B89A4F9-0B0F-4BD0-A406-FC83C7C42660}"/>
    <cellStyle name="AggOrange9 2 2 2 4" xfId="1663" xr:uid="{7D525A2C-A6C0-4A88-B03B-FDC39E9468F5}"/>
    <cellStyle name="AggOrange9 2 2 2 5" xfId="2035" xr:uid="{E3B4CE7A-2A83-4341-A526-2D1C83DDC8A8}"/>
    <cellStyle name="AggOrange9 2 2 3" xfId="750" xr:uid="{01E93C3F-FDFC-4FCE-9E57-CAE203880A08}"/>
    <cellStyle name="AggOrange9 2 2 3 2" xfId="1028" xr:uid="{109074AE-1232-4D50-8BE0-E555FAD3D162}"/>
    <cellStyle name="AggOrange9 2 2 3 3" xfId="1726" xr:uid="{3C193121-4391-47A8-83EC-C428EBDD4358}"/>
    <cellStyle name="AggOrange9 2 2 3 4" xfId="2097" xr:uid="{7D0B25C2-671E-4FF3-8089-34C97FF48F3A}"/>
    <cellStyle name="AggOrange9 2 3" xfId="301" xr:uid="{563D7D62-A7AC-47E7-BC3D-9F1CB504EF60}"/>
    <cellStyle name="AggOrange9 2 3 2" xfId="640" xr:uid="{467835B9-BD0B-48BD-A9EF-BEF76ADE3E47}"/>
    <cellStyle name="AggOrange9 2 3 2 2" xfId="855" xr:uid="{0025C5B5-A0EC-4F1B-BC09-76AEC9512EAD}"/>
    <cellStyle name="AggOrange9 2 3 2 2 2" xfId="1189" xr:uid="{849854F3-B35C-4101-B366-3E1F93BC2621}"/>
    <cellStyle name="AggOrange9 2 3 2 2 3" xfId="1831" xr:uid="{49B6BBFA-3BA4-4F27-B4BC-AA0DB512ADBB}"/>
    <cellStyle name="AggOrange9 2 3 2 2 4" xfId="2202" xr:uid="{B43E7B99-74CC-4FBB-950B-A9F8FF28864D}"/>
    <cellStyle name="AggOrange9 2 3 2 3" xfId="1099" xr:uid="{C94294A6-38F8-4D5F-A8E6-2208CC0A9869}"/>
    <cellStyle name="AggOrange9 2 3 2 4" xfId="1624" xr:uid="{B24073D8-1EFB-4A10-B814-CF4CF9104BC5}"/>
    <cellStyle name="AggOrange9 2 3 2 5" xfId="1996" xr:uid="{9231A20B-B20D-4C25-9DCB-9DA5D95EC407}"/>
    <cellStyle name="AggOrange9 2 3 3" xfId="686" xr:uid="{ABB99BBB-CD87-4F00-8B4B-32B2DC99BB16}"/>
    <cellStyle name="AggOrange9 2 3 3 2" xfId="901" xr:uid="{15DE3FAC-1607-4CFF-ADD9-DEA400767010}"/>
    <cellStyle name="AggOrange9 2 3 3 2 2" xfId="1272" xr:uid="{A6C05170-85F6-426B-A0BE-F381EC3900B6}"/>
    <cellStyle name="AggOrange9 2 3 3 2 3" xfId="1877" xr:uid="{9DDD5208-A0AF-4C33-8446-2233EB15AA26}"/>
    <cellStyle name="AggOrange9 2 3 3 2 4" xfId="2248" xr:uid="{0D8C8343-DD53-440E-B7C6-1C25E7F5FAFA}"/>
    <cellStyle name="AggOrange9 2 3 3 3" xfId="1401" xr:uid="{B1D5FADB-67D9-4DDE-A280-28EB98E15A63}"/>
    <cellStyle name="AggOrange9 2 3 3 4" xfId="1670" xr:uid="{4E7109FD-C0B5-4AF4-8845-2744AEFEE63C}"/>
    <cellStyle name="AggOrange9 2 3 3 5" xfId="2042" xr:uid="{31D7EA71-EA96-4A37-9253-54E53F67BBBD}"/>
    <cellStyle name="AggOrange9 2 3 4" xfId="700" xr:uid="{0DBB9906-A575-4B28-A1C1-35CBEB571334}"/>
    <cellStyle name="AggOrange9 2 3 4 2" xfId="915" xr:uid="{1848B1DB-95E7-42FF-856D-4ECB4A84653E}"/>
    <cellStyle name="AggOrange9 2 3 4 2 2" xfId="1507" xr:uid="{5C1D0E76-48B2-4132-B712-CABB2CBB35A8}"/>
    <cellStyle name="AggOrange9 2 3 4 2 3" xfId="1891" xr:uid="{D8E09A96-EC5A-48AF-B4D5-4BB7980818FC}"/>
    <cellStyle name="AggOrange9 2 3 4 2 4" xfId="2262" xr:uid="{02B54FF5-BEBD-4F66-B8E6-03C7C0F1C67C}"/>
    <cellStyle name="AggOrange9 2 3 4 3" xfId="1409" xr:uid="{04B655A9-E471-4CFA-98E3-84589104C5FF}"/>
    <cellStyle name="AggOrange9 2 3 4 4" xfId="1684" xr:uid="{A412819B-7475-44B9-A116-04AB6999D01F}"/>
    <cellStyle name="AggOrange9 2 3 4 5" xfId="2056" xr:uid="{A267985A-5CA4-44EA-858D-98DE20413BE8}"/>
    <cellStyle name="AggOrange9 2 3 5" xfId="1332" xr:uid="{4BBCD02A-5E16-4657-95B1-45D50ED05700}"/>
    <cellStyle name="AggOrange9 2 3 6" xfId="1462" xr:uid="{4BABEC0C-49AC-4FDF-B3E6-EDF8706BAF5A}"/>
    <cellStyle name="AggOrange9 2 3 7" xfId="969" xr:uid="{F00177BF-83C0-40A5-9EFD-F07C32DBFDFC}"/>
    <cellStyle name="AggOrange9 3" xfId="442" xr:uid="{59FAFDA1-BA3B-4A4E-85FC-8F76DA59E543}"/>
    <cellStyle name="AggOrange9 3 2" xfId="631" xr:uid="{014FA9AC-9480-4697-BE7D-33CA4AF40B67}"/>
    <cellStyle name="AggOrange9 3 2 2" xfId="846" xr:uid="{8E4618DE-F0FB-4C79-AE9B-9878815B54F6}"/>
    <cellStyle name="AggOrange9 3 2 2 2" xfId="1172" xr:uid="{D32A28E1-15C4-45C9-BF66-1A5E3D7B8509}"/>
    <cellStyle name="AggOrange9 3 2 2 3" xfId="1822" xr:uid="{F91D5401-A393-496C-8D75-80458C11420E}"/>
    <cellStyle name="AggOrange9 3 2 2 4" xfId="2193" xr:uid="{3A15434C-8F99-4FF6-94AF-FCFB8A5BBD43}"/>
    <cellStyle name="AggOrange9 3 2 3" xfId="1372" xr:uid="{F58B819D-2A5B-491C-8F47-39B06D2C32C9}"/>
    <cellStyle name="AggOrange9 3 2 4" xfId="1615" xr:uid="{82C6ADAB-5036-4D21-9B16-EC378044DDB5}"/>
    <cellStyle name="AggOrange9 3 2 5" xfId="1987" xr:uid="{F6902B7A-E059-4AE2-B642-792886BE1754}"/>
    <cellStyle name="AggOrange9 3 3" xfId="749" xr:uid="{242B4DA3-8A53-4C97-89A1-C2D1291926BF}"/>
    <cellStyle name="AggOrange9 3 3 2" xfId="1346" xr:uid="{90FF341E-D26B-441B-A190-36914527CCB0}"/>
    <cellStyle name="AggOrange9 3 3 3" xfId="1725" xr:uid="{72048D57-4E68-4D9E-BA1E-1BE81C609C90}"/>
    <cellStyle name="AggOrange9 3 3 4" xfId="2096" xr:uid="{BF80DBDC-A386-4EFD-BED5-09DA372A7826}"/>
    <cellStyle name="AggOrange9 4" xfId="300" xr:uid="{BBC456BB-93CE-4D31-AF49-A0CC1FDB5229}"/>
    <cellStyle name="AggOrange9 4 2" xfId="639" xr:uid="{0CFBA1CF-4401-494C-84D8-42491BE4BB90}"/>
    <cellStyle name="AggOrange9 4 2 2" xfId="854" xr:uid="{FE99EC86-818C-4924-964D-E222907C81B1}"/>
    <cellStyle name="AggOrange9 4 2 2 2" xfId="1246" xr:uid="{C1AB77E2-A00D-4902-AEE8-6D3D4406E1A2}"/>
    <cellStyle name="AggOrange9 4 2 2 3" xfId="1830" xr:uid="{48E05E4D-9C9B-4F5A-A54B-8EFBA60B8153}"/>
    <cellStyle name="AggOrange9 4 2 2 4" xfId="2201" xr:uid="{D103D04B-A995-43C0-BE36-8C18672D02A5}"/>
    <cellStyle name="AggOrange9 4 2 3" xfId="1094" xr:uid="{2C93DEB7-3168-48E7-9273-A0C889941C36}"/>
    <cellStyle name="AggOrange9 4 2 4" xfId="1623" xr:uid="{8255F7B4-115E-45D5-AA5D-EF7D062449F7}"/>
    <cellStyle name="AggOrange9 4 2 5" xfId="1995" xr:uid="{D10C8203-5305-4CA9-BE86-F2C37F8DA1B6}"/>
    <cellStyle name="AggOrange9 4 3" xfId="584" xr:uid="{E9795F8C-EA5B-471B-B8C8-1D7D69D7AA3B}"/>
    <cellStyle name="AggOrange9 4 3 2" xfId="799" xr:uid="{DCBDC8E3-CA44-4699-BB7E-1C6F99C6AFBC}"/>
    <cellStyle name="AggOrange9 4 3 2 2" xfId="1228" xr:uid="{3B5D33E9-4B45-43B1-8D7A-A7A1829A686D}"/>
    <cellStyle name="AggOrange9 4 3 2 3" xfId="1775" xr:uid="{BE9BA349-04A6-4377-90E0-3474BD070201}"/>
    <cellStyle name="AggOrange9 4 3 2 4" xfId="2146" xr:uid="{E481100E-01B3-4CBF-A7EF-FEA63E65A049}"/>
    <cellStyle name="AggOrange9 4 3 3" xfId="1418" xr:uid="{C51A9AB8-CE0B-4B74-AE37-6FB536C677E2}"/>
    <cellStyle name="AggOrange9 4 3 4" xfId="1568" xr:uid="{3817DE51-0866-4BF3-9833-EDB135C8CEF7}"/>
    <cellStyle name="AggOrange9 4 3 5" xfId="1940" xr:uid="{A22B6F7F-E232-43E8-8BAA-B3E2BF0587E4}"/>
    <cellStyle name="AggOrange9 4 4" xfId="630" xr:uid="{A51ADE7E-C75E-4003-80F9-44DE51CFA146}"/>
    <cellStyle name="AggOrange9 4 4 2" xfId="845" xr:uid="{37FDD23F-04EF-4194-AF2C-8369AF16FC04}"/>
    <cellStyle name="AggOrange9 4 4 2 2" xfId="960" xr:uid="{04C2071E-9851-45FE-BCB5-BE8C36373E87}"/>
    <cellStyle name="AggOrange9 4 4 2 3" xfId="1821" xr:uid="{E0D46DA4-508D-4EC8-B081-3CFE904EECBB}"/>
    <cellStyle name="AggOrange9 4 4 2 4" xfId="2192" xr:uid="{0993FC8F-3186-410F-902D-26E00676253C}"/>
    <cellStyle name="AggOrange9 4 4 3" xfId="77" xr:uid="{9FAFF499-D3AA-46ED-A1B2-9290D61FB6FA}"/>
    <cellStyle name="AggOrange9 4 4 4" xfId="1614" xr:uid="{13ABAF1C-902F-4A18-B37E-165E9B7E41D2}"/>
    <cellStyle name="AggOrange9 4 4 5" xfId="1986" xr:uid="{690B1EB6-BE91-432A-90BA-27074CAB091D}"/>
    <cellStyle name="AggOrange9 4 5" xfId="1447" xr:uid="{FC03BE67-869D-4261-B162-01314F1DF8DF}"/>
    <cellStyle name="AggOrange9 4 6" xfId="1478" xr:uid="{77D44748-37A5-44D5-9789-F6A31D77BCBF}"/>
    <cellStyle name="AggOrange9 4 7" xfId="1407" xr:uid="{10009146-CB3B-4079-8BA6-FFD8A11960EF}"/>
    <cellStyle name="AggOrange9 5" xfId="103" xr:uid="{AA02E4E7-76B9-4DD2-ACCA-E85B4405EFF4}"/>
    <cellStyle name="AggOrangeLB_2x" xfId="49" xr:uid="{7DF595DE-2150-4462-8AA8-30296E6EE412}"/>
    <cellStyle name="AggOrangeLBorder" xfId="51" xr:uid="{0B299D36-E61B-46F1-BC62-BD7A01AAF738}"/>
    <cellStyle name="AggOrangeLBorder 2" xfId="152" xr:uid="{D3A619F3-4D08-422A-90E3-76E5C41931A0}"/>
    <cellStyle name="AggOrangeLBorder 2 2" xfId="445" xr:uid="{5CF99B45-30CD-4422-87E7-5CCDAD23452C}"/>
    <cellStyle name="AggOrangeLBorder 2 3" xfId="303" xr:uid="{FBC5DF84-A6A3-4FA3-87D5-5A5A08D70B1D}"/>
    <cellStyle name="AggOrangeLBorder 2 3 2" xfId="642" xr:uid="{17BAC487-B103-485C-A341-9937F3456434}"/>
    <cellStyle name="AggOrangeLBorder 2 3 2 2" xfId="857" xr:uid="{B37F8B91-09DB-4A6C-867E-DA7674FEF9C8}"/>
    <cellStyle name="AggOrangeLBorder 2 3 2 2 2" xfId="1046" xr:uid="{387F6311-BA27-44BE-BCCC-F4071F8AA864}"/>
    <cellStyle name="AggOrangeLBorder 2 3 2 2 3" xfId="1833" xr:uid="{620EDF80-E2D7-43F3-8EB0-CAC215100F7A}"/>
    <cellStyle name="AggOrangeLBorder 2 3 2 2 4" xfId="2204" xr:uid="{28D455A7-B049-4B60-841C-22B69A47EDB5}"/>
    <cellStyle name="AggOrangeLBorder 2 3 2 3" xfId="1445" xr:uid="{27E7C667-A1B7-4D56-AD42-EF1FE000D142}"/>
    <cellStyle name="AggOrangeLBorder 2 3 2 4" xfId="1626" xr:uid="{414E4828-A914-4106-9018-55E60CB5A09F}"/>
    <cellStyle name="AggOrangeLBorder 2 3 2 5" xfId="1998" xr:uid="{6999D2C5-FE9B-4699-AE5C-1A368F6EAA77}"/>
    <cellStyle name="AggOrangeLBorder 2 3 3" xfId="582" xr:uid="{BBBB8A5A-3DED-4474-BEA4-0D2FA8A57D1E}"/>
    <cellStyle name="AggOrangeLBorder 2 3 3 2" xfId="797" xr:uid="{1FFF6007-B16C-4613-84ED-6607DA846077}"/>
    <cellStyle name="AggOrangeLBorder 2 3 3 2 2" xfId="1051" xr:uid="{1D85F458-5B71-448A-A79F-480D9D514A97}"/>
    <cellStyle name="AggOrangeLBorder 2 3 3 2 3" xfId="1773" xr:uid="{43596D4F-0C0E-4B62-8FE5-8538FBDDC73D}"/>
    <cellStyle name="AggOrangeLBorder 2 3 3 2 4" xfId="2144" xr:uid="{CE94E9E5-585F-4CF3-A373-B8C2BE2A949E}"/>
    <cellStyle name="AggOrangeLBorder 2 3 3 3" xfId="1434" xr:uid="{D38DE1D0-1E3A-4634-A059-4D3E511B4CF2}"/>
    <cellStyle name="AggOrangeLBorder 2 3 3 4" xfId="1566" xr:uid="{7A78A5E3-D57C-4266-B051-E54681582089}"/>
    <cellStyle name="AggOrangeLBorder 2 3 3 5" xfId="1938" xr:uid="{2FB0F01B-EF81-42BA-8D31-205B1F47A67B}"/>
    <cellStyle name="AggOrangeLBorder 2 3 4" xfId="608" xr:uid="{614EEE34-B8FD-4C71-AB04-01CC72DAC6DD}"/>
    <cellStyle name="AggOrangeLBorder 2 3 4 2" xfId="823" xr:uid="{9F926E52-5217-4701-A004-F043923E6CA9}"/>
    <cellStyle name="AggOrangeLBorder 2 3 4 2 2" xfId="1188" xr:uid="{794C96A0-5AED-40BE-B716-2EB1A948CA4F}"/>
    <cellStyle name="AggOrangeLBorder 2 3 4 2 3" xfId="1799" xr:uid="{B560D935-DBB2-4C12-B3BF-62086947B4BB}"/>
    <cellStyle name="AggOrangeLBorder 2 3 4 2 4" xfId="2170" xr:uid="{916B7039-4646-4DDE-AA00-D62BA084D5CE}"/>
    <cellStyle name="AggOrangeLBorder 2 3 4 3" xfId="1343" xr:uid="{538869AA-E0A0-4EEE-AFAA-B74F9C32F550}"/>
    <cellStyle name="AggOrangeLBorder 2 3 4 4" xfId="1592" xr:uid="{DC2487C4-5681-4F55-B8B0-0510E26CB1D8}"/>
    <cellStyle name="AggOrangeLBorder 2 3 4 5" xfId="1964" xr:uid="{9289AC3C-6C45-4869-B20E-6A1F8BC1682B}"/>
    <cellStyle name="AggOrangeLBorder 2 3 5" xfId="728" xr:uid="{71743BE1-5380-4E30-AEA3-47194F508BD7}"/>
    <cellStyle name="AggOrangeLBorder 2 3 6" xfId="1057" xr:uid="{1A5ABE1C-03FF-43F9-A1F6-542A54C6CFA9}"/>
    <cellStyle name="AggOrangeLBorder 2 3 7" xfId="1433" xr:uid="{C8394893-DC52-4C39-BFB1-153C5D6A2523}"/>
    <cellStyle name="AggOrangeLBorder 2 3 8" xfId="1327" xr:uid="{709B4347-AEDB-41B5-90A1-A8A374E42BDE}"/>
    <cellStyle name="AggOrangeLBorder 3" xfId="444" xr:uid="{7C7824A4-CF92-42D0-B8EB-FFCD83649D37}"/>
    <cellStyle name="AggOrangeLBorder 4" xfId="302" xr:uid="{C99BC778-0547-4FEE-8396-69D6A8FF5766}"/>
    <cellStyle name="AggOrangeLBorder 4 2" xfId="641" xr:uid="{65AEDE57-EECB-4D0B-806F-106DF44B82D4}"/>
    <cellStyle name="AggOrangeLBorder 4 2 2" xfId="856" xr:uid="{48011B5A-5560-4D05-8342-49E8B7FAA43F}"/>
    <cellStyle name="AggOrangeLBorder 4 2 2 2" xfId="1245" xr:uid="{4E1D4A18-FA8D-417C-8E0E-AB336B51E921}"/>
    <cellStyle name="AggOrangeLBorder 4 2 2 3" xfId="1832" xr:uid="{F778558F-DA80-457B-ABA0-6AA77FFC7A9C}"/>
    <cellStyle name="AggOrangeLBorder 4 2 2 4" xfId="2203" xr:uid="{425D2635-02D6-417F-8EC9-32C5B6A0ADF6}"/>
    <cellStyle name="AggOrangeLBorder 4 2 3" xfId="1122" xr:uid="{74D03373-0B51-46C7-B046-D37C36BDC7B7}"/>
    <cellStyle name="AggOrangeLBorder 4 2 4" xfId="1625" xr:uid="{E58F304F-BCD1-47FC-A779-451B80F36AE7}"/>
    <cellStyle name="AggOrangeLBorder 4 2 5" xfId="1997" xr:uid="{DF28257C-021E-4460-AAEB-A673BD744D09}"/>
    <cellStyle name="AggOrangeLBorder 4 3" xfId="583" xr:uid="{24CFFEA2-458E-40EC-A2F1-5957880ABCDB}"/>
    <cellStyle name="AggOrangeLBorder 4 3 2" xfId="798" xr:uid="{B425CEA1-A7EC-42B7-98AF-C2ECAFA0960F}"/>
    <cellStyle name="AggOrangeLBorder 4 3 2 2" xfId="1257" xr:uid="{D12E3F38-54DA-418A-96A9-149DBD8F0B55}"/>
    <cellStyle name="AggOrangeLBorder 4 3 2 3" xfId="1774" xr:uid="{A32D9F6F-8CD9-41D1-9973-C867E3E1F127}"/>
    <cellStyle name="AggOrangeLBorder 4 3 2 4" xfId="2145" xr:uid="{AB9B578D-5865-4019-8EA9-43C261059536}"/>
    <cellStyle name="AggOrangeLBorder 4 3 3" xfId="1252" xr:uid="{519DBBF7-ACBA-475B-9A2B-5F67CE67940A}"/>
    <cellStyle name="AggOrangeLBorder 4 3 4" xfId="1567" xr:uid="{A9CD8269-8609-41EE-ABB6-9B9C27EF29E1}"/>
    <cellStyle name="AggOrangeLBorder 4 3 5" xfId="1939" xr:uid="{600F951F-2600-4183-82E8-EDC1C5317B09}"/>
    <cellStyle name="AggOrangeLBorder 4 4" xfId="604" xr:uid="{68A9B76C-1D9D-42D4-A959-F10B43C6E345}"/>
    <cellStyle name="AggOrangeLBorder 4 4 2" xfId="819" xr:uid="{94882BC2-DF1B-4409-8F50-20CFD9351362}"/>
    <cellStyle name="AggOrangeLBorder 4 4 2 2" xfId="1044" xr:uid="{32FAB5D6-06FA-45DD-9DF2-E18738CC1C9B}"/>
    <cellStyle name="AggOrangeLBorder 4 4 2 3" xfId="1795" xr:uid="{04ED4E56-5886-4E12-818A-B61F9D4CDD94}"/>
    <cellStyle name="AggOrangeLBorder 4 4 2 4" xfId="2166" xr:uid="{B248335E-3123-4C25-9128-F260329AA880}"/>
    <cellStyle name="AggOrangeLBorder 4 4 3" xfId="1307" xr:uid="{018AA749-29B6-4CB6-8DCC-E2822E3A4E5F}"/>
    <cellStyle name="AggOrangeLBorder 4 4 4" xfId="1588" xr:uid="{9766F59D-F934-41F1-965F-38BC60EDAF5B}"/>
    <cellStyle name="AggOrangeLBorder 4 4 5" xfId="1960" xr:uid="{DCC8C764-3922-4793-8A5F-977A73EC8988}"/>
    <cellStyle name="AggOrangeLBorder 4 5" xfId="727" xr:uid="{0D05B241-FDE9-466E-AA37-7418E63935E7}"/>
    <cellStyle name="AggOrangeLBorder 4 6" xfId="1053" xr:uid="{9563C30B-2E42-4AF1-9BD1-EBEB156BE6AA}"/>
    <cellStyle name="AggOrangeLBorder 4 7" xfId="1395" xr:uid="{64A659FA-0EE4-4CCA-B1AC-D72A5472A4E7}"/>
    <cellStyle name="AggOrangeLBorder 4 8" xfId="1323" xr:uid="{8B5FDD08-2363-4BDB-9F9F-E100EE3FF1B9}"/>
    <cellStyle name="AggOrangeLBorder 5" xfId="111" xr:uid="{13BDAFC3-4F71-4DE2-9F17-EAE6EE9CC5A8}"/>
    <cellStyle name="AggOrangeRBorder" xfId="40" xr:uid="{63D346A9-4E02-402F-9BF3-6A8AC8AC34BC}"/>
    <cellStyle name="AggOrangeRBorder 2" xfId="153" xr:uid="{1B138899-A85A-49F3-8756-35C8609C9AEA}"/>
    <cellStyle name="AggOrangeRBorder 2 2" xfId="447" xr:uid="{4CDD8BB2-57C7-4550-BE5F-797C5DC41DFB}"/>
    <cellStyle name="AggOrangeRBorder 2 2 2" xfId="559" xr:uid="{3628B899-1A22-40BE-B8E7-600CF02B65E3}"/>
    <cellStyle name="AggOrangeRBorder 2 2 2 2" xfId="774" xr:uid="{3408FFFC-BAF8-45A0-874E-A56219A1932F}"/>
    <cellStyle name="AggOrangeRBorder 2 2 2 2 2" xfId="976" xr:uid="{A47D56FF-3FCE-4C07-A9D7-41B4B392CA40}"/>
    <cellStyle name="AggOrangeRBorder 2 2 2 2 3" xfId="1750" xr:uid="{668FB006-C0D8-4650-8FC8-BED6C65F8754}"/>
    <cellStyle name="AggOrangeRBorder 2 2 2 2 4" xfId="2121" xr:uid="{7FD3B091-2151-41C0-B11A-FDEF872EAA09}"/>
    <cellStyle name="AggOrangeRBorder 2 2 2 3" xfId="25" xr:uid="{CE274A1F-F118-4994-831B-2566ADB7771A}"/>
    <cellStyle name="AggOrangeRBorder 2 2 2 4" xfId="1543" xr:uid="{112AA9C3-6747-4750-A630-F5282A9B9762}"/>
    <cellStyle name="AggOrangeRBorder 2 2 2 5" xfId="1915" xr:uid="{F3A44F59-556C-4D52-A4EB-E6CD2C870491}"/>
    <cellStyle name="AggOrangeRBorder 2 3" xfId="305" xr:uid="{95F99C34-9048-4C2D-BBDA-DD36BA674732}"/>
    <cellStyle name="AggOrangeRBorder 2 3 2" xfId="644" xr:uid="{D80A4713-F899-4D8D-AADB-18CB24853444}"/>
    <cellStyle name="AggOrangeRBorder 2 3 2 2" xfId="859" xr:uid="{C28B2187-ED0B-4AA0-9AF5-78931465CA75}"/>
    <cellStyle name="AggOrangeRBorder 2 3 2 2 2" xfId="1105" xr:uid="{7DB83E96-91CA-4282-AB3A-E5F6D0DD2B05}"/>
    <cellStyle name="AggOrangeRBorder 2 3 2 2 3" xfId="1835" xr:uid="{1216B9DC-B640-4F3A-B507-6AD5763201B0}"/>
    <cellStyle name="AggOrangeRBorder 2 3 2 2 4" xfId="2206" xr:uid="{5C082C29-35B0-4140-819D-ED08523B70DE}"/>
    <cellStyle name="AggOrangeRBorder 2 3 2 3" xfId="1142" xr:uid="{E240A342-3651-40F7-B7A9-41FEE82955CC}"/>
    <cellStyle name="AggOrangeRBorder 2 3 2 4" xfId="1628" xr:uid="{8798C136-4E7B-4AE1-AE74-0D0F7665D19E}"/>
    <cellStyle name="AggOrangeRBorder 2 3 2 5" xfId="2000" xr:uid="{A4A06C16-BDB1-49C3-AC18-348D981961A7}"/>
    <cellStyle name="AggOrangeRBorder 2 3 3" xfId="620" xr:uid="{E3CB2E91-316B-485B-8BB8-AA07FBB8E4DB}"/>
    <cellStyle name="AggOrangeRBorder 2 3 3 2" xfId="835" xr:uid="{B976D016-71DF-4618-AD63-D728C36AB4FB}"/>
    <cellStyle name="AggOrangeRBorder 2 3 3 2 2" xfId="952" xr:uid="{DD87A34B-361B-43C5-83A4-FDB5F3E75187}"/>
    <cellStyle name="AggOrangeRBorder 2 3 3 2 3" xfId="1811" xr:uid="{5BDF4952-BF69-4F20-82CC-34450104DFBD}"/>
    <cellStyle name="AggOrangeRBorder 2 3 3 2 4" xfId="2182" xr:uid="{0BE0F414-E71E-4C1C-A478-3299572D7046}"/>
    <cellStyle name="AggOrangeRBorder 2 3 3 3" xfId="1465" xr:uid="{6451C513-54F7-4BA3-AC29-18EB8D1427B7}"/>
    <cellStyle name="AggOrangeRBorder 2 3 3 4" xfId="1604" xr:uid="{0F43F230-6F25-443A-BE98-35906CB6660F}"/>
    <cellStyle name="AggOrangeRBorder 2 3 3 5" xfId="1976" xr:uid="{2768BDBF-4C0C-459C-A820-B1D773213538}"/>
    <cellStyle name="AggOrangeRBorder 2 3 4" xfId="602" xr:uid="{5AB0C29F-883C-4A96-AA71-274987B698E4}"/>
    <cellStyle name="AggOrangeRBorder 2 3 4 2" xfId="817" xr:uid="{BE02C523-86AD-4266-8BB8-03D32F6A22FC}"/>
    <cellStyle name="AggOrangeRBorder 2 3 4 2 2" xfId="1043" xr:uid="{D1765B91-DB3E-4B80-B854-B79E12D4CDDA}"/>
    <cellStyle name="AggOrangeRBorder 2 3 4 2 3" xfId="1793" xr:uid="{F34DC0FA-24D0-4022-90A8-1AC0FA20FCCE}"/>
    <cellStyle name="AggOrangeRBorder 2 3 4 2 4" xfId="2164" xr:uid="{72D644BE-1A9D-4792-A699-5112EA6939F3}"/>
    <cellStyle name="AggOrangeRBorder 2 3 4 3" xfId="68" xr:uid="{14DD4C0F-D616-4731-9A2C-64FAB5191ED9}"/>
    <cellStyle name="AggOrangeRBorder 2 3 4 4" xfId="1586" xr:uid="{54172B8C-F873-4A0F-B34F-FBC783A6BA27}"/>
    <cellStyle name="AggOrangeRBorder 2 3 4 5" xfId="1958" xr:uid="{9DB41D68-EF71-4E38-9CA0-D74A87AF668A}"/>
    <cellStyle name="AggOrangeRBorder 2 3 5" xfId="730" xr:uid="{10E3D8CA-1DFF-48F3-8665-C32D93DAF8A7}"/>
    <cellStyle name="AggOrangeRBorder 2 3 6" xfId="1359" xr:uid="{24B3EA90-EEF8-4B2E-93DD-4A6F92CA7087}"/>
    <cellStyle name="AggOrangeRBorder 2 3 7" xfId="1444" xr:uid="{E5D41D7E-762E-4049-A976-01F60B2BCB62}"/>
    <cellStyle name="AggOrangeRBorder 2 3 8" xfId="1349" xr:uid="{208EF0EB-CD91-446A-9434-EC7C8D4667D2}"/>
    <cellStyle name="AggOrangeRBorder 3" xfId="446" xr:uid="{E790E5AF-9CAF-4D43-9E92-878552D2DF58}"/>
    <cellStyle name="AggOrangeRBorder 3 2" xfId="67" xr:uid="{02F8FA01-02A8-4A6B-BEEA-3B318CEDE00E}"/>
    <cellStyle name="AggOrangeRBorder 3 2 2" xfId="678" xr:uid="{5C453EE3-6C0D-437E-B1FA-4A56066B3904}"/>
    <cellStyle name="AggOrangeRBorder 3 2 2 2" xfId="1216" xr:uid="{B6689C03-551A-477E-83EE-79B17FDC492E}"/>
    <cellStyle name="AggOrangeRBorder 3 2 2 3" xfId="1662" xr:uid="{F63850A7-35A3-439D-ABD7-B9CC75A93246}"/>
    <cellStyle name="AggOrangeRBorder 3 2 2 4" xfId="2034" xr:uid="{EFF12E45-6B5E-4E0A-90B0-280DC43D36C9}"/>
    <cellStyle name="AggOrangeRBorder 3 2 3" xfId="893" xr:uid="{B0A69EC5-791E-4733-B69B-A2B71CED4121}"/>
    <cellStyle name="AggOrangeRBorder 3 2 3 2" xfId="1248" xr:uid="{77F07C5C-4917-4F5B-9A10-0CF43A83AA38}"/>
    <cellStyle name="AggOrangeRBorder 3 2 3 3" xfId="1869" xr:uid="{6E834D56-BCDD-4F57-B34A-D511C95C7A34}"/>
    <cellStyle name="AggOrangeRBorder 3 2 3 4" xfId="2240" xr:uid="{2A9C04B2-E314-46DC-8296-B1ABE7B15B7F}"/>
    <cellStyle name="AggOrangeRBorder 4" xfId="304" xr:uid="{9E549395-770B-4E26-87A8-43C3F9505824}"/>
    <cellStyle name="AggOrangeRBorder 4 2" xfId="643" xr:uid="{13323998-CBC9-4450-BB38-2047DDEDD6AA}"/>
    <cellStyle name="AggOrangeRBorder 4 2 2" xfId="858" xr:uid="{246CF923-F042-47FF-92EB-6DA40B928326}"/>
    <cellStyle name="AggOrangeRBorder 4 2 2 2" xfId="1144" xr:uid="{7D155E8C-1629-4F1E-A890-4BDE02305A33}"/>
    <cellStyle name="AggOrangeRBorder 4 2 2 3" xfId="1834" xr:uid="{19C563C9-4BFC-4898-9B97-DE00B542671B}"/>
    <cellStyle name="AggOrangeRBorder 4 2 2 4" xfId="2205" xr:uid="{FFBF4125-E8CD-49A8-9E2B-D5DF89CD2C49}"/>
    <cellStyle name="AggOrangeRBorder 4 2 3" xfId="1163" xr:uid="{61287958-A4F2-4A55-A39C-67EA08B2BE6D}"/>
    <cellStyle name="AggOrangeRBorder 4 2 4" xfId="1627" xr:uid="{82711BBB-B640-46F1-A8A1-B3913B97FC44}"/>
    <cellStyle name="AggOrangeRBorder 4 2 5" xfId="1999" xr:uid="{A6ED82D4-2994-40CB-8FD9-AE7736A33E75}"/>
    <cellStyle name="AggOrangeRBorder 4 3" xfId="676" xr:uid="{53C44457-D445-4162-9171-8F2283707512}"/>
    <cellStyle name="AggOrangeRBorder 4 3 2" xfId="891" xr:uid="{12819406-CF09-423D-8FD1-9EB65F6B4E40}"/>
    <cellStyle name="AggOrangeRBorder 4 3 2 2" xfId="1167" xr:uid="{27BCCF4A-5D65-4A57-8293-18E450368AD6}"/>
    <cellStyle name="AggOrangeRBorder 4 3 2 3" xfId="1867" xr:uid="{51F66F34-72CF-4BA5-A308-08B8F1C84FCB}"/>
    <cellStyle name="AggOrangeRBorder 4 3 2 4" xfId="2238" xr:uid="{C4797AB3-1774-4163-8D9E-79D69D86EF22}"/>
    <cellStyle name="AggOrangeRBorder 4 3 3" xfId="1406" xr:uid="{71D47D5F-9AFA-4841-B5B2-E082B437EA4B}"/>
    <cellStyle name="AggOrangeRBorder 4 3 4" xfId="1660" xr:uid="{1C395FD0-F79F-417A-B14C-93BE4EA27AD1}"/>
    <cellStyle name="AggOrangeRBorder 4 3 5" xfId="2032" xr:uid="{77366F2C-EC54-4D4C-9A2B-A7065F8CAE30}"/>
    <cellStyle name="AggOrangeRBorder 4 4" xfId="697" xr:uid="{E7892EF9-C37F-4900-B1CE-AFD5FC73D148}"/>
    <cellStyle name="AggOrangeRBorder 4 4 2" xfId="912" xr:uid="{BEBED77F-2F3D-40E8-ACCD-2775D25D32C9}"/>
    <cellStyle name="AggOrangeRBorder 4 4 2 2" xfId="1504" xr:uid="{87E39291-BB16-4E23-BF91-47B960D1C983}"/>
    <cellStyle name="AggOrangeRBorder 4 4 2 3" xfId="1888" xr:uid="{C73FD211-B0AF-4055-8137-B547CA6D09BD}"/>
    <cellStyle name="AggOrangeRBorder 4 4 2 4" xfId="2259" xr:uid="{AE9C48E2-DDD4-4B80-A349-A2BF6ECF75E7}"/>
    <cellStyle name="AggOrangeRBorder 4 4 3" xfId="1322" xr:uid="{F0D91338-1DE6-4C73-BCD6-BC1D9488D1A5}"/>
    <cellStyle name="AggOrangeRBorder 4 4 4" xfId="1681" xr:uid="{EFDC2706-719E-4325-861C-B6D25BABE08F}"/>
    <cellStyle name="AggOrangeRBorder 4 4 5" xfId="2053" xr:uid="{EF761D6B-C639-4E35-8D91-4C7DC9BA360D}"/>
    <cellStyle name="AggOrangeRBorder 4 5" xfId="729" xr:uid="{10564D88-C237-4D11-A45F-35008D7AA40B}"/>
    <cellStyle name="AggOrangeRBorder 4 6" xfId="1059" xr:uid="{2240BD0D-E5D6-40AE-99BB-B745198DD545}"/>
    <cellStyle name="AggOrangeRBorder 4 7" xfId="1459" xr:uid="{20C9A811-D7AE-43E4-8904-6292AEA61810}"/>
    <cellStyle name="AggOrangeRBorder 4 8" xfId="1107" xr:uid="{9BCB3DBF-E65C-4D3F-9E0A-A80284F70274}"/>
    <cellStyle name="AggOrangeRBorder 5" xfId="106" xr:uid="{3A64D572-B7DE-46C9-9232-7BC16EFC20A7}"/>
    <cellStyle name="AggOrangeRBorder_CRFReport-template" xfId="52" xr:uid="{AF3B4345-9940-4535-9C1A-F8BB6044089F}"/>
    <cellStyle name="Akzent1" xfId="154" xr:uid="{616AD696-FEF0-4ACF-A6B9-CBD2C9E1C62A}"/>
    <cellStyle name="Akzent2" xfId="155" xr:uid="{A21EE391-CD49-4312-83A9-3AE4D8C5A8C2}"/>
    <cellStyle name="Akzent3" xfId="156" xr:uid="{54E72227-DE9A-4F21-A274-D2DD0F51371F}"/>
    <cellStyle name="Akzent4" xfId="157" xr:uid="{70E7941A-500C-4B45-A3AA-B7FC887A16F4}"/>
    <cellStyle name="Akzent5" xfId="158" xr:uid="{56ADE016-F0AE-41FE-AA5E-4316A8D974AA}"/>
    <cellStyle name="Akzent6" xfId="159" xr:uid="{A70D9B75-72B0-4802-9FCF-3B768E653253}"/>
    <cellStyle name="Ausgabe" xfId="73" hidden="1" xr:uid="{30259C79-F188-47E7-A0D0-8385A9701675}"/>
    <cellStyle name="Ausgabe" xfId="972" hidden="1" xr:uid="{92B52382-6FC2-4167-80A2-743DEFF1D0A7}"/>
    <cellStyle name="Ausgabe" xfId="1071" hidden="1" xr:uid="{CD28E24B-7398-4C1F-9391-EA2F99E74EAF}"/>
    <cellStyle name="Ausgabe" xfId="1266" hidden="1" xr:uid="{FFA66EEA-A009-4D14-9102-CD976AA3AC6C}"/>
    <cellStyle name="Ausgabe" xfId="1039" hidden="1" xr:uid="{268C5E6A-D590-41B7-838C-FA611C182701}"/>
    <cellStyle name="Ausgabe" xfId="1428" hidden="1" xr:uid="{BAF4C05F-3CED-41C0-9148-4CD1E4206C45}"/>
    <cellStyle name="Ausgabe 2" xfId="425" xr:uid="{31579FC9-0E84-441E-893C-BC3C720F573E}"/>
    <cellStyle name="Ausgabe 2 2" xfId="681" xr:uid="{5DA2FDEC-FCF6-441D-965F-764CE211E0D6}"/>
    <cellStyle name="Ausgabe 2 2 2" xfId="896" xr:uid="{902159B5-2AD4-4E1D-9F0D-40598C153F96}"/>
    <cellStyle name="Ausgabe 2 2 2 2" xfId="91" xr:uid="{F4C2A75A-7EDD-4088-A9F6-40FDD177818B}"/>
    <cellStyle name="Ausgabe 2 2 2 3" xfId="1872" xr:uid="{85843FA2-142C-40DF-BBF0-4F15412F8ED3}"/>
    <cellStyle name="Ausgabe 2 2 2 4" xfId="2243" xr:uid="{23463190-C679-4E94-AD79-38CDFC508EBD}"/>
    <cellStyle name="Ausgabe 2 2 3" xfId="931" xr:uid="{834058B0-2DFA-407D-A708-0E8C4CC828C8}"/>
    <cellStyle name="Ausgabe 2 2 4" xfId="1665" xr:uid="{9F2E2C60-D2D9-4C9C-B33C-7531548504ED}"/>
    <cellStyle name="Ausgabe 2 2 5" xfId="2037" xr:uid="{2173F18D-1089-4262-ABA9-C8A6B6E673B6}"/>
    <cellStyle name="Ausgabe 2 3" xfId="566" xr:uid="{BF183D50-9852-4322-B959-120B4B324999}"/>
    <cellStyle name="Ausgabe 2 3 2" xfId="781" xr:uid="{C7346E64-6BEA-43BA-B3BE-34D0CFC622DB}"/>
    <cellStyle name="Ausgabe 2 3 2 2" xfId="1064" xr:uid="{03295056-DE26-4880-90A2-4EF5F7A71384}"/>
    <cellStyle name="Ausgabe 2 3 2 3" xfId="1757" xr:uid="{FEE0FEA3-A881-4585-9827-2F826079C0BA}"/>
    <cellStyle name="Ausgabe 2 3 2 4" xfId="2128" xr:uid="{93BFFEB7-9A00-4B23-96A8-15C5C196BE0A}"/>
    <cellStyle name="Ausgabe 2 3 3" xfId="1324" xr:uid="{BCCFC634-0E7C-48DB-A38B-D5C515611C9D}"/>
    <cellStyle name="Ausgabe 2 3 4" xfId="1550" xr:uid="{65D7BE79-203D-45CF-B526-139621A9B8D3}"/>
    <cellStyle name="Ausgabe 2 3 5" xfId="1922" xr:uid="{45CF233E-6CBE-403F-B6FB-AE1E65AC101E}"/>
    <cellStyle name="Ausgabe 2 4" xfId="739" xr:uid="{FDD44879-12A0-4971-8F5D-7298D6C7D442}"/>
    <cellStyle name="Ausgabe 2 4 2" xfId="1076" xr:uid="{85EEA28C-8AA8-4492-90F4-CCE68E616EE2}"/>
    <cellStyle name="Ausgabe 2 4 3" xfId="1715" xr:uid="{37D7237F-FBEF-459E-96F1-545C2A01CB70}"/>
    <cellStyle name="Ausgabe 2 4 4" xfId="2086" xr:uid="{080F1172-9CF2-4508-A907-8B578F47E5B7}"/>
    <cellStyle name="Ausgabe 2 5" xfId="1226" xr:uid="{DC784E8B-D9A5-4AF7-B879-AF740D9C5249}"/>
    <cellStyle name="Ausgabe 2 6" xfId="1077" xr:uid="{C2FC0A93-B4F1-4AF5-8BA5-178DB4923F42}"/>
    <cellStyle name="Ausgabe 3" xfId="316" xr:uid="{5ADA572A-9308-431B-8342-9ACA1D317889}"/>
    <cellStyle name="Ausgabe 3 2" xfId="653" xr:uid="{B8538F55-9074-446C-981B-36544CB31A50}"/>
    <cellStyle name="Ausgabe 3 2 2" xfId="868" xr:uid="{BF358638-C51E-408F-B5C3-2730C5A373F4}"/>
    <cellStyle name="Ausgabe 3 2 2 2" xfId="1318" xr:uid="{C04BDF65-822F-42C2-99A1-51F129EB49C9}"/>
    <cellStyle name="Ausgabe 3 2 2 3" xfId="1844" xr:uid="{4E7CE8C0-72CC-441A-BD7C-7B5C95948336}"/>
    <cellStyle name="Ausgabe 3 2 2 4" xfId="2215" xr:uid="{826FEC52-0BA4-49FB-AA11-095458383F7C}"/>
    <cellStyle name="Ausgabe 3 2 3" xfId="1383" xr:uid="{F3303548-6EC3-4139-BF10-AC6CE4C2767E}"/>
    <cellStyle name="Ausgabe 3 2 4" xfId="1637" xr:uid="{7D213612-2E14-4B8F-A381-9A4518088944}"/>
    <cellStyle name="Ausgabe 3 2 5" xfId="2009" xr:uid="{9334110C-4C08-4E38-86A0-B374D6D94575}"/>
    <cellStyle name="Ausgabe 3 3" xfId="572" xr:uid="{45892CCF-4592-4951-8550-998D406D172A}"/>
    <cellStyle name="Ausgabe 3 3 2" xfId="787" xr:uid="{D718DBD8-03A7-488C-AF40-01DFF7875F76}"/>
    <cellStyle name="Ausgabe 3 3 2 2" xfId="1186" xr:uid="{D54AFA87-3AE4-45C3-9642-7C966AAABA7D}"/>
    <cellStyle name="Ausgabe 3 3 2 3" xfId="1763" xr:uid="{66D024F2-048C-4ED2-B623-EAA5F0341DB9}"/>
    <cellStyle name="Ausgabe 3 3 2 4" xfId="2134" xr:uid="{D7A12A00-D758-423B-8FAA-9B7AE807BFF3}"/>
    <cellStyle name="Ausgabe 3 3 3" xfId="1378" xr:uid="{D8080C5A-F3E7-4C8A-8FAE-E65F144E9551}"/>
    <cellStyle name="Ausgabe 3 3 4" xfId="1556" xr:uid="{8C582571-E9AA-4E10-B503-B1C3D9EC3EB5}"/>
    <cellStyle name="Ausgabe 3 3 5" xfId="1928" xr:uid="{AA947DCD-0C3D-45C6-81A7-A421C59D42AB}"/>
    <cellStyle name="Ausgabe 3 4" xfId="736" xr:uid="{A376FF85-CC92-4DAF-99D3-1F556016400C}"/>
    <cellStyle name="Ausgabe 3 4 2" xfId="1298" xr:uid="{68BF8257-E451-4A20-A134-1C2F37C6788D}"/>
    <cellStyle name="Ausgabe 3 4 3" xfId="1713" xr:uid="{748D5697-2C85-498C-9861-BB9B984DFB4A}"/>
    <cellStyle name="Ausgabe 3 4 4" xfId="2084" xr:uid="{48D0450F-3CE7-418A-99CB-B62E67900DAA}"/>
    <cellStyle name="Ausgabe 3 5" xfId="1109" xr:uid="{4B53C6A2-7A59-4FE8-A092-48024F1770AA}"/>
    <cellStyle name="Ausgabe 3 6" xfId="1363" xr:uid="{570FB193-9C1C-4811-A30F-EBC48CC04564}"/>
    <cellStyle name="Ausgabe 4" xfId="577" xr:uid="{066A0A5C-63EF-499C-8DF7-F551E78BD959}"/>
    <cellStyle name="Ausgabe 4 2" xfId="792" xr:uid="{ADF553B8-48F5-48C5-A87D-5368B8F8D253}"/>
    <cellStyle name="Ausgabe 4 2 2" xfId="1255" xr:uid="{8073ED7F-C311-4AEC-9A28-6F0EDBFB94B1}"/>
    <cellStyle name="Ausgabe 4 2 3" xfId="1768" xr:uid="{FEDD104A-CA4F-4F1B-BF47-96A1A367DFE7}"/>
    <cellStyle name="Ausgabe 4 2 4" xfId="2139" xr:uid="{0696CC8D-D17F-4904-8A68-CF33310DDD9A}"/>
    <cellStyle name="Ausgabe 4 3" xfId="1308" xr:uid="{BF61DAE6-ECAD-4E9B-8DB3-AB10512816F6}"/>
    <cellStyle name="Ausgabe 4 4" xfId="1561" xr:uid="{D0E15D55-DF33-48D3-B7A5-E614D85D2DF0}"/>
    <cellStyle name="Ausgabe 4 5" xfId="1933" xr:uid="{4EB1C426-1ED7-4274-9EC5-9FE802E0151A}"/>
    <cellStyle name="Ausgabe 5" xfId="696" xr:uid="{7057CDE7-72CB-4DB1-ACD3-AE561A44483F}"/>
    <cellStyle name="Ausgabe 5 2" xfId="911" xr:uid="{80D082B4-E98C-4977-9A3E-FC1FB952D3F4}"/>
    <cellStyle name="Ausgabe 5 2 2" xfId="1503" xr:uid="{3179D948-E3DA-4E43-8D63-EF1383316E36}"/>
    <cellStyle name="Ausgabe 5 2 3" xfId="1887" xr:uid="{A5E10AAE-BE12-4602-836C-790220C214D0}"/>
    <cellStyle name="Ausgabe 5 2 4" xfId="2258" xr:uid="{7343E365-1002-4CB2-87F3-AFB013E61079}"/>
    <cellStyle name="Ausgabe 5 3" xfId="1241" xr:uid="{85A821F7-A6DE-4AB6-BBC9-4DE730425C74}"/>
    <cellStyle name="Ausgabe 5 4" xfId="1680" xr:uid="{AD49F04C-C767-4A0C-94CC-39A0DC072EB9}"/>
    <cellStyle name="Ausgabe 5 5" xfId="2052" xr:uid="{D25AD2CA-AF99-430A-A43C-BFA549675C6E}"/>
    <cellStyle name="Ausgabe 6" xfId="712" xr:uid="{A7DD8696-D91C-4CF2-8D31-37783CC88EFE}"/>
    <cellStyle name="Ausgabe 6 2" xfId="1410" xr:uid="{3A9CAF25-4421-4174-AE69-75EB27402E90}"/>
    <cellStyle name="Ausgabe 6 3" xfId="1695" xr:uid="{2D85F8E1-0701-4968-98A7-38762D721F7B}"/>
    <cellStyle name="Ausgabe 6 4" xfId="2067" xr:uid="{135A308F-5715-493C-9902-CC4546309723}"/>
    <cellStyle name="Bad 2" xfId="160" xr:uid="{70EC9623-573B-4142-B810-253ED88C7CF6}"/>
    <cellStyle name="Bad 3" xfId="257" xr:uid="{37F113E3-858A-45C7-897B-EDFA7AF4A401}"/>
    <cellStyle name="Bad 4" xfId="397" xr:uid="{A6087649-AE9F-4C65-96F3-36EA9B336801}"/>
    <cellStyle name="Berechnung" xfId="74" hidden="1" xr:uid="{DDD7AF8B-A653-4295-AB40-CBDDB3A24F0F}"/>
    <cellStyle name="Berechnung" xfId="973" hidden="1" xr:uid="{605139B5-E503-4EA4-8B42-FF627D11ACBB}"/>
    <cellStyle name="Berechnung" xfId="929" hidden="1" xr:uid="{7C1D1784-3073-444E-B320-05E3BBEB296D}"/>
    <cellStyle name="Berechnung" xfId="1113" hidden="1" xr:uid="{071265E2-7976-4F21-948F-9F58092116C2}"/>
    <cellStyle name="Berechnung" xfId="1358" hidden="1" xr:uid="{B51B81C9-32AC-4CD5-A546-1732D79AA683}"/>
    <cellStyle name="Berechnung" xfId="1286" hidden="1" xr:uid="{2DCEA1D4-AAC9-4CED-A154-E0DC2BA4144E}"/>
    <cellStyle name="Berechnung 2" xfId="426" xr:uid="{466E2501-F730-4189-BF15-0D04D8C55738}"/>
    <cellStyle name="Berechnung 2 2" xfId="682" xr:uid="{67B78F50-2C21-4D01-BA06-66546800F4FC}"/>
    <cellStyle name="Berechnung 2 2 2" xfId="897" xr:uid="{5B4B1C62-A18D-4FA2-B248-9F1E7E266F0B}"/>
    <cellStyle name="Berechnung 2 2 2 2" xfId="1166" xr:uid="{B3B4BD30-FCA9-4DCE-A44C-059AE4CD8717}"/>
    <cellStyle name="Berechnung 2 2 2 3" xfId="1873" xr:uid="{A34604FE-C490-4D99-967D-1A10AACC6572}"/>
    <cellStyle name="Berechnung 2 2 2 4" xfId="2244" xr:uid="{501E7423-9960-4A2E-A1CB-6AD89E502654}"/>
    <cellStyle name="Berechnung 2 2 3" xfId="1275" xr:uid="{F8501051-01FB-459E-956E-5017309B5E70}"/>
    <cellStyle name="Berechnung 2 2 4" xfId="1666" xr:uid="{43431591-6B23-4F66-941C-7357DBC9F946}"/>
    <cellStyle name="Berechnung 2 2 5" xfId="2038" xr:uid="{89BFF1F5-B692-4129-8F89-B14762A8BFA0}"/>
    <cellStyle name="Berechnung 2 3" xfId="547" xr:uid="{04A87F44-9A9E-4555-802B-5F924AF65DE9}"/>
    <cellStyle name="Berechnung 2 3 2" xfId="762" xr:uid="{80BED556-A96A-4C86-91DC-F073D0FC6AF1}"/>
    <cellStyle name="Berechnung 2 3 2 2" xfId="1352" xr:uid="{59FD50EC-FFAC-4F95-BECD-7DF90172525A}"/>
    <cellStyle name="Berechnung 2 3 2 3" xfId="1738" xr:uid="{7CEC4182-E02A-4024-A5DD-4DAB7DD9D65D}"/>
    <cellStyle name="Berechnung 2 3 2 4" xfId="2109" xr:uid="{25B3166F-39D4-40EE-AFE1-F6543447E3B1}"/>
    <cellStyle name="Berechnung 2 3 3" xfId="1019" xr:uid="{2BE81ADD-676F-4ED0-88E0-E295EC513316}"/>
    <cellStyle name="Berechnung 2 3 4" xfId="1531" xr:uid="{8FC1632F-10CB-4C6D-9C0E-CAEAE247F8EB}"/>
    <cellStyle name="Berechnung 2 3 5" xfId="1903" xr:uid="{F988979A-A8AC-48E6-906B-484E2E9CAEA0}"/>
    <cellStyle name="Berechnung 2 4" xfId="603" xr:uid="{6333BC88-587E-4ADE-9099-68A47480C6A7}"/>
    <cellStyle name="Berechnung 2 4 2" xfId="818" xr:uid="{EA987C54-2234-4615-9413-538809A8C28B}"/>
    <cellStyle name="Berechnung 2 4 2 2" xfId="1183" xr:uid="{FD8406B2-540E-4636-8735-A0260C027BF3}"/>
    <cellStyle name="Berechnung 2 4 2 3" xfId="1794" xr:uid="{53C667C1-843F-4471-9FA9-E52BC6C10548}"/>
    <cellStyle name="Berechnung 2 4 2 4" xfId="2165" xr:uid="{8C2FA5EB-9B11-4307-B2C1-92B63AB3F876}"/>
    <cellStyle name="Berechnung 2 4 3" xfId="1227" xr:uid="{87F931E6-CEF8-4839-ACC9-31F2B2DE83BE}"/>
    <cellStyle name="Berechnung 2 4 4" xfId="1587" xr:uid="{6B80E81B-A7B4-4ED1-9F8B-5957EFBBC2A5}"/>
    <cellStyle name="Berechnung 2 4 5" xfId="1959" xr:uid="{B7F1B573-9A5D-49BF-BB1A-5B4399CAE8D9}"/>
    <cellStyle name="Berechnung 2 5" xfId="740" xr:uid="{E9EAA837-AA6C-4576-8448-BB229E3524AC}"/>
    <cellStyle name="Berechnung 2 5 2" xfId="1074" xr:uid="{4238E600-0AED-4CCC-ABE8-2A5B7DF5D7BF}"/>
    <cellStyle name="Berechnung 2 5 3" xfId="1716" xr:uid="{53EE8D2A-38FB-4E40-8663-2A568487E138}"/>
    <cellStyle name="Berechnung 2 5 4" xfId="2087" xr:uid="{254FAD7B-B606-4A90-8C55-8E54D5AE2341}"/>
    <cellStyle name="Berechnung 2 6" xfId="1253" xr:uid="{644E69C3-1387-4F7B-98BD-836BA45633C6}"/>
    <cellStyle name="Berechnung 2 7" xfId="1093" xr:uid="{0509A720-285E-48A9-8A8F-32C367F393FB}"/>
    <cellStyle name="Berechnung 2 8" xfId="65" xr:uid="{632D8D34-A96D-4ADD-9047-60A68043D10A}"/>
    <cellStyle name="Berechnung 3" xfId="306" xr:uid="{EF71C98E-116A-4493-9B6C-BD11A737C747}"/>
    <cellStyle name="Berechnung 3 2" xfId="645" xr:uid="{A12D1CCD-7946-4679-8F31-DBB2805C85BF}"/>
    <cellStyle name="Berechnung 3 2 2" xfId="860" xr:uid="{EAC0DEB7-330D-4B63-B2BD-06AEEA75E0E4}"/>
    <cellStyle name="Berechnung 3 2 2 2" xfId="1149" xr:uid="{B13DC556-7019-46B8-BA21-F9FCA12AB9F1}"/>
    <cellStyle name="Berechnung 3 2 2 3" xfId="1836" xr:uid="{953B4336-BDEB-4971-8CA6-CA3D055D6954}"/>
    <cellStyle name="Berechnung 3 2 2 4" xfId="2207" xr:uid="{41541910-B4AF-4057-9A53-D334ECCAB752}"/>
    <cellStyle name="Berechnung 3 2 3" xfId="1414" xr:uid="{CAD8F9D7-74EE-4317-91CF-9253917DD983}"/>
    <cellStyle name="Berechnung 3 2 4" xfId="1629" xr:uid="{01151005-2E3B-450A-9C92-6F8919D11455}"/>
    <cellStyle name="Berechnung 3 2 5" xfId="2001" xr:uid="{8B0A1C35-737C-494E-B5BE-07804A6A461D}"/>
    <cellStyle name="Berechnung 3 3" xfId="581" xr:uid="{AE392EFD-39E4-4C9B-86CF-F82B4D8D4B60}"/>
    <cellStyle name="Berechnung 3 3 2" xfId="796" xr:uid="{FA43C83A-99A4-4D0A-A1DF-B2E4189048C1}"/>
    <cellStyle name="Berechnung 3 3 2 2" xfId="1067" xr:uid="{C7CA0401-E1E8-4CBD-A3DA-388F19CB88BA}"/>
    <cellStyle name="Berechnung 3 3 2 3" xfId="1772" xr:uid="{AD3D68BE-AE7D-4657-AC45-114BC8A94950}"/>
    <cellStyle name="Berechnung 3 3 2 4" xfId="2143" xr:uid="{43AEE9BA-9EAA-4323-97CE-73E64AED9495}"/>
    <cellStyle name="Berechnung 3 3 3" xfId="1101" xr:uid="{C0FD5BCF-4E97-450C-8971-2466AC63B9F3}"/>
    <cellStyle name="Berechnung 3 3 4" xfId="1565" xr:uid="{52B4A560-7985-47CE-9922-E72D6725402D}"/>
    <cellStyle name="Berechnung 3 3 5" xfId="1937" xr:uid="{B154C745-29F5-413E-B398-C026B54E4EA1}"/>
    <cellStyle name="Berechnung 3 4" xfId="593" xr:uid="{D7DDE1A8-EA5E-4341-A81B-8376A15755DA}"/>
    <cellStyle name="Berechnung 3 4 2" xfId="808" xr:uid="{C10DA0E1-1F86-4CBB-ADDD-64D3D7611909}"/>
    <cellStyle name="Berechnung 3 4 2 2" xfId="1260" xr:uid="{8E06C819-D7B0-439F-B0AE-1ADA4007C718}"/>
    <cellStyle name="Berechnung 3 4 2 3" xfId="1784" xr:uid="{51ED25D4-ADE4-4462-BA87-8E7CEBD62085}"/>
    <cellStyle name="Berechnung 3 4 2 4" xfId="2155" xr:uid="{B0754232-EA23-4D4C-A19E-B937D8F638DA}"/>
    <cellStyle name="Berechnung 3 4 3" xfId="1177" xr:uid="{2FE9D19C-5704-47CC-BE57-36327585CBF2}"/>
    <cellStyle name="Berechnung 3 4 4" xfId="1577" xr:uid="{9F5ED67D-9DE8-4B85-8F72-5396BA944402}"/>
    <cellStyle name="Berechnung 3 4 5" xfId="1949" xr:uid="{80E8F290-BDC5-4B9A-8F3C-D2F2A846AECA}"/>
    <cellStyle name="Berechnung 3 5" xfId="731" xr:uid="{72921CB0-6C4A-4B28-A753-C804DF1E5BC6}"/>
    <cellStyle name="Berechnung 3 5 2" xfId="1377" xr:uid="{93504B52-0D9A-4FB2-A60F-7D50DA1D7D86}"/>
    <cellStyle name="Berechnung 3 5 3" xfId="1710" xr:uid="{EF7BBBDE-9CC4-4B84-B9A8-3EE817076954}"/>
    <cellStyle name="Berechnung 3 5 4" xfId="2082" xr:uid="{616888C7-DBC2-475C-A75C-6DD5B21D0029}"/>
    <cellStyle name="Berechnung 3 6" xfId="1431" xr:uid="{DFFA4F89-43F5-4098-9898-F00B7249CD1E}"/>
    <cellStyle name="Berechnung 3 7" xfId="1007" xr:uid="{6B11D248-1D8C-4EAB-8E35-AE0A37D3317D}"/>
    <cellStyle name="Berechnung 3 8" xfId="1304" xr:uid="{DD989543-8516-49A3-A219-B011CC6A0447}"/>
    <cellStyle name="Berechnung 4" xfId="578" xr:uid="{40DA6C11-038A-4E46-8812-81C741CF5559}"/>
    <cellStyle name="Berechnung 4 2" xfId="793" xr:uid="{B2FA2580-6521-4FC9-B98F-00DD7A04454C}"/>
    <cellStyle name="Berechnung 4 2 2" xfId="1066" xr:uid="{863AC02B-CE42-4AC6-B958-1A5B8C8C760F}"/>
    <cellStyle name="Berechnung 4 2 3" xfId="1769" xr:uid="{E0E315A0-0CD1-480F-A7A3-01CE81EB71BF}"/>
    <cellStyle name="Berechnung 4 2 4" xfId="2140" xr:uid="{8716F89A-AF58-495D-95E1-600BF64F7CAC}"/>
    <cellStyle name="Berechnung 4 3" xfId="1432" xr:uid="{19527443-3809-4112-9522-59137FFE10E2}"/>
    <cellStyle name="Berechnung 4 4" xfId="1562" xr:uid="{2A00715E-59E5-4BC7-93B7-E7FD5320010E}"/>
    <cellStyle name="Berechnung 4 5" xfId="1934" xr:uid="{D1C2A20F-04F3-43BC-B2B5-900BDF903506}"/>
    <cellStyle name="Berechnung 5" xfId="695" xr:uid="{196D1146-856D-4B85-BDFE-BC5D7C817B29}"/>
    <cellStyle name="Berechnung 5 2" xfId="910" xr:uid="{A2C166BE-B09B-43F0-9FD1-163BE7206FBF}"/>
    <cellStyle name="Berechnung 5 2 2" xfId="1502" xr:uid="{C1425373-09DF-4529-83B3-310E0A75E81B}"/>
    <cellStyle name="Berechnung 5 2 3" xfId="1886" xr:uid="{8018D42F-0ACE-476B-AD8C-EA411816870A}"/>
    <cellStyle name="Berechnung 5 2 4" xfId="2257" xr:uid="{D4882505-BD05-4811-AEA0-FF5DF9C237CB}"/>
    <cellStyle name="Berechnung 5 3" xfId="1424" xr:uid="{A56644B5-7BF5-4FB6-9BED-AE9367D75C7C}"/>
    <cellStyle name="Berechnung 5 4" xfId="1679" xr:uid="{5160594E-B997-4E6D-92CB-9A6194B7AC7A}"/>
    <cellStyle name="Berechnung 5 5" xfId="2051" xr:uid="{146C2E83-22EC-4BCD-A75F-1DEA47B71585}"/>
    <cellStyle name="Berechnung 6" xfId="707" xr:uid="{BC737815-3D97-41A7-86A9-B960165645F2}"/>
    <cellStyle name="Berechnung 6 2" xfId="921" xr:uid="{C1BB0E2A-D084-419A-89C4-4810406F4171}"/>
    <cellStyle name="Berechnung 6 2 2" xfId="1513" xr:uid="{B78FA652-E5BD-4C21-AEA5-B88D66F69646}"/>
    <cellStyle name="Berechnung 6 2 3" xfId="1897" xr:uid="{52A20295-3C82-4B57-A9F3-668C15093C83}"/>
    <cellStyle name="Berechnung 6 2 4" xfId="2268" xr:uid="{FD495315-24CC-4348-9475-E60475D886C1}"/>
    <cellStyle name="Berechnung 6 3" xfId="1162" xr:uid="{EDDCFC01-B9D5-4DEA-BB1C-BA63AC13CF29}"/>
    <cellStyle name="Berechnung 6 4" xfId="1690" xr:uid="{0CB0F1FF-8B88-4D9C-838E-090FCF7E806D}"/>
    <cellStyle name="Berechnung 6 5" xfId="2062" xr:uid="{1C72DD34-4B52-4BA7-9D40-46E68134ABA3}"/>
    <cellStyle name="Berechnung 7" xfId="713" xr:uid="{C1D777E2-5B44-45CA-B05E-D728AFD5AD5E}"/>
    <cellStyle name="Berechnung 7 2" xfId="930" xr:uid="{CCA654C7-29B1-4FEC-BE61-84980019C587}"/>
    <cellStyle name="Berechnung 7 3" xfId="1696" xr:uid="{77759BF4-DEAE-477F-BA52-A9B42130646F}"/>
    <cellStyle name="Berechnung 7 4" xfId="2068" xr:uid="{0B89FDD9-A9F2-42E2-B8F5-ABB7387D456A}"/>
    <cellStyle name="Bold GHG Numbers (0.00)" xfId="161" xr:uid="{3FEB66A2-F924-47FA-B122-223A0F7216D1}"/>
    <cellStyle name="Calculation 2" xfId="162" xr:uid="{4CDA0B0A-92C2-429A-B6C2-63DD3227C4A8}"/>
    <cellStyle name="Calculation 2 2" xfId="580" xr:uid="{071053A7-6ADB-4424-9A4A-CD39E8B0D68A}"/>
    <cellStyle name="Calculation 2 2 2" xfId="795" xr:uid="{95A04BAE-D65B-4E02-828B-9E435A0F78AF}"/>
    <cellStyle name="Calculation 2 2 2 2" xfId="1168" xr:uid="{744DB1D4-957C-4A00-B2EE-5BBC02CFC7F1}"/>
    <cellStyle name="Calculation 2 2 2 3" xfId="1771" xr:uid="{FCBDE3F8-1266-4BE1-98A4-0A0947AEC860}"/>
    <cellStyle name="Calculation 2 2 2 4" xfId="2142" xr:uid="{93620864-64AD-4701-B064-DFC572161215}"/>
    <cellStyle name="Calculation 2 2 3" xfId="942" xr:uid="{D24C508A-9050-4E19-8AEC-AA669BD07371}"/>
    <cellStyle name="Calculation 2 2 4" xfId="1564" xr:uid="{7BEA0726-D6DF-4E6B-BEE8-D437262F0A5E}"/>
    <cellStyle name="Calculation 2 2 5" xfId="1936" xr:uid="{9A0D2106-4BEF-4FD2-9D1E-F4A74726B5D3}"/>
    <cellStyle name="Calculation 2 3" xfId="664" xr:uid="{3E388F13-7BBE-486C-ACD2-0D08091F2A77}"/>
    <cellStyle name="Calculation 2 3 2" xfId="879" xr:uid="{A5B39AE9-9D6F-4140-8332-A15296CBB11A}"/>
    <cellStyle name="Calculation 2 3 2 2" xfId="1165" xr:uid="{54C4B6DA-9751-4881-91D9-14E1C188EA49}"/>
    <cellStyle name="Calculation 2 3 2 3" xfId="1855" xr:uid="{811EAD72-E00E-45A7-8CC3-06425F5A9634}"/>
    <cellStyle name="Calculation 2 3 2 4" xfId="2226" xr:uid="{6552BEDE-98F8-46FD-8D07-058A7640C71B}"/>
    <cellStyle name="Calculation 2 3 3" xfId="1239" xr:uid="{B8386B0F-DCD7-4A28-9E04-924184A2D6F3}"/>
    <cellStyle name="Calculation 2 3 4" xfId="1648" xr:uid="{90E696E0-0132-4F31-97FA-50AD24CFC984}"/>
    <cellStyle name="Calculation 2 3 5" xfId="2020" xr:uid="{48A5E686-9B60-46EF-8759-4D3559BE38EF}"/>
    <cellStyle name="Calculation 2 4" xfId="570" xr:uid="{B6FA0EF7-73B3-49BD-9CDC-A52496E39F69}"/>
    <cellStyle name="Calculation 2 4 2" xfId="785" xr:uid="{4DEC392C-AFA7-4E20-8BBF-510BAE15711F}"/>
    <cellStyle name="Calculation 2 4 2 2" xfId="1079" xr:uid="{0CC7E0D5-624B-4C31-818A-1C037FB751F9}"/>
    <cellStyle name="Calculation 2 4 2 3" xfId="1761" xr:uid="{574A4D2A-88D2-4402-8080-1858218A5E5D}"/>
    <cellStyle name="Calculation 2 4 2 4" xfId="2132" xr:uid="{E92BCF18-7524-4491-B2F6-B22DFE11CD55}"/>
    <cellStyle name="Calculation 2 4 3" xfId="1207" xr:uid="{467A20C5-E16A-4FEA-BB07-A3F663C70F9A}"/>
    <cellStyle name="Calculation 2 4 4" xfId="1554" xr:uid="{E533936B-4932-4131-945B-79A3F7CE0F63}"/>
    <cellStyle name="Calculation 2 4 5" xfId="1926" xr:uid="{8013D02D-E361-4C47-A98A-B2D45B7A4183}"/>
    <cellStyle name="Calculation 2 5" xfId="714" xr:uid="{63DB3D99-9C66-4289-9FD0-4B6686A811D6}"/>
    <cellStyle name="Calculation 2 5 2" xfId="1375" xr:uid="{46FA2E84-5051-47B0-BDAB-539E7AA19427}"/>
    <cellStyle name="Calculation 2 5 3" xfId="1697" xr:uid="{EAFC3B79-F4A3-4891-874B-86C82614CE07}"/>
    <cellStyle name="Calculation 2 5 4" xfId="2069" xr:uid="{BFA0DE61-1CCF-4B84-A43B-A24ED61ACC74}"/>
    <cellStyle name="Calculation 2 6" xfId="1348" xr:uid="{E03A2D65-CE4A-479E-829E-ECF2DA72016A}"/>
    <cellStyle name="Calculation 2 7" xfId="1225" xr:uid="{F8806682-6180-4169-9F38-94AC56B27A03}"/>
    <cellStyle name="Calculation 2 8" xfId="1003" xr:uid="{00027F7F-5E0B-4605-8921-68D3CF57A284}"/>
    <cellStyle name="Calculation 3" xfId="258" xr:uid="{1EE7AAC6-21D6-46F1-86B4-5E0F8D111A83}"/>
    <cellStyle name="Calculation 3 2" xfId="619" xr:uid="{23409B14-EE2D-41AB-941A-0970241BAED7}"/>
    <cellStyle name="Calculation 3 2 2" xfId="834" xr:uid="{412B3A67-8E8D-4FD3-89AF-2A22E05AC8AE}"/>
    <cellStyle name="Calculation 3 2 2 2" xfId="961" xr:uid="{C7829994-5CBE-4DBC-A756-B8CCB1E250D8}"/>
    <cellStyle name="Calculation 3 2 2 3" xfId="1810" xr:uid="{35BF2247-C7DA-4B34-B402-9F2DAC1D4E6F}"/>
    <cellStyle name="Calculation 3 2 2 4" xfId="2181" xr:uid="{088392F9-B5CD-4590-8AE4-6683E8635515}"/>
    <cellStyle name="Calculation 3 2 3" xfId="1354" xr:uid="{9D02B812-D28E-4704-AA0A-E162734188C2}"/>
    <cellStyle name="Calculation 3 2 4" xfId="1603" xr:uid="{84B4F0A1-E6D6-4208-B78E-A4AB49B715BA}"/>
    <cellStyle name="Calculation 3 2 5" xfId="1975" xr:uid="{6DCE3773-8095-4E9D-BF51-FD7F48D7C26C}"/>
    <cellStyle name="Calculation 3 3" xfId="605" xr:uid="{E1E46AC5-F9CE-4AB3-8E5A-539BC29B74A4}"/>
    <cellStyle name="Calculation 3 3 2" xfId="820" xr:uid="{1AB31A17-EBD3-4BE2-A810-75F1013ED012}"/>
    <cellStyle name="Calculation 3 3 2 2" xfId="1233" xr:uid="{9D4F851D-2302-49E0-9782-14FC20DDDD1C}"/>
    <cellStyle name="Calculation 3 3 2 3" xfId="1796" xr:uid="{B774ACE2-6887-457D-8290-ABB87027B4AE}"/>
    <cellStyle name="Calculation 3 3 2 4" xfId="2167" xr:uid="{AEEB5C06-33A2-46A3-8F7F-97D12C95BDC6}"/>
    <cellStyle name="Calculation 3 3 3" xfId="1427" xr:uid="{C127CFB6-95B2-4AC6-B30B-DBF48FE79C0F}"/>
    <cellStyle name="Calculation 3 3 4" xfId="1589" xr:uid="{1574672B-A798-4E94-91A1-FA1641FBABC7}"/>
    <cellStyle name="Calculation 3 3 5" xfId="1961" xr:uid="{095FC8CC-0F7F-4111-A75D-28D943E43A26}"/>
    <cellStyle name="Calculation 3 4" xfId="689" xr:uid="{01761D4F-D470-4E87-8A0A-98646BF6D407}"/>
    <cellStyle name="Calculation 3 4 2" xfId="904" xr:uid="{47AE2EA7-72A5-44E6-B78C-6A0D1203371D}"/>
    <cellStyle name="Calculation 3 4 2 2" xfId="1496" xr:uid="{CF4807A2-1ADD-46E4-A64F-09A0FFA2E26F}"/>
    <cellStyle name="Calculation 3 4 2 3" xfId="1880" xr:uid="{62E1DDB5-245E-432C-A6C3-C740F31E73A4}"/>
    <cellStyle name="Calculation 3 4 2 4" xfId="2251" xr:uid="{02BA47D5-D57F-465D-AFBA-4EBB26AF076F}"/>
    <cellStyle name="Calculation 3 4 3" xfId="1339" xr:uid="{4FAA1B3B-5C8B-47F0-9BAA-2F328E9F49A8}"/>
    <cellStyle name="Calculation 3 4 4" xfId="1673" xr:uid="{CDC151E4-17C7-42F0-8849-187D45CEB6AF}"/>
    <cellStyle name="Calculation 3 4 5" xfId="2045" xr:uid="{3F4EFD16-7FA1-473A-BA66-CB21D977A3D6}"/>
    <cellStyle name="Calculation 3 5" xfId="722" xr:uid="{2919E0E6-AA44-4596-8AD0-C86060472339}"/>
    <cellStyle name="Calculation 3 5 2" xfId="1274" xr:uid="{CFD84216-077C-4083-A206-8050A1682AB6}"/>
    <cellStyle name="Calculation 3 5 3" xfId="1705" xr:uid="{9FE56217-0D53-441A-BC44-FA9B60E7CE20}"/>
    <cellStyle name="Calculation 3 5 4" xfId="2077" xr:uid="{E55647E2-5FF5-4416-89F3-3941E085614C}"/>
    <cellStyle name="Calculation 3 6" xfId="1370" xr:uid="{8E47245B-EA95-4EA2-9E1E-2383891E93A1}"/>
    <cellStyle name="Calculation 3 7" xfId="1229" xr:uid="{489DEBD3-0C8C-4A53-A72C-A73881D7731B}"/>
    <cellStyle name="Calculation 3 8" xfId="1148" xr:uid="{704FE998-EAE8-475B-8F86-FA8C5245C7EB}"/>
    <cellStyle name="Check Cell 2" xfId="163" xr:uid="{B5D32B62-BB36-4FB9-A7A0-D675F00BF46C}"/>
    <cellStyle name="Check Cell 3" xfId="259" xr:uid="{784AEC6C-D503-4EE0-B1A1-55F454467E2E}"/>
    <cellStyle name="Check Cell 4" xfId="403" xr:uid="{84D1E89F-5174-483E-97B0-33FCA31459F7}"/>
    <cellStyle name="Comma" xfId="20" builtinId="3"/>
    <cellStyle name="Comma [0]" xfId="13" builtinId="6"/>
    <cellStyle name="Comma [0] 2" xfId="1" xr:uid="{720AC5F4-E745-4D15-AC6B-57F0BB328BA6}"/>
    <cellStyle name="Comma [0] 2 2" xfId="9" xr:uid="{00000000-0005-0000-0000-000001000000}"/>
    <cellStyle name="Comma [0] 2 3" xfId="12" xr:uid="{00000000-0005-0000-0000-000001000000}"/>
    <cellStyle name="Comma [0] 3" xfId="8" xr:uid="{00000000-0005-0000-0000-000035000000}"/>
    <cellStyle name="Comma [0] 4" xfId="11" xr:uid="{00000000-0005-0000-0000-000038000000}"/>
    <cellStyle name="Comma 2" xfId="164" xr:uid="{3671973F-3DC1-486F-9065-F458F7E0EDFA}"/>
    <cellStyle name="Comma 2 2" xfId="165" xr:uid="{FC166547-2BF6-4E61-BB8B-3FEDA5BB87B1}"/>
    <cellStyle name="Comma 2 2 2" xfId="448" xr:uid="{EC1A88E1-B56F-4B03-9FC6-5534FB38814B}"/>
    <cellStyle name="Comma 3" xfId="166" xr:uid="{1260E5FF-DDB8-4A95-A1A6-F42968CC2667}"/>
    <cellStyle name="Constants" xfId="24" xr:uid="{5A47AF08-1886-4688-9A15-09AB709BB81C}"/>
    <cellStyle name="ContentsHyperlink" xfId="275" xr:uid="{2EA282B9-DD3F-48E4-B499-443F0FEBD5F0}"/>
    <cellStyle name="CustomCellsOrange" xfId="167" xr:uid="{59D47F6D-253D-4542-A90C-7D145E9B3352}"/>
    <cellStyle name="CustomCellsOrange 2" xfId="449" xr:uid="{50A0B01F-7858-452B-B05C-8C85D7070645}"/>
    <cellStyle name="CustomCellsOrange 2 2" xfId="472" xr:uid="{CFAC51F3-3240-43F1-832F-D157A2407383}"/>
    <cellStyle name="CustomCellsOrange 2 2 2" xfId="542" xr:uid="{F8D0C9A0-6FB4-4A56-A715-E97F68166F1D}"/>
    <cellStyle name="CustomCellsOrange 2 2 2 2" xfId="708" xr:uid="{FD599029-E441-4A57-87FC-EFA2582FA10A}"/>
    <cellStyle name="CustomCellsOrange 2 2 2 2 2" xfId="922" xr:uid="{644685E2-5181-4524-B913-BDBA22F36972}"/>
    <cellStyle name="CustomCellsOrange 2 2 2 2 2 2" xfId="1514" xr:uid="{580B9F35-C94E-4639-AAEC-338E282DC4D3}"/>
    <cellStyle name="CustomCellsOrange 2 2 2 2 2 3" xfId="1898" xr:uid="{65F78D5B-9316-470E-A4DF-AA0237164853}"/>
    <cellStyle name="CustomCellsOrange 2 2 2 2 2 4" xfId="2269" xr:uid="{A0600338-D958-4882-90A2-8CE4C55F2492}"/>
    <cellStyle name="CustomCellsOrange 2 2 2 2 3" xfId="1129" xr:uid="{15581DBE-7786-4915-9DE7-DF231BA857E7}"/>
    <cellStyle name="CustomCellsOrange 2 2 2 2 4" xfId="1691" xr:uid="{E4EBF225-BA71-4209-B29F-95FB73B64158}"/>
    <cellStyle name="CustomCellsOrange 2 2 2 2 5" xfId="2063" xr:uid="{D48993D2-9BA6-4021-99A7-0D2CE85CAC8F}"/>
    <cellStyle name="CustomCellsOrange 2 2 3" xfId="691" xr:uid="{63F0655F-8BE3-475D-90E6-8A77D71C7F27}"/>
    <cellStyle name="CustomCellsOrange 2 2 3 2" xfId="906" xr:uid="{3FBD9753-E5D3-459C-A3C3-0415DE842C9B}"/>
    <cellStyle name="CustomCellsOrange 2 2 3 2 2" xfId="1498" xr:uid="{3F5BAAB8-40D0-4C67-844E-E8C15CF96C4D}"/>
    <cellStyle name="CustomCellsOrange 2 2 3 2 3" xfId="1882" xr:uid="{F8399D8A-E13E-48C6-A026-FFBDC3734E8F}"/>
    <cellStyle name="CustomCellsOrange 2 2 3 2 4" xfId="2253" xr:uid="{2F766A6F-D57E-49B4-AE7B-8B9136F922FB}"/>
    <cellStyle name="CustomCellsOrange 2 2 3 3" xfId="1356" xr:uid="{CD92BB70-2108-469B-9B1D-5F914049E7DF}"/>
    <cellStyle name="CustomCellsOrange 2 2 3 4" xfId="1675" xr:uid="{646C4045-96BC-4B38-8A98-880DFA0BB608}"/>
    <cellStyle name="CustomCellsOrange 2 2 3 5" xfId="2047" xr:uid="{01202938-62C6-4389-B1D5-8EC36728B48C}"/>
    <cellStyle name="CustomCellsOrange 2 2 4" xfId="609" xr:uid="{B7D11993-9825-4CDA-ACF0-8F3AC3C308A5}"/>
    <cellStyle name="CustomCellsOrange 2 2 4 2" xfId="824" xr:uid="{42A0051E-33AD-4B3A-99CF-9421C367791F}"/>
    <cellStyle name="CustomCellsOrange 2 2 4 2 2" xfId="1173" xr:uid="{307CADE5-B9B3-4767-85FA-6BCE83734640}"/>
    <cellStyle name="CustomCellsOrange 2 2 4 2 3" xfId="1800" xr:uid="{EEE2A3AE-80F5-4635-A4D1-D49995B5484F}"/>
    <cellStyle name="CustomCellsOrange 2 2 4 2 4" xfId="2171" xr:uid="{5D2025FC-FB11-48EE-B109-91C273082E7F}"/>
    <cellStyle name="CustomCellsOrange 2 2 4 3" xfId="1297" xr:uid="{DF8034EA-4E6C-44BC-B6FD-C59ED8F90A33}"/>
    <cellStyle name="CustomCellsOrange 2 2 4 4" xfId="1593" xr:uid="{A954E42A-CD33-429B-9DFE-6DF3B26BBC8B}"/>
    <cellStyle name="CustomCellsOrange 2 2 4 5" xfId="1965" xr:uid="{42EB112D-E176-4AC1-8DBD-BE55A3892E33}"/>
    <cellStyle name="CustomCellsOrange 2 2 5" xfId="710" xr:uid="{9981D1FC-F649-4B78-B91D-79B319C341D2}"/>
    <cellStyle name="CustomCellsOrange 2 2 5 2" xfId="924" xr:uid="{0DF8D3CC-0EEC-4004-896A-979A5E5D3F56}"/>
    <cellStyle name="CustomCellsOrange 2 2 5 2 2" xfId="1516" xr:uid="{3CE45866-00C4-4FC6-9ABD-9408A0F816D4}"/>
    <cellStyle name="CustomCellsOrange 2 2 5 2 3" xfId="1900" xr:uid="{9D10E049-42BD-4462-95E5-F3CAEEFED56B}"/>
    <cellStyle name="CustomCellsOrange 2 2 5 2 4" xfId="2271" xr:uid="{83A72FF1-2DE2-4EA7-B6D3-AA9C84AA4B90}"/>
    <cellStyle name="CustomCellsOrange 2 2 5 3" xfId="1369" xr:uid="{DCEAD7AB-AE82-4B8C-B5A2-6558E4A178CD}"/>
    <cellStyle name="CustomCellsOrange 2 2 5 4" xfId="1693" xr:uid="{0FAE68AE-34D8-4BFC-930A-D8C1CDB1D7A9}"/>
    <cellStyle name="CustomCellsOrange 2 2 5 5" xfId="2065" xr:uid="{23D8C6E8-AE3B-4FD1-8B50-480869377E1A}"/>
    <cellStyle name="CustomCellsOrange 2 2 6" xfId="1098" xr:uid="{854BAC79-02BB-4A27-B301-ED28C01E20E9}"/>
    <cellStyle name="CustomCellsOrange 2 2 7" xfId="83" xr:uid="{41D55330-1459-4733-AD03-A7005F67C3C7}"/>
    <cellStyle name="CustomCellsOrange 2 2 8" xfId="1236" xr:uid="{C88E0635-50C7-4203-B0A2-9D54BBCEA55C}"/>
    <cellStyle name="CustomCellsOrange 3" xfId="307" xr:uid="{860F36C8-B33E-4870-9DF9-E101CEF381C5}"/>
    <cellStyle name="CustomCellsOrange 3 2" xfId="646" xr:uid="{C08CD969-1AF1-483A-A543-574B105C7453}"/>
    <cellStyle name="CustomCellsOrange 3 2 2" xfId="861" xr:uid="{45B4A282-E3A3-46D4-B61E-A7214D557691}"/>
    <cellStyle name="CustomCellsOrange 3 2 2 2" xfId="1190" xr:uid="{CC4543CA-EA54-44B5-875F-A1C33371F66A}"/>
    <cellStyle name="CustomCellsOrange 3 2 2 3" xfId="1837" xr:uid="{3E6758B2-8209-459F-B0D3-84ECD4F9F4C0}"/>
    <cellStyle name="CustomCellsOrange 3 2 2 4" xfId="2208" xr:uid="{8BB15A5F-D698-479C-ABAB-E6D64B52419D}"/>
    <cellStyle name="CustomCellsOrange 3 2 3" xfId="1203" xr:uid="{4DF97774-E69B-47FC-8FB3-1FD82B66F5EB}"/>
    <cellStyle name="CustomCellsOrange 3 2 4" xfId="1630" xr:uid="{779BA2AF-5FCE-412C-9B6B-1F89A82D3863}"/>
    <cellStyle name="CustomCellsOrange 3 2 5" xfId="2002" xr:uid="{AE02B9F7-799D-4D07-8CD0-64A7D766FA5A}"/>
    <cellStyle name="CustomCellsOrange 3 3" xfId="579" xr:uid="{E49AF2FE-F3E2-46D5-951D-81E5006E5480}"/>
    <cellStyle name="CustomCellsOrange 3 3 2" xfId="794" xr:uid="{7C3C8D71-9779-4E08-99D5-92EB64E72390}"/>
    <cellStyle name="CustomCellsOrange 3 3 2 2" xfId="927" xr:uid="{639C5934-A6DD-46A3-AC63-8B352093A9BE}"/>
    <cellStyle name="CustomCellsOrange 3 3 2 3" xfId="1770" xr:uid="{9C57D91F-5208-4A95-9545-A3A2A672F81E}"/>
    <cellStyle name="CustomCellsOrange 3 3 2 4" xfId="2141" xr:uid="{EC109F5A-0F48-4376-91B8-692573C1416B}"/>
    <cellStyle name="CustomCellsOrange 3 3 3" xfId="1115" xr:uid="{EC1F2799-6873-486B-9966-F5120757D21F}"/>
    <cellStyle name="CustomCellsOrange 3 3 4" xfId="1563" xr:uid="{69080A39-24DD-486C-864A-99112DAEA419}"/>
    <cellStyle name="CustomCellsOrange 3 3 5" xfId="1935" xr:uid="{D87681BA-7EDF-4882-A19C-34C50A12A29C}"/>
    <cellStyle name="CustomCellsOrange 3 4" xfId="592" xr:uid="{A907DCFB-E975-4376-B241-31A87A21C785}"/>
    <cellStyle name="CustomCellsOrange 3 4 2" xfId="807" xr:uid="{96733A4D-A56D-4940-A6E1-7A4437B55EDD}"/>
    <cellStyle name="CustomCellsOrange 3 4 2 2" xfId="935" xr:uid="{5A581A6C-F0FC-4890-9ADB-AAA1EDC7F417}"/>
    <cellStyle name="CustomCellsOrange 3 4 2 3" xfId="1783" xr:uid="{1A86E3C2-A3FB-4B69-8957-3C9F620245AB}"/>
    <cellStyle name="CustomCellsOrange 3 4 2 4" xfId="2154" xr:uid="{87F889FD-48D9-4F3A-A671-B327422B6EF5}"/>
    <cellStyle name="CustomCellsOrange 3 4 3" xfId="1331" xr:uid="{88181248-D28E-4EF4-9293-033060871A6A}"/>
    <cellStyle name="CustomCellsOrange 3 4 4" xfId="1576" xr:uid="{083B5ADA-EE09-433A-9A8A-B74BF76B5ADD}"/>
    <cellStyle name="CustomCellsOrange 3 4 5" xfId="1948" xr:uid="{68D7B6B5-A008-40AF-A432-C042BCC0BA26}"/>
    <cellStyle name="CustomCellsOrange 3 5" xfId="732" xr:uid="{500948F1-1060-4C22-8A49-386F652DD67F}"/>
    <cellStyle name="CustomCellsOrange 3 6" xfId="1368" xr:uid="{7DD77AF3-8BD7-42EF-A276-7E2F3649886B}"/>
    <cellStyle name="CustomCellsOrange 3 7" xfId="1483" xr:uid="{CDA31D1C-80D0-4B86-95F6-B99EE852F639}"/>
    <cellStyle name="CustomCellsOrange 3 8" xfId="1437" xr:uid="{0217D67F-D82B-45D6-8022-902A30A23B90}"/>
    <cellStyle name="CustomizationCells" xfId="39" xr:uid="{BA783A57-CB1C-4EFF-BDDD-AEA0BB17F773}"/>
    <cellStyle name="CustomizationCells 2" xfId="450" xr:uid="{824E3C1C-B0CE-4FC2-BDEB-8AE3718EC01C}"/>
    <cellStyle name="CustomizationCells 2 2" xfId="473" xr:uid="{654655DD-4741-4ADF-B2E9-72D898A537D3}"/>
    <cellStyle name="CustomizationCells 2 2 2" xfId="543" xr:uid="{24E3132B-12E3-4646-B3CE-EB1B591AFAA6}"/>
    <cellStyle name="CustomizationCells 2 2 2 2" xfId="709" xr:uid="{E459CF7A-114A-4ADF-AC61-C25982FC397D}"/>
    <cellStyle name="CustomizationCells 2 2 2 2 2" xfId="923" xr:uid="{B31913ED-1E90-4DCF-BA39-F76F8FCC8351}"/>
    <cellStyle name="CustomizationCells 2 2 2 2 2 2" xfId="1515" xr:uid="{63525D34-C268-4D5D-BAF8-1612BCC3BF53}"/>
    <cellStyle name="CustomizationCells 2 2 2 2 2 3" xfId="1899" xr:uid="{F9AAB58E-0AE1-49BC-A4FC-6168FC47D6C7}"/>
    <cellStyle name="CustomizationCells 2 2 2 2 2 4" xfId="2270" xr:uid="{C280EBD1-35D1-4E17-ACF0-65469F805C84}"/>
    <cellStyle name="CustomizationCells 2 2 2 2 3" xfId="948" xr:uid="{35AB1F76-9015-45A4-9336-CFBD5FB1BE1C}"/>
    <cellStyle name="CustomizationCells 2 2 2 2 4" xfId="1692" xr:uid="{C45E7A50-5F41-44DD-8F02-6A203667B88F}"/>
    <cellStyle name="CustomizationCells 2 2 2 2 5" xfId="2064" xr:uid="{6C607E52-05C6-446C-AD42-B6AF16A7A70C}"/>
    <cellStyle name="CustomizationCells 2 2 3" xfId="692" xr:uid="{8F49315F-FA60-460A-8DBF-1FA296E8D644}"/>
    <cellStyle name="CustomizationCells 2 2 3 2" xfId="907" xr:uid="{BC7471E0-974A-461F-8D21-255CDFAC7835}"/>
    <cellStyle name="CustomizationCells 2 2 3 2 2" xfId="1499" xr:uid="{08C0A1AB-9776-4CC6-AF49-6E2D360E0638}"/>
    <cellStyle name="CustomizationCells 2 2 3 2 3" xfId="1883" xr:uid="{A57A4D65-59B7-43C8-A7D4-A4623DC67411}"/>
    <cellStyle name="CustomizationCells 2 2 3 2 4" xfId="2254" xr:uid="{D25B006A-832E-4A1D-BD6C-E849A77EFF33}"/>
    <cellStyle name="CustomizationCells 2 2 3 3" xfId="1015" xr:uid="{2397850A-2410-48AF-AA2F-C7A0A4B91FDE}"/>
    <cellStyle name="CustomizationCells 2 2 3 4" xfId="1676" xr:uid="{8928C359-CAF5-4ED4-8DC9-5D0DBA8B1578}"/>
    <cellStyle name="CustomizationCells 2 2 3 5" xfId="2048" xr:uid="{FF20E7CA-6C16-4133-8948-6BCE904321BE}"/>
    <cellStyle name="CustomizationCells 2 2 4" xfId="555" xr:uid="{3400CA2B-AA0E-4EC9-8885-1EA40140FFF2}"/>
    <cellStyle name="CustomizationCells 2 2 4 2" xfId="770" xr:uid="{EE270880-F793-4A89-981C-7DAC35A96FC6}"/>
    <cellStyle name="CustomizationCells 2 2 4 2 2" xfId="970" xr:uid="{32E9527E-E259-479A-BB7E-D3F4794D4F58}"/>
    <cellStyle name="CustomizationCells 2 2 4 2 3" xfId="1746" xr:uid="{125902FA-AD1C-4CD1-A781-F3631403CF3F}"/>
    <cellStyle name="CustomizationCells 2 2 4 2 4" xfId="2117" xr:uid="{F394F386-F580-43F3-AF6C-E37A4A121041}"/>
    <cellStyle name="CustomizationCells 2 2 4 3" xfId="1095" xr:uid="{486D26E2-86D9-4A73-B019-15FB8D1BB353}"/>
    <cellStyle name="CustomizationCells 2 2 4 4" xfId="1539" xr:uid="{153A2B3A-41DC-4A3E-927F-1B848DE913CD}"/>
    <cellStyle name="CustomizationCells 2 2 4 5" xfId="1911" xr:uid="{5EADD8F4-57BE-4FB8-AA85-71DB7CFDEA84}"/>
    <cellStyle name="CustomizationCells 2 2 5" xfId="711" xr:uid="{F1DC11A3-CDD1-4025-8CD6-6EEE8B2DF325}"/>
    <cellStyle name="CustomizationCells 2 2 5 2" xfId="925" xr:uid="{98DB0CCF-CDE0-4CCE-9779-10B660DFDADF}"/>
    <cellStyle name="CustomizationCells 2 2 5 3" xfId="1283" xr:uid="{461AB4A2-CD54-4DA7-8EF4-EE4F7D48DFB6}"/>
    <cellStyle name="CustomizationCells 2 2 5 4" xfId="1694" xr:uid="{45163298-CE9A-4665-A87A-B4509260C399}"/>
    <cellStyle name="CustomizationCells 2 2 5 5" xfId="2066" xr:uid="{C6F2BE76-994E-4E2B-B9A6-B7C380BCD6B3}"/>
    <cellStyle name="CustomizationCells 2 2 6" xfId="1294" xr:uid="{E8244BB7-5A2B-40FB-81B6-2C5904718050}"/>
    <cellStyle name="CustomizationCells 2 2 7" xfId="1477" xr:uid="{CE89D80C-C250-43E6-8ABE-79D6184BE75B}"/>
    <cellStyle name="CustomizationCells 2 2 8" xfId="1220" xr:uid="{AEA031BD-E7F4-4B45-BE11-6940C29108A1}"/>
    <cellStyle name="CustomizationCells 3" xfId="308" xr:uid="{F0C17AB2-09F4-49E8-9EA6-0ABCECBADE9D}"/>
    <cellStyle name="CustomizationCells 3 2" xfId="647" xr:uid="{4F4FF20B-B81B-4114-B191-C703B44E0105}"/>
    <cellStyle name="CustomizationCells 3 2 2" xfId="862" xr:uid="{A5C485B3-C953-4756-8D5C-2F693DDE9090}"/>
    <cellStyle name="CustomizationCells 3 2 2 2" xfId="1181" xr:uid="{422D7744-DB28-46FD-8BB9-F458FE31658D}"/>
    <cellStyle name="CustomizationCells 3 2 2 3" xfId="1838" xr:uid="{25712CA5-9021-406A-BCAA-411F51472224}"/>
    <cellStyle name="CustomizationCells 3 2 2 4" xfId="2209" xr:uid="{7EA87B40-86BD-4111-917F-5642C97A2E2C}"/>
    <cellStyle name="CustomizationCells 3 2 3" xfId="944" xr:uid="{C8EF0007-0B4D-42BE-9A6D-8C6A71258E17}"/>
    <cellStyle name="CustomizationCells 3 2 4" xfId="1631" xr:uid="{56D5C8A2-08D4-4D5A-88CC-D533CFC80641}"/>
    <cellStyle name="CustomizationCells 3 2 5" xfId="2003" xr:uid="{D8BCD411-F0DE-4E8B-AA91-756F43F9CAB5}"/>
    <cellStyle name="CustomizationCells 3 3" xfId="674" xr:uid="{346CACEA-9DFE-4E4A-99AE-A2523CB5CD92}"/>
    <cellStyle name="CustomizationCells 3 3 2" xfId="889" xr:uid="{C32854C7-BF0B-4DC9-88F9-E0A14B81101D}"/>
    <cellStyle name="CustomizationCells 3 3 2 2" xfId="1156" xr:uid="{FFED3B57-7B92-4028-9C9B-AD7B039BA61F}"/>
    <cellStyle name="CustomizationCells 3 3 2 3" xfId="1865" xr:uid="{56D319D4-4782-45AE-84D0-6DB892D70499}"/>
    <cellStyle name="CustomizationCells 3 3 2 4" xfId="2236" xr:uid="{BB98B6D2-3010-43E2-A794-4B0174168AF3}"/>
    <cellStyle name="CustomizationCells 3 3 3" xfId="1288" xr:uid="{AF40AAC1-2CE3-4C9C-820D-AD9CBA9C686C}"/>
    <cellStyle name="CustomizationCells 3 3 4" xfId="1658" xr:uid="{8F87EAB3-35DC-409E-8238-0EFE06B39215}"/>
    <cellStyle name="CustomizationCells 3 3 5" xfId="2030" xr:uid="{E38D3369-68EE-4FC7-8C15-C9FB510E9C08}"/>
    <cellStyle name="CustomizationCells 3 4" xfId="594" xr:uid="{F77AA21A-3023-4387-B90A-98380CB0C7EC}"/>
    <cellStyle name="CustomizationCells 3 4 2" xfId="809" xr:uid="{E57E6BC7-A6BC-48E7-8771-5596DB14DA11}"/>
    <cellStyle name="CustomizationCells 3 4 2 2" xfId="955" xr:uid="{E8DDB2A5-505D-491E-A24D-719ACEEE106D}"/>
    <cellStyle name="CustomizationCells 3 4 2 3" xfId="1785" xr:uid="{A23A4205-6F66-490D-8B45-747F92F4C518}"/>
    <cellStyle name="CustomizationCells 3 4 2 4" xfId="2156" xr:uid="{DFE74696-1159-49C7-9E4C-FE8BE0FCCE9C}"/>
    <cellStyle name="CustomizationCells 3 4 3" xfId="1218" xr:uid="{FED73990-3DD8-41FC-92B5-4E4F65EBBCED}"/>
    <cellStyle name="CustomizationCells 3 4 4" xfId="1578" xr:uid="{DF0EFCB8-2C3E-4C40-8C68-2BD14E052C9E}"/>
    <cellStyle name="CustomizationCells 3 4 5" xfId="1950" xr:uid="{0BFA1ADD-3497-41CB-91F6-0FE32E81A4B6}"/>
    <cellStyle name="CustomizationCells 3 5" xfId="733" xr:uid="{09A93C7C-5ABF-4241-BF60-47390B080565}"/>
    <cellStyle name="CustomizationCells 3 6" xfId="1276" xr:uid="{02F3E77C-F0C5-4C28-9444-73C67AA6474E}"/>
    <cellStyle name="CustomizationCells 3 7" xfId="1400" xr:uid="{75F75C82-3FBC-4FDD-9C12-E1D3213333F3}"/>
    <cellStyle name="CustomizationCells 3 8" xfId="1458" xr:uid="{0926C78A-EE81-439B-8FEB-E82356DC81B7}"/>
    <cellStyle name="CustomizationCells 4" xfId="105" xr:uid="{AC441EC2-90B4-4AF3-B155-1521F291537C}"/>
    <cellStyle name="CustomizationGreenCells" xfId="168" xr:uid="{441BAF00-8C00-488B-AABD-E6324AD73619}"/>
    <cellStyle name="CustomizationGreenCells 2" xfId="451" xr:uid="{760B9816-EE5A-40D6-BBE4-6D2B0B619AA0}"/>
    <cellStyle name="CustomizationGreenCells 3" xfId="309" xr:uid="{B4D6179D-626B-4429-AA6E-3F8726543E81}"/>
    <cellStyle name="CustomizationGreenCells 3 2" xfId="648" xr:uid="{37CB6C12-114E-4406-88F1-10D8A9C1EDAB}"/>
    <cellStyle name="CustomizationGreenCells 3 2 2" xfId="863" xr:uid="{5BEF6375-DE0E-4C7C-A618-5BB05AEF8CC8}"/>
    <cellStyle name="CustomizationGreenCells 3 2 2 2" xfId="1419" xr:uid="{3AAB7B27-3CDF-4B04-92A2-71B5F1FC7BF3}"/>
    <cellStyle name="CustomizationGreenCells 3 2 2 3" xfId="1839" xr:uid="{40B4E6C5-D761-4763-9C71-C1C18FE3C33E}"/>
    <cellStyle name="CustomizationGreenCells 3 2 2 4" xfId="2210" xr:uid="{E4C56EF9-CDEE-4820-91ED-F507A867FF19}"/>
    <cellStyle name="CustomizationGreenCells 3 2 3" xfId="1179" xr:uid="{AE21149D-3CAB-4FCC-A17F-2B4AFBC54260}"/>
    <cellStyle name="CustomizationGreenCells 3 2 4" xfId="1632" xr:uid="{EDB99AC0-C4B2-446C-9EEF-16159A882DAC}"/>
    <cellStyle name="CustomizationGreenCells 3 2 5" xfId="2004" xr:uid="{4E628921-93A4-4A3A-8567-AEFBF22E5B43}"/>
    <cellStyle name="CustomizationGreenCells 3 3" xfId="618" xr:uid="{49CD369B-64E9-45A8-89D2-C316D2B3C042}"/>
    <cellStyle name="CustomizationGreenCells 3 3 2" xfId="833" xr:uid="{E23BE794-4CA9-43D1-8A06-C6BC98EA56F0}"/>
    <cellStyle name="CustomizationGreenCells 3 3 2 2" xfId="1415" xr:uid="{63D4EF8E-2669-43BF-A105-A1789D985CDD}"/>
    <cellStyle name="CustomizationGreenCells 3 3 2 3" xfId="1809" xr:uid="{F82DF5D7-72AB-425F-BFCC-F981BC8E127F}"/>
    <cellStyle name="CustomizationGreenCells 3 3 2 4" xfId="2180" xr:uid="{50062FD6-3A01-4E72-8424-1E770E0F11EA}"/>
    <cellStyle name="CustomizationGreenCells 3 3 3" xfId="1117" xr:uid="{35BF20A7-741D-47D5-9F24-3F45D6D3BF04}"/>
    <cellStyle name="CustomizationGreenCells 3 3 4" xfId="1602" xr:uid="{F3F60D5F-A64B-4D7B-BC9E-7A4334D0A8CD}"/>
    <cellStyle name="CustomizationGreenCells 3 3 5" xfId="1974" xr:uid="{5867DD8D-4623-4B49-B453-134077EBFA98}"/>
    <cellStyle name="CustomizationGreenCells 3 4" xfId="551" xr:uid="{2BA6B975-A362-4D4B-82C9-ECE86B8FE1E3}"/>
    <cellStyle name="CustomizationGreenCells 3 4 2" xfId="766" xr:uid="{D7371BF7-4892-4011-8F2C-5236A3C198F1}"/>
    <cellStyle name="CustomizationGreenCells 3 4 2 2" xfId="974" xr:uid="{5B4FE254-5AD3-49AB-9151-EF0E31B8E6BF}"/>
    <cellStyle name="CustomizationGreenCells 3 4 2 3" xfId="1742" xr:uid="{72D37070-D4ED-4E97-95E4-446A8965583D}"/>
    <cellStyle name="CustomizationGreenCells 3 4 2 4" xfId="2113" xr:uid="{32FC148B-2AF8-48C7-9441-FA45303D6690}"/>
    <cellStyle name="CustomizationGreenCells 3 4 3" xfId="1180" xr:uid="{8693D4A4-5338-4E5E-8F9A-3D21FDD0B547}"/>
    <cellStyle name="CustomizationGreenCells 3 4 4" xfId="1535" xr:uid="{6481FA47-7A46-4274-B5A0-B050922C5088}"/>
    <cellStyle name="CustomizationGreenCells 3 4 5" xfId="1907" xr:uid="{A6798E62-AC35-44FB-9739-9DCA15054AB6}"/>
    <cellStyle name="CustomizationGreenCells 3 5" xfId="734" xr:uid="{5B75A437-95E5-4791-AE5B-38023F8C9EBF}"/>
    <cellStyle name="CustomizationGreenCells 3 6" xfId="1055" xr:uid="{DB03C712-FC1F-49D1-ACEA-92CE0F851F00}"/>
    <cellStyle name="CustomizationGreenCells 3 7" xfId="1329" xr:uid="{D70A8A5F-56D3-4895-A530-D45259FDC3A2}"/>
    <cellStyle name="CustomizationGreenCells 3 8" xfId="1119" xr:uid="{C0B804F0-4931-4ABB-8449-A8065B9215D4}"/>
    <cellStyle name="Date" xfId="7" xr:uid="{50D1799A-A772-4217-A5E0-F0DDB456B1A4}"/>
    <cellStyle name="DocBox_EmptyRow" xfId="36" xr:uid="{364F7F53-6750-4715-850B-1539BB587074}"/>
    <cellStyle name="Eingabe" xfId="22" xr:uid="{398031ED-C6D7-4C61-8B7E-4A5664A53BAA}"/>
    <cellStyle name="Eingabe 2" xfId="406" xr:uid="{65BDE1C9-D441-45A1-9324-042D2E2FF67D}"/>
    <cellStyle name="Eingabe 3" xfId="452" xr:uid="{F3FFB3F4-B793-454D-8E9B-115B542002E8}"/>
    <cellStyle name="Eingabe 3 2" xfId="688" xr:uid="{91865D5D-E9C1-47EE-965E-3FFBDE6DE47B}"/>
    <cellStyle name="Eingabe 3 2 2" xfId="903" xr:uid="{16F210A8-7771-4313-ABA2-89CAA4AFEC03}"/>
    <cellStyle name="Eingabe 3 2 2 2" xfId="1495" xr:uid="{1E6670A7-7ED9-419E-9687-473F0684F040}"/>
    <cellStyle name="Eingabe 3 2 2 3" xfId="1879" xr:uid="{5745C8F7-ABBB-4E2D-9875-9126193C14D8}"/>
    <cellStyle name="Eingabe 3 2 2 4" xfId="2250" xr:uid="{B9256E29-BF63-49E1-AD99-68AE06D49326}"/>
    <cellStyle name="Eingabe 3 2 3" xfId="1416" xr:uid="{590D25F8-1B41-4508-A657-53F845941CAF}"/>
    <cellStyle name="Eingabe 3 2 4" xfId="1672" xr:uid="{30FBD618-CFC5-4502-9D59-A80D401F2895}"/>
    <cellStyle name="Eingabe 3 2 5" xfId="2044" xr:uid="{36F79D55-AC4F-4D61-81C1-13D820757BBE}"/>
    <cellStyle name="Eingabe 3 3" xfId="677" xr:uid="{874FAC7D-DB5E-448E-B296-623584585B56}"/>
    <cellStyle name="Eingabe 3 3 2" xfId="892" xr:uid="{3E8AE5E3-DE96-48B2-9FB0-DB047AD9054F}"/>
    <cellStyle name="Eingabe 3 3 2 2" xfId="1106" xr:uid="{1FD4CC04-E58F-4160-884C-AD3AA0C72E25}"/>
    <cellStyle name="Eingabe 3 3 2 3" xfId="1868" xr:uid="{B46C3131-0E94-4A05-966E-98A431CA9BD0}"/>
    <cellStyle name="Eingabe 3 3 2 4" xfId="2239" xr:uid="{DBDC8B52-6B3E-4DE4-AF6D-B275B4031AD7}"/>
    <cellStyle name="Eingabe 3 3 3" xfId="1197" xr:uid="{5A66EA59-652E-45D1-8235-1D27106F86DF}"/>
    <cellStyle name="Eingabe 3 3 4" xfId="1661" xr:uid="{2598121C-05BF-46CF-8908-0E1368355B0E}"/>
    <cellStyle name="Eingabe 3 3 5" xfId="2033" xr:uid="{773874C7-C531-4027-88DC-D3BB3AB50518}"/>
    <cellStyle name="Eingabe 3 4" xfId="568" xr:uid="{764126B1-A55B-4347-BC29-96C155C3CDF0}"/>
    <cellStyle name="Eingabe 3 4 2" xfId="783" xr:uid="{C27D50AE-C74A-4D98-A894-0730FCFE12C5}"/>
    <cellStyle name="Eingabe 3 4 2 2" xfId="1157" xr:uid="{2FF92294-5787-43C2-AB5A-B72A5BA82748}"/>
    <cellStyle name="Eingabe 3 4 2 3" xfId="1759" xr:uid="{5C7F2302-7DD3-492A-840F-B32D1029DBDA}"/>
    <cellStyle name="Eingabe 3 4 2 4" xfId="2130" xr:uid="{3FF3B017-B921-4DD5-8E7D-9F05E87A02B6}"/>
    <cellStyle name="Eingabe 3 4 3" xfId="1449" xr:uid="{0E8B4435-D368-4D90-BFB6-4AFF97268291}"/>
    <cellStyle name="Eingabe 3 4 4" xfId="1552" xr:uid="{3E72972E-4987-4140-8A66-A21914F4149B}"/>
    <cellStyle name="Eingabe 3 4 5" xfId="1924" xr:uid="{6186A2C8-4163-49AB-97E5-3C20D36AB953}"/>
    <cellStyle name="Eingabe 3 5" xfId="751" xr:uid="{845C0733-1922-4718-BBEC-02BA26733E46}"/>
    <cellStyle name="Eingabe 3 5 2" xfId="1362" xr:uid="{9FBB2B8B-001F-403C-8CC2-FA2EB2DF91D3}"/>
    <cellStyle name="Eingabe 3 5 3" xfId="1727" xr:uid="{B17BB897-720F-4F45-97D7-27B129772050}"/>
    <cellStyle name="Eingabe 3 5 4" xfId="2098" xr:uid="{0C5F3AE8-8A46-4F16-9B36-B437306FDFD7}"/>
    <cellStyle name="Eingabe 3 6" xfId="1041" xr:uid="{17827B19-8B4D-40AB-A235-253A1DD10A81}"/>
    <cellStyle name="Eingabe 3 7" xfId="1151" xr:uid="{BD75BE15-321A-4369-B9FA-52F374B27C86}"/>
    <cellStyle name="Eingabe 3 8" xfId="1056" xr:uid="{CAD48FCA-E366-467E-BF3C-334CC2546BD5}"/>
    <cellStyle name="Eingabe 4" xfId="311" xr:uid="{64B3A962-E451-4DC9-B1EF-9B0EBAB7EE60}"/>
    <cellStyle name="Eingabe 4 2" xfId="649" xr:uid="{11E98C0C-CE26-420A-A110-96FAC8B2D8B7}"/>
    <cellStyle name="Eingabe 4 2 2" xfId="864" xr:uid="{E863E295-BF1F-4AA9-B6FE-3A6588249CDE}"/>
    <cellStyle name="Eingabe 4 2 2 2" xfId="1008" xr:uid="{588DAC93-4975-44E6-9C40-69308A63499F}"/>
    <cellStyle name="Eingabe 4 2 2 3" xfId="1840" xr:uid="{AA96ADE7-5EEE-4436-8F03-EC1333668227}"/>
    <cellStyle name="Eingabe 4 2 2 4" xfId="2211" xr:uid="{32D7993A-D134-4A5A-8B5D-7E4A7323A650}"/>
    <cellStyle name="Eingabe 4 2 3" xfId="1187" xr:uid="{D8D800B5-DFE0-433F-95F1-CBAA9BCDC5C5}"/>
    <cellStyle name="Eingabe 4 2 4" xfId="1633" xr:uid="{6B23D2E8-A3C8-4B4E-BBFB-37938946CEB1}"/>
    <cellStyle name="Eingabe 4 2 5" xfId="2005" xr:uid="{76E66CC0-AB02-4259-87B6-5CF5FA162A59}"/>
    <cellStyle name="Eingabe 4 3" xfId="576" xr:uid="{0FAE4AAE-EB7E-4B43-98B2-BC603C52FD8B}"/>
    <cellStyle name="Eingabe 4 3 2" xfId="791" xr:uid="{0E956D42-43D2-4FBE-B67E-2E13E649CE1B}"/>
    <cellStyle name="Eingabe 4 3 2 2" xfId="1050" xr:uid="{3C020439-8801-45DD-A838-A8E98A2CAA3F}"/>
    <cellStyle name="Eingabe 4 3 2 3" xfId="1767" xr:uid="{84D927A2-F5EF-4CD5-A0BE-B4D4F51CDCFE}"/>
    <cellStyle name="Eingabe 4 3 2 4" xfId="2138" xr:uid="{D5E358F6-4A7A-4A14-ADF0-D019343EBB15}"/>
    <cellStyle name="Eingabe 4 3 3" xfId="1036" xr:uid="{7979C6D3-E215-4612-B880-2D54FBA38956}"/>
    <cellStyle name="Eingabe 4 3 4" xfId="1560" xr:uid="{3C5947C6-FA17-4982-AE16-8CC4C9E02ACB}"/>
    <cellStyle name="Eingabe 4 3 5" xfId="1932" xr:uid="{0B3A7E1D-8CC7-4939-8434-C73C6CCD343C}"/>
    <cellStyle name="Eingabe 4 4" xfId="552" xr:uid="{EB2F91A0-1B16-493C-A51A-9191D3ACAD1F}"/>
    <cellStyle name="Eingabe 4 4 2" xfId="767" xr:uid="{5ABF84F0-BA7E-4FEA-A30B-E948DE1411E3}"/>
    <cellStyle name="Eingabe 4 4 2 2" xfId="1138" xr:uid="{EB7090BD-74A7-40C7-B010-7C429AB9271E}"/>
    <cellStyle name="Eingabe 4 4 2 3" xfId="1743" xr:uid="{72ED6EA6-3B03-4707-ABCD-A4A00579063D}"/>
    <cellStyle name="Eingabe 4 4 2 4" xfId="2114" xr:uid="{0A7787EA-855F-4FD2-AE1A-789B233A961A}"/>
    <cellStyle name="Eingabe 4 4 3" xfId="1287" xr:uid="{73D1D01B-E8C2-4F52-B257-A1D4DF4C6353}"/>
    <cellStyle name="Eingabe 4 4 4" xfId="1536" xr:uid="{BF946DC5-CF06-486C-BB03-7C8857006D30}"/>
    <cellStyle name="Eingabe 4 4 5" xfId="1908" xr:uid="{1F33D603-4A02-4AD4-B8E6-77514311D424}"/>
    <cellStyle name="Eingabe 4 5" xfId="735" xr:uid="{82F5D8CB-D1DD-4165-9AD9-0A40E0ED094B}"/>
    <cellStyle name="Eingabe 4 5 2" xfId="1219" xr:uid="{5A5DE559-0D46-4972-9880-94F2AD7D61D3}"/>
    <cellStyle name="Eingabe 4 5 3" xfId="1712" xr:uid="{C34E4A1B-6241-446F-9AED-924A9F452AB7}"/>
    <cellStyle name="Eingabe 4 5 4" xfId="2083" xr:uid="{1227DB78-0DBA-4677-9186-F96E801EC729}"/>
    <cellStyle name="Eingabe 4 6" xfId="1402" xr:uid="{30833769-7757-4EF6-825E-8389BA4375D4}"/>
    <cellStyle name="Eingabe 4 7" xfId="69" xr:uid="{3D8E6FC2-E715-4794-917D-275EE202032F}"/>
    <cellStyle name="Eingabe 4 8" xfId="1460" xr:uid="{3BD58B94-8931-48C1-97F8-AC06B3ACD6A4}"/>
    <cellStyle name="Eingabe 5" xfId="586" xr:uid="{3D3FF8D6-E015-4960-BF2D-EF4A378D568C}"/>
    <cellStyle name="Eingabe 5 2" xfId="801" xr:uid="{1E21A39F-4520-4C99-B3EF-EB6C8F8E8901}"/>
    <cellStyle name="Eingabe 5 2 2" xfId="940" xr:uid="{129FBDA2-5E4A-4647-847A-A3239C1E26A1}"/>
    <cellStyle name="Eingabe 5 2 3" xfId="1777" xr:uid="{DC527992-F9E1-4146-97E2-DD65B31499DA}"/>
    <cellStyle name="Eingabe 5 2 4" xfId="2148" xr:uid="{9392C8A0-8CC0-4AA2-BECE-ABAFD2D65A8C}"/>
    <cellStyle name="Eingabe 5 3" xfId="1485" xr:uid="{02A3CFEA-9067-4A84-88CA-DD183DB3AE97}"/>
    <cellStyle name="Eingabe 5 4" xfId="1570" xr:uid="{ACEC0148-82F7-462E-B2FD-A1F2FBD92754}"/>
    <cellStyle name="Eingabe 5 5" xfId="1942" xr:uid="{1E6C2636-2F58-4000-AB35-B7928AB43579}"/>
    <cellStyle name="Eingabe 6" xfId="663" xr:uid="{362C2D38-4054-491F-B025-E5EE2E467DFB}"/>
    <cellStyle name="Eingabe 6 2" xfId="878" xr:uid="{A2F7F486-30E1-49BF-8D7D-632BFB6C8B6B}"/>
    <cellStyle name="Eingabe 6 2 2" xfId="1278" xr:uid="{523BEE2E-8370-4EA9-AE02-119653A90A74}"/>
    <cellStyle name="Eingabe 6 2 3" xfId="1854" xr:uid="{94AD89FF-547D-41EF-B5BD-FFFECE4C65DB}"/>
    <cellStyle name="Eingabe 6 2 4" xfId="2225" xr:uid="{F3C27046-0968-41B4-A24D-C8E8A8FB7758}"/>
    <cellStyle name="Eingabe 6 3" xfId="1413" xr:uid="{7384716F-54E1-4ED9-AAEA-48875310E4CF}"/>
    <cellStyle name="Eingabe 6 4" xfId="1647" xr:uid="{CEC5E727-7CED-41F7-BEE7-64FADC579A18}"/>
    <cellStyle name="Eingabe 6 5" xfId="2019" xr:uid="{980C5F8F-44D1-46DB-9498-771EA53615E9}"/>
    <cellStyle name="Eingabe 7" xfId="706" xr:uid="{4925958C-328E-4B6F-AB67-4B434C1871EF}"/>
    <cellStyle name="Eingabe 7 2" xfId="920" xr:uid="{6C8A72E5-9621-44A1-AB6F-C8CABC663945}"/>
    <cellStyle name="Eingabe 7 2 2" xfId="1512" xr:uid="{E6210823-9588-419B-8A3E-5E8ABA5B3BAE}"/>
    <cellStyle name="Eingabe 7 2 3" xfId="1896" xr:uid="{7FA7C6BF-B40E-47C5-9EBF-4ECAA8A935F1}"/>
    <cellStyle name="Eingabe 7 2 4" xfId="2267" xr:uid="{5EA538AF-86AD-43C5-92FB-C38C2685C393}"/>
    <cellStyle name="Eingabe 7 3" xfId="1301" xr:uid="{A9DA8323-BF90-4B6D-8456-46E2600509E3}"/>
    <cellStyle name="Eingabe 7 4" xfId="1689" xr:uid="{EF165572-28FC-48F3-B48D-FDF192B28ACC}"/>
    <cellStyle name="Eingabe 7 5" xfId="2061" xr:uid="{DC99B06F-BB77-4974-9638-88CDB2A8BD43}"/>
    <cellStyle name="Eingabe 8" xfId="715" xr:uid="{6617EFF4-E553-4078-AD75-3159879C8A67}"/>
    <cellStyle name="Eingabe 8 2" xfId="1487" xr:uid="{9A129A7A-A429-48EE-9CFD-0CDFF42E25ED}"/>
    <cellStyle name="Eingabe 8 3" xfId="1698" xr:uid="{7D6B3464-65DE-43C0-BA07-E85FBC0B6DC7}"/>
    <cellStyle name="Eingabe 8 4" xfId="2070" xr:uid="{6D73C055-A8B3-431E-A712-B8F886FC3192}"/>
    <cellStyle name="Empty_B_border" xfId="42" xr:uid="{B17EFF6D-F08C-440C-979A-F0B1B5AE1461}"/>
    <cellStyle name="Ergebnis" xfId="79" hidden="1" xr:uid="{F08FCAE5-C414-44C3-98A4-9260F74150A2}"/>
    <cellStyle name="Ergebnis" xfId="978" hidden="1" xr:uid="{F4C99BF0-A138-4C3F-B3E2-81ED3A84E506}"/>
    <cellStyle name="Ergebnis" xfId="1347" hidden="1" xr:uid="{7639DCE4-FE28-40F8-9007-7E2FDE64200A}"/>
    <cellStyle name="Ergebnis" xfId="1320" hidden="1" xr:uid="{B7A082F4-7E83-41ED-A3C9-A7465DD742B3}"/>
    <cellStyle name="Ergebnis" xfId="1470" hidden="1" xr:uid="{F699340A-7ABB-461E-97F5-252C1A3B5996}"/>
    <cellStyle name="Ergebnis" xfId="1526" hidden="1" xr:uid="{6511DA26-6731-41C0-9670-9737D3767B47}"/>
    <cellStyle name="Ergebnis 2" xfId="427" xr:uid="{1DC8F822-240E-4C18-AD5B-A7218333C023}"/>
    <cellStyle name="Ergebnis 2 2" xfId="683" xr:uid="{97ACFAA5-A008-4EC8-9142-BFDF1C922610}"/>
    <cellStyle name="Ergebnis 2 2 2" xfId="898" xr:uid="{23D74142-55D1-4B9F-BEE4-09AAF17411D7}"/>
    <cellStyle name="Ergebnis 2 2 2 2" xfId="963" xr:uid="{BE8D6497-FE57-4D58-A0E9-D82928F581BF}"/>
    <cellStyle name="Ergebnis 2 2 2 3" xfId="1874" xr:uid="{7B041BCE-C4B9-4B9F-AF43-7F13B9E57A03}"/>
    <cellStyle name="Ergebnis 2 2 2 4" xfId="2245" xr:uid="{95EBE25C-2C7C-4E12-8287-DB5D76259627}"/>
    <cellStyle name="Ergebnis 2 2 3" xfId="1316" xr:uid="{4ECDFD54-A25F-4BAD-B556-37102500C35C}"/>
    <cellStyle name="Ergebnis 2 2 4" xfId="1667" xr:uid="{28DC5D25-D030-4A42-8943-F7D0F0712B6F}"/>
    <cellStyle name="Ergebnis 2 2 5" xfId="2039" xr:uid="{4F8ACE99-E92A-4A8E-BC7B-C15DDD003ECA}"/>
    <cellStyle name="Ergebnis 2 3" xfId="615" xr:uid="{01D6F374-2E7A-454E-8D04-490342FA04AD}"/>
    <cellStyle name="Ergebnis 2 3 2" xfId="830" xr:uid="{293677FF-902C-4FDD-A7E7-860D6CE32AD8}"/>
    <cellStyle name="Ergebnis 2 3 2 2" xfId="1084" xr:uid="{79AFD00D-C210-45A2-AA53-CB863CFC35CC}"/>
    <cellStyle name="Ergebnis 2 3 2 3" xfId="1806" xr:uid="{26672AE1-96FF-49B3-887B-4E6758BFC692}"/>
    <cellStyle name="Ergebnis 2 3 2 4" xfId="2177" xr:uid="{2C41A0C6-01EC-4A74-9B28-8A7BD6078D93}"/>
    <cellStyle name="Ergebnis 2 3 3" xfId="1121" xr:uid="{5EDE5D7C-565B-4E6F-89D5-F53AD7530B5D}"/>
    <cellStyle name="Ergebnis 2 3 4" xfId="1599" xr:uid="{693C5A29-78AF-4697-A737-30A014E74B2A}"/>
    <cellStyle name="Ergebnis 2 3 5" xfId="1971" xr:uid="{8167EE54-573A-488B-8481-5CB18135FEB5}"/>
    <cellStyle name="Ergebnis 2 4" xfId="606" xr:uid="{567F00B7-3F79-488D-A48F-491CE62E24FF}"/>
    <cellStyle name="Ergebnis 2 4 2" xfId="821" xr:uid="{CC0278DD-DB5C-4547-A2BE-BCC3CE2B8D9E}"/>
    <cellStyle name="Ergebnis 2 4 2 2" xfId="1103" xr:uid="{8D9FA3E3-D046-414F-986F-0829055F2F5B}"/>
    <cellStyle name="Ergebnis 2 4 2 3" xfId="1797" xr:uid="{4EA61E15-F8EE-405A-87FA-BC621C42026D}"/>
    <cellStyle name="Ergebnis 2 4 2 4" xfId="2168" xr:uid="{AFAD685A-DAD3-4AEF-9E3A-4EEE91FDC2CB}"/>
    <cellStyle name="Ergebnis 2 4 3" xfId="1393" xr:uid="{AA8C159B-CF85-4D31-AD2F-51023AF29587}"/>
    <cellStyle name="Ergebnis 2 4 4" xfId="1590" xr:uid="{4E551E37-CE44-4FA3-999F-C9C84A33562A}"/>
    <cellStyle name="Ergebnis 2 4 5" xfId="1962" xr:uid="{CE8D497D-55A5-41F2-B6DA-C1B8E1166691}"/>
    <cellStyle name="Ergebnis 2 5" xfId="741" xr:uid="{14930478-51C8-40D0-A119-762EDFCB6909}"/>
    <cellStyle name="Ergebnis 2 5 2" xfId="1303" xr:uid="{0BCA265F-26FA-4E3B-8801-53D2E3F5B9DA}"/>
    <cellStyle name="Ergebnis 2 5 3" xfId="1717" xr:uid="{5160C743-4B25-4406-991F-1F39268674A7}"/>
    <cellStyle name="Ergebnis 2 5 4" xfId="2088" xr:uid="{C59F6F8F-BFB7-48A5-A5A0-9E79DA1F730D}"/>
    <cellStyle name="Ergebnis 2 6" xfId="1279" xr:uid="{4AF81749-A055-40F0-B892-B55F931D42DB}"/>
    <cellStyle name="Ergebnis 2 7" xfId="1305" xr:uid="{4CBF1C3D-4916-446D-B7D3-1FCE520FB8B7}"/>
    <cellStyle name="Ergebnis 2 8" xfId="71" xr:uid="{03430A82-7C75-4CC6-A083-A816B151101E}"/>
    <cellStyle name="Ergebnis 3" xfId="320" xr:uid="{61AFB341-8D47-4DBC-8143-F7C850A0C10A}"/>
    <cellStyle name="Ergebnis 3 2" xfId="657" xr:uid="{98C206AF-0000-430B-859A-D8065DE1B2F1}"/>
    <cellStyle name="Ergebnis 3 2 2" xfId="872" xr:uid="{B0B1F4F3-75DD-47EC-BBA6-8BADBF783873}"/>
    <cellStyle name="Ergebnis 3 2 2 2" xfId="1342" xr:uid="{C0F1E800-2384-46D6-86AA-ABEC9E5C6A8B}"/>
    <cellStyle name="Ergebnis 3 2 2 3" xfId="1848" xr:uid="{8F781BD4-5544-4EE8-B462-959695D98138}"/>
    <cellStyle name="Ergebnis 3 2 2 4" xfId="2219" xr:uid="{822EF386-1879-415C-A019-D6723DB82994}"/>
    <cellStyle name="Ergebnis 3 2 3" xfId="1452" xr:uid="{95EAA752-C1FD-4EC6-B0A9-4DE5DBC47E5E}"/>
    <cellStyle name="Ergebnis 3 2 4" xfId="1641" xr:uid="{07B0A617-08A0-4951-BE92-B8C34273742C}"/>
    <cellStyle name="Ergebnis 3 2 5" xfId="2013" xr:uid="{A171D65E-1107-4653-87B7-5CB3EBDA0072}"/>
    <cellStyle name="Ergebnis 3 3" xfId="571" xr:uid="{07FDF763-660D-4CA0-8941-72A1A16883EB}"/>
    <cellStyle name="Ergebnis 3 3 2" xfId="786" xr:uid="{57073585-9EBC-45B1-9EB7-24648C95A8CD}"/>
    <cellStyle name="Ergebnis 3 3 2 2" xfId="1169" xr:uid="{F2F26B20-73BA-4247-A349-2BA5F2860D10}"/>
    <cellStyle name="Ergebnis 3 3 2 3" xfId="1762" xr:uid="{18825F46-E4D1-4AD1-A8E5-63BD5F31E389}"/>
    <cellStyle name="Ergebnis 3 3 2 4" xfId="2133" xr:uid="{10652ACF-F6D3-4364-896A-628A84925B7B}"/>
    <cellStyle name="Ergebnis 3 3 3" xfId="1120" xr:uid="{BA10FA87-B670-42E6-9DC5-B1B36A9D09C9}"/>
    <cellStyle name="Ergebnis 3 3 4" xfId="1555" xr:uid="{3D053EDF-95A4-450C-97FB-41B337A39E11}"/>
    <cellStyle name="Ergebnis 3 3 5" xfId="1927" xr:uid="{0D7388AE-DCA5-4174-84C4-5BC653874648}"/>
    <cellStyle name="Ergebnis 3 4" xfId="598" xr:uid="{89E600A3-5858-4F07-B8A9-EA4F5E968744}"/>
    <cellStyle name="Ergebnis 3 4 2" xfId="813" xr:uid="{6E2A8B54-E0D4-42EF-9125-C89758EF997B}"/>
    <cellStyle name="Ergebnis 3 4 2 2" xfId="1102" xr:uid="{EC71D81A-2ABC-4B26-A89F-CF7A7FFB523C}"/>
    <cellStyle name="Ergebnis 3 4 2 3" xfId="1789" xr:uid="{B55072CC-6928-4691-8DDE-B5C5F60BA78A}"/>
    <cellStyle name="Ergebnis 3 4 2 4" xfId="2160" xr:uid="{9F2D3FDA-7DED-4390-9F1B-9779CE96D191}"/>
    <cellStyle name="Ergebnis 3 4 3" xfId="1380" xr:uid="{F81A3124-F6CD-440F-B659-373CC3AA233C}"/>
    <cellStyle name="Ergebnis 3 4 4" xfId="1582" xr:uid="{5F607189-0212-4601-93EE-45C184F15DB0}"/>
    <cellStyle name="Ergebnis 3 4 5" xfId="1954" xr:uid="{3ADC2F9F-CE10-48B1-958B-0282CAEA23AD}"/>
    <cellStyle name="Ergebnis 3 5" xfId="737" xr:uid="{8F9CBD0A-6B13-402F-99C7-37B760791F2C}"/>
    <cellStyle name="Ergebnis 3 5 2" xfId="1341" xr:uid="{BEAE0B7C-1D92-485A-A212-B0A47B2F8BCA}"/>
    <cellStyle name="Ergebnis 3 5 3" xfId="1714" xr:uid="{5B4E829D-5F3F-41B8-83C2-487A7F725204}"/>
    <cellStyle name="Ergebnis 3 5 4" xfId="2085" xr:uid="{D69133EF-8323-49A4-BF58-3B1E687DECF9}"/>
    <cellStyle name="Ergebnis 3 6" xfId="1223" xr:uid="{748BBB0D-0E85-469D-8880-31CF9F63DFE3}"/>
    <cellStyle name="Ergebnis 3 7" xfId="1443" xr:uid="{CF5D0DAE-28D0-46D0-87DB-7FBD8D9D2F22}"/>
    <cellStyle name="Ergebnis 3 8" xfId="1155" xr:uid="{8BA78273-EEFC-4563-BA3E-A12514D5A979}"/>
    <cellStyle name="Ergebnis 4" xfId="587" xr:uid="{983014D1-068F-436E-8FD4-5C3C616AEFA4}"/>
    <cellStyle name="Ergebnis 4 2" xfId="802" xr:uid="{352BCF01-111E-4396-9F94-75D59842DE05}"/>
    <cellStyle name="Ergebnis 4 2 2" xfId="1147" xr:uid="{46FA799A-41B3-4485-9654-A5E663AAC6DB}"/>
    <cellStyle name="Ergebnis 4 2 3" xfId="1778" xr:uid="{38ED02F3-5035-49C3-8A98-D0DAD6402A05}"/>
    <cellStyle name="Ergebnis 4 2 4" xfId="2149" xr:uid="{BCA333EE-9E66-4F7F-9A5C-C1A7C15C3C7F}"/>
    <cellStyle name="Ergebnis 4 3" xfId="1130" xr:uid="{0E4F709D-1C91-4E5F-92B6-2C6AD606FAD0}"/>
    <cellStyle name="Ergebnis 4 4" xfId="1571" xr:uid="{4260B068-F9D7-4BFD-A3FA-8535DA671C19}"/>
    <cellStyle name="Ergebnis 4 5" xfId="1943" xr:uid="{000D1081-3C99-4C04-B6CE-C125DE3C01A1}"/>
    <cellStyle name="Ergebnis 5" xfId="661" xr:uid="{DCB0F5DA-DB28-4F2D-9C82-70EC61F3BFF6}"/>
    <cellStyle name="Ergebnis 5 2" xfId="876" xr:uid="{3771251C-8097-432A-AB09-4AF3B39AE2BA}"/>
    <cellStyle name="Ergebnis 5 2 2" xfId="971" xr:uid="{AC0E5057-9E6D-4747-BF60-B5D6A5DA426F}"/>
    <cellStyle name="Ergebnis 5 2 3" xfId="1852" xr:uid="{A2282360-9535-448C-AAB5-EACD01CA4F85}"/>
    <cellStyle name="Ergebnis 5 2 4" xfId="2223" xr:uid="{F564F9AF-BEA5-43DD-9079-6590082DB11D}"/>
    <cellStyle name="Ergebnis 5 3" xfId="1038" xr:uid="{9B078251-A33F-4D8E-9D1D-F174D1857487}"/>
    <cellStyle name="Ergebnis 5 4" xfId="1645" xr:uid="{48ED7EB2-7A17-4C58-891E-8574270157C3}"/>
    <cellStyle name="Ergebnis 5 5" xfId="2017" xr:uid="{AB66CF14-A997-4CE6-901B-0DF8F381AADD}"/>
    <cellStyle name="Ergebnis 6" xfId="668" xr:uid="{161483D7-D983-4C9F-9F30-01698E5AD280}"/>
    <cellStyle name="Ergebnis 6 2" xfId="883" xr:uid="{5A138BCA-2C45-41FB-80BB-90A68649F5DF}"/>
    <cellStyle name="Ergebnis 6 2 2" xfId="1184" xr:uid="{EEF6F499-B065-4BB4-BF78-822E1BA56083}"/>
    <cellStyle name="Ergebnis 6 2 3" xfId="1859" xr:uid="{56797983-BF9C-4F05-BB81-3B4E1C518B16}"/>
    <cellStyle name="Ergebnis 6 2 4" xfId="2230" xr:uid="{CBB2FF2A-5789-4CC7-984E-17BE996D95AF}"/>
    <cellStyle name="Ergebnis 6 3" xfId="1451" xr:uid="{A7FD27D0-9ED8-4C69-8E3A-1A4367FA1EB5}"/>
    <cellStyle name="Ergebnis 6 4" xfId="1652" xr:uid="{09920CED-DABA-4F38-A8C0-DD9355C2D820}"/>
    <cellStyle name="Ergebnis 6 5" xfId="2024" xr:uid="{523D6EF2-976D-4D85-8CD0-5BC51EF75114}"/>
    <cellStyle name="Ergebnis 7" xfId="716" xr:uid="{4BE34C74-BBB3-4DF3-8411-D5048FD0CB89}"/>
    <cellStyle name="Ergebnis 7 2" xfId="1464" xr:uid="{ED37F907-BDE6-467B-A7C5-6046C734AA00}"/>
    <cellStyle name="Ergebnis 7 3" xfId="1699" xr:uid="{EA1E57D6-EDFC-4CE6-9026-4BC33E08FA32}"/>
    <cellStyle name="Ergebnis 7 4" xfId="2071" xr:uid="{409E2E15-BF04-4F4B-B43E-D3666C5489BC}"/>
    <cellStyle name="Erklärender Text" xfId="78" hidden="1" xr:uid="{4F449762-EA27-44A2-B60C-71481E361989}"/>
    <cellStyle name="Erklärender Text" xfId="977" hidden="1" xr:uid="{6632C7C8-828E-4E6C-A9C6-1FB7EB695CEB}"/>
    <cellStyle name="Erklärender Text" xfId="1457" hidden="1" xr:uid="{2C6D9F07-72D0-44A5-BE72-271E8FDDE09B}"/>
    <cellStyle name="Erklärender Text" xfId="1010" hidden="1" xr:uid="{2156F9F1-3F88-4B95-AF05-9CB242BEFCCB}"/>
    <cellStyle name="Erklärender Text" xfId="1143" hidden="1" xr:uid="{1E6E8CB3-69CC-4D4A-828B-F4FA8CFAE4F5}"/>
    <cellStyle name="Erklärender Text" xfId="1211" hidden="1" xr:uid="{8A5D6F44-1118-4B82-AB18-17AD9C1128D7}"/>
    <cellStyle name="Erklärender Text 2" xfId="428" xr:uid="{AE6B7E44-921D-4262-82B1-B67D462D8037}"/>
    <cellStyle name="Erklärender Text 3" xfId="310" xr:uid="{F1A509EE-3F8F-43C1-80AE-C554A5B4F8E3}"/>
    <cellStyle name="Explanatory Text 2" xfId="169" xr:uid="{D460F5A6-982E-4740-B16B-13E9BE84633B}"/>
    <cellStyle name="Explanatory Text 3" xfId="260" xr:uid="{CED822C8-C2A8-4910-870D-4892BF476C4D}"/>
    <cellStyle name="Good 2" xfId="170" xr:uid="{EFCE955E-85D8-469A-98BE-E0E1C4DB248C}"/>
    <cellStyle name="Good 3" xfId="261" xr:uid="{3EFE71F5-A70B-4E23-B9E6-2EE5E3818426}"/>
    <cellStyle name="Good 4" xfId="390" xr:uid="{0991CF61-96C5-410D-B17D-1448DB240E87}"/>
    <cellStyle name="Gut" xfId="171" xr:uid="{B5CF3542-0699-46CD-94CF-EB9AC37D6ADD}"/>
    <cellStyle name="Heading 1 2" xfId="172" xr:uid="{A50E34E3-66E6-460E-9BA3-C05883E2CEFB}"/>
    <cellStyle name="Heading 1 3" xfId="262" xr:uid="{C9CE33F8-4C22-475D-B6F3-B447F942F951}"/>
    <cellStyle name="Heading 1 4" xfId="398" xr:uid="{1A16ECA6-701C-4C58-958C-E60C00BC21F2}"/>
    <cellStyle name="Heading 2 2" xfId="173" xr:uid="{7CC457F7-5E31-47E3-9D88-3286E6FCE3F5}"/>
    <cellStyle name="Heading 2 3" xfId="263" xr:uid="{E0F99CA3-0E72-478A-B950-2ED90DAEF543}"/>
    <cellStyle name="Heading 2 4" xfId="399" xr:uid="{DD812764-44D0-4F12-AC22-5180137232CC}"/>
    <cellStyle name="Heading 3 2" xfId="174" xr:uid="{435E932F-7E38-4305-8B70-87FFA28A69FD}"/>
    <cellStyle name="Heading 3 3" xfId="264" xr:uid="{349DC4B2-139E-45CA-882B-27DC8B1F74B3}"/>
    <cellStyle name="Heading 3 4" xfId="400" xr:uid="{5921F5F1-1724-443C-8D67-EC747C525C38}"/>
    <cellStyle name="Heading 4 2" xfId="175" xr:uid="{99CCA781-A8C3-4765-A52F-B11004E4282D}"/>
    <cellStyle name="Heading 4 3" xfId="265" xr:uid="{0C5552E7-5C74-4A9D-9B3F-0D6199E6516D}"/>
    <cellStyle name="Heading 4 4" xfId="401" xr:uid="{644A48F9-46E2-4594-9BB4-6B69A5FD9869}"/>
    <cellStyle name="Headline" xfId="23" xr:uid="{4E6A7F3A-FFEA-49EC-B04B-868F0426E007}"/>
    <cellStyle name="Hyperlink" xfId="6" builtinId="8"/>
    <cellStyle name="Input 2" xfId="176" xr:uid="{02BB4CAA-18B8-4947-8169-C33E31386CE5}"/>
    <cellStyle name="Input 2 2" xfId="590" xr:uid="{26EB9313-10C5-4C1C-A008-35AA2675EB0B}"/>
    <cellStyle name="Input 2 2 2" xfId="805" xr:uid="{A6921FA2-906F-4869-B8A0-70D6EF03445D}"/>
    <cellStyle name="Input 2 2 2 2" xfId="943" xr:uid="{F0FD6507-D623-48EA-A3B2-7BBD5E7569D3}"/>
    <cellStyle name="Input 2 2 2 3" xfId="1781" xr:uid="{3652453D-EC2E-4901-B9EB-6BD9FDA2F0E4}"/>
    <cellStyle name="Input 2 2 2 4" xfId="2152" xr:uid="{37B110B2-865F-4597-B544-F938D84DDEFB}"/>
    <cellStyle name="Input 2 2 3" xfId="1214" xr:uid="{DE1FD80A-DDDC-4CB3-A86F-9EA95870C7BD}"/>
    <cellStyle name="Input 2 2 4" xfId="1574" xr:uid="{8A14FE64-C4CE-4308-A316-1BBD6B28F912}"/>
    <cellStyle name="Input 2 2 5" xfId="1946" xr:uid="{7AA3A06A-3A31-49F3-8DE5-1B2B38D2A8E6}"/>
    <cellStyle name="Input 2 3" xfId="694" xr:uid="{715227FC-838E-4034-A67E-B25D9AFC9E23}"/>
    <cellStyle name="Input 2 3 2" xfId="909" xr:uid="{EB1426FF-DE3F-4244-BA49-924F3C07197A}"/>
    <cellStyle name="Input 2 3 2 2" xfId="1501" xr:uid="{88EC3359-A232-420E-9A79-64A012A732D2}"/>
    <cellStyle name="Input 2 3 2 3" xfId="1885" xr:uid="{23B6AFE8-59AD-4CBD-90AE-8F846D1A774C}"/>
    <cellStyle name="Input 2 3 2 4" xfId="2256" xr:uid="{7E76F52D-0B42-40C0-ACAD-DB578D846C88}"/>
    <cellStyle name="Input 2 3 3" xfId="1124" xr:uid="{CE82636B-4CC0-4245-9D33-89702E63D6E9}"/>
    <cellStyle name="Input 2 3 4" xfId="1678" xr:uid="{11B1164C-E6B8-4ABD-9926-658031DCFF23}"/>
    <cellStyle name="Input 2 3 5" xfId="2050" xr:uid="{87170B61-1829-4204-A528-4C4637EEBA64}"/>
    <cellStyle name="Input 2 4" xfId="705" xr:uid="{03241D1C-E927-4BE4-9415-8F5FF1BF6927}"/>
    <cellStyle name="Input 2 4 2" xfId="919" xr:uid="{998A3265-592E-4D1F-A702-BC2EDF3D7340}"/>
    <cellStyle name="Input 2 4 2 2" xfId="1511" xr:uid="{D779BBAA-834C-4990-825B-2BF4B41E2131}"/>
    <cellStyle name="Input 2 4 2 3" xfId="1895" xr:uid="{DE3E021C-6F0C-4510-A446-4AA84E71A5D5}"/>
    <cellStyle name="Input 2 4 2 4" xfId="2266" xr:uid="{2A110EAA-4D26-4B96-BDB8-CB4BF6E7A039}"/>
    <cellStyle name="Input 2 4 3" xfId="1202" xr:uid="{7D5863EE-84E7-4F62-A151-1D7999AB62B3}"/>
    <cellStyle name="Input 2 4 4" xfId="1688" xr:uid="{67D3C953-8000-4D79-B212-0D6F9106BB74}"/>
    <cellStyle name="Input 2 4 5" xfId="2060" xr:uid="{309CB206-82F6-48A7-BF66-8C468C5B47F6}"/>
    <cellStyle name="Input 2 5" xfId="717" xr:uid="{9747AA2B-BD54-4A41-AEE0-3B185877BB26}"/>
    <cellStyle name="Input 2 5 2" xfId="953" xr:uid="{7A626827-F821-4941-B2A4-5BAE87A02BA8}"/>
    <cellStyle name="Input 2 5 3" xfId="1700" xr:uid="{B95BE870-82B5-4788-9E41-C47E48427BAC}"/>
    <cellStyle name="Input 2 5 4" xfId="2072" xr:uid="{299DF92C-87C4-4255-9FEE-826C03430B6E}"/>
    <cellStyle name="Input 2 6" xfId="1281" xr:uid="{DA4B9EE8-1ACF-4469-B1DB-606F8B8E5A8C}"/>
    <cellStyle name="Input 2 7" xfId="1221" xr:uid="{ED592A98-82BA-423D-A54A-68EEBB792F77}"/>
    <cellStyle name="Input 2 8" xfId="965" xr:uid="{89D49593-E4F4-47BB-A967-4A17F259C87E}"/>
    <cellStyle name="Input 3" xfId="266" xr:uid="{43FF4731-79A7-495C-BC74-6639C3C1AE8A}"/>
    <cellStyle name="Input 3 2" xfId="622" xr:uid="{A5FAECE7-8D44-4504-913F-F3D434FED0E5}"/>
    <cellStyle name="Input 3 2 2" xfId="837" xr:uid="{C2DC81A2-0F99-4D85-9D5E-334F5FE7D57A}"/>
    <cellStyle name="Input 3 2 2 2" xfId="966" xr:uid="{1EB93891-1440-4A37-8459-755E2DBEC16E}"/>
    <cellStyle name="Input 3 2 2 3" xfId="1813" xr:uid="{1C1A776E-5933-4845-AA96-0C4E2850D7B1}"/>
    <cellStyle name="Input 3 2 2 4" xfId="2184" xr:uid="{B170D50F-BA2E-4FEE-8A38-573BE3BDCC27}"/>
    <cellStyle name="Input 3 2 3" xfId="1442" xr:uid="{01E260EE-6D55-4899-A9ED-6C8F6F08BA6D}"/>
    <cellStyle name="Input 3 2 4" xfId="1606" xr:uid="{32BCB077-C077-489D-B3B7-4216AD34CB2A}"/>
    <cellStyle name="Input 3 2 5" xfId="1978" xr:uid="{5D36E590-0AF1-4F99-8CA0-1F54984EDF13}"/>
    <cellStyle name="Input 3 3" xfId="621" xr:uid="{3EC387F2-D068-4FFE-837C-16CB61090203}"/>
    <cellStyle name="Input 3 3 2" xfId="836" xr:uid="{70B8C3C2-3832-4867-AB43-066DAACF9A8E}"/>
    <cellStyle name="Input 3 3 2 2" xfId="936" xr:uid="{D02854AA-1009-4579-97D8-A085E0E3201C}"/>
    <cellStyle name="Input 3 3 2 3" xfId="1812" xr:uid="{7A031ECA-0B0B-452F-9E4E-851FA08DA32C}"/>
    <cellStyle name="Input 3 3 2 4" xfId="2183" xr:uid="{76259D73-A88C-4018-A6E5-75B482206269}"/>
    <cellStyle name="Input 3 3 3" xfId="1425" xr:uid="{F072139A-D242-47A5-A958-ECA997DB0131}"/>
    <cellStyle name="Input 3 3 4" xfId="1605" xr:uid="{C8BCA6F1-5A2E-4F6C-B711-CA2FD321151C}"/>
    <cellStyle name="Input 3 3 5" xfId="1977" xr:uid="{4770355A-A3E1-4ACA-B41E-930B7118D5F5}"/>
    <cellStyle name="Input 3 4" xfId="565" xr:uid="{F5AC3B4A-DDD7-4EA3-977D-B293CB82F0F6}"/>
    <cellStyle name="Input 3 4 2" xfId="780" xr:uid="{5B1813C9-07EA-4E60-90CF-D90D13EF3FAA}"/>
    <cellStyle name="Input 3 4 2 2" xfId="1063" xr:uid="{67AFA577-5CD7-4CB0-9DCC-A1303F9B5808}"/>
    <cellStyle name="Input 3 4 2 3" xfId="1756" xr:uid="{324FCF33-8C6C-4915-99A6-AB9EF329283D}"/>
    <cellStyle name="Input 3 4 2 4" xfId="2127" xr:uid="{BE8A5FA2-FDDF-4EE9-8DF5-383539F8809A}"/>
    <cellStyle name="Input 3 4 3" xfId="1273" xr:uid="{17E5528E-EA70-4D9D-9325-7241AC61CB53}"/>
    <cellStyle name="Input 3 4 4" xfId="1549" xr:uid="{56CDD17B-2D49-4951-807C-D99D44F3A134}"/>
    <cellStyle name="Input 3 4 5" xfId="1921" xr:uid="{E5775338-6C80-45A7-865E-A2908B53F14E}"/>
    <cellStyle name="Input 3 5" xfId="723" xr:uid="{012B5F64-6E01-4CE0-823D-4E9564C9C128}"/>
    <cellStyle name="Input 3 5 2" xfId="946" xr:uid="{44796E4B-9318-43F3-83A3-31B367F13C44}"/>
    <cellStyle name="Input 3 5 3" xfId="1706" xr:uid="{445E2C52-57C9-45E0-A804-6C02DEAE56BC}"/>
    <cellStyle name="Input 3 5 4" xfId="2078" xr:uid="{3E38E527-56A6-4F81-A6E6-1A7F34B61842}"/>
    <cellStyle name="Input 3 6" xfId="1295" xr:uid="{B7E76456-E00F-4FD5-8D39-528966F1B2F1}"/>
    <cellStyle name="Input 3 7" xfId="1058" xr:uid="{C165EAD7-47A0-4F56-9A35-B02089560E0E}"/>
    <cellStyle name="Input 3 8" xfId="1491" xr:uid="{3019EDC4-553F-4481-9E83-0633905E4CC6}"/>
    <cellStyle name="Input 4" xfId="377" xr:uid="{28166334-D440-4F76-8C54-EE083BECD179}"/>
    <cellStyle name="InputCells" xfId="31" xr:uid="{C9E75ABD-5E01-46EE-A1C0-677FCEF82AD5}"/>
    <cellStyle name="InputCells 2" xfId="177" xr:uid="{1410A3E6-BC2E-4389-93A7-183698645A5E}"/>
    <cellStyle name="InputCells 3" xfId="228" xr:uid="{76CD4677-F5E7-4BFE-8706-68107F9E3F3D}"/>
    <cellStyle name="InputCells 4" xfId="380" xr:uid="{56196B2D-21E6-413A-9006-CD56A2ED8A29}"/>
    <cellStyle name="InputCells_Bborder_1" xfId="178" xr:uid="{39E69908-81F8-4567-BBF2-BC38D2100741}"/>
    <cellStyle name="InputCells12" xfId="41" xr:uid="{896870F4-BBE4-42A2-88E3-09E04E79FA69}"/>
    <cellStyle name="InputCells12 2" xfId="179" xr:uid="{11D48D09-90A4-4FCE-86F2-7249362CABD2}"/>
    <cellStyle name="InputCells12 2 2" xfId="454" xr:uid="{257B4AE2-7399-44E2-BE42-C29545BDD8E4}"/>
    <cellStyle name="InputCells12 2 2 2" xfId="628" xr:uid="{E2AF8DAC-8108-4EA4-BEF3-B751BDCB8626}"/>
    <cellStyle name="InputCells12 2 2 2 2" xfId="843" xr:uid="{0BDEB4E8-CE5F-431D-871D-B074FA6F75CD}"/>
    <cellStyle name="InputCells12 2 2 2 2 2" xfId="956" xr:uid="{C478FAEF-6997-44E6-BE2A-AAFABD490217}"/>
    <cellStyle name="InputCells12 2 2 2 2 3" xfId="1819" xr:uid="{596197F2-CF5F-484B-9521-101CED79419C}"/>
    <cellStyle name="InputCells12 2 2 2 2 4" xfId="2190" xr:uid="{915E7D29-1DEC-4BB2-B1F6-BF70D0262CED}"/>
    <cellStyle name="InputCells12 2 2 2 3" xfId="1217" xr:uid="{C7CD450A-A0E5-4D51-BD49-90FED5D3DC81}"/>
    <cellStyle name="InputCells12 2 2 2 4" xfId="1612" xr:uid="{E6A01508-908C-429E-BE99-D8F586E5BBDD}"/>
    <cellStyle name="InputCells12 2 2 2 5" xfId="1984" xr:uid="{9A5AA16A-EA3E-4A14-9BF1-F6B4F345C4CC}"/>
    <cellStyle name="InputCells12 2 2 3" xfId="753" xr:uid="{BCC4D386-99F9-4826-92C7-7AB58C3BE3B3}"/>
    <cellStyle name="InputCells12 2 2 3 2" xfId="1488" xr:uid="{24BA5089-3D37-4A73-83DD-274CD31088C6}"/>
    <cellStyle name="InputCells12 2 2 3 3" xfId="1729" xr:uid="{332AEA36-E720-40DE-9A4D-4520C0FE00E1}"/>
    <cellStyle name="InputCells12 2 2 3 4" xfId="2100" xr:uid="{DF9D2034-F52F-4D9A-A300-ABC6CA585B70}"/>
    <cellStyle name="InputCells12 2 3" xfId="313" xr:uid="{7B89BEEF-A462-4806-B204-2C616C26FFD6}"/>
    <cellStyle name="InputCells12 2 3 2" xfId="651" xr:uid="{F423AF4F-EC61-4038-B487-929235F58EE6}"/>
    <cellStyle name="InputCells12 2 3 2 2" xfId="866" xr:uid="{3C757839-718E-43F0-B947-BCBBD47CF881}"/>
    <cellStyle name="InputCells12 2 3 2 2 2" xfId="1009" xr:uid="{25567E71-3CB4-4029-8947-26146ABD529A}"/>
    <cellStyle name="InputCells12 2 3 2 2 3" xfId="1842" xr:uid="{9B4AC69F-F98E-4A5E-B7CB-0861DD0E1BA1}"/>
    <cellStyle name="InputCells12 2 3 2 2 4" xfId="2213" xr:uid="{937DEFF7-CA16-4F40-AB44-C77C7167C717}"/>
    <cellStyle name="InputCells12 2 3 2 3" xfId="1328" xr:uid="{5F21D59D-DEAF-4286-9DA5-2680BE50B18B}"/>
    <cellStyle name="InputCells12 2 3 2 4" xfId="1635" xr:uid="{4A86DC3A-8BB0-41A7-B30F-C01ED7B07D08}"/>
    <cellStyle name="InputCells12 2 3 2 5" xfId="2007" xr:uid="{F02279A3-29C2-44F9-A964-E506C768E005}"/>
    <cellStyle name="InputCells12 2 3 3" xfId="574" xr:uid="{5CA975ED-798E-48CD-9C37-7C748C640048}"/>
    <cellStyle name="InputCells12 2 3 3 2" xfId="789" xr:uid="{131E313A-E946-4250-B7C4-417DA65164CA}"/>
    <cellStyle name="InputCells12 2 3 3 2 2" xfId="1256" xr:uid="{4123743A-1071-4195-BFD0-658B224869D0}"/>
    <cellStyle name="InputCells12 2 3 3 2 3" xfId="1765" xr:uid="{473D4EFA-CFE9-4D57-B616-F47552CE4017}"/>
    <cellStyle name="InputCells12 2 3 3 2 4" xfId="2136" xr:uid="{05805905-B997-472F-B0BF-48CB37837B5C}"/>
    <cellStyle name="InputCells12 2 3 3 3" xfId="933" xr:uid="{55F37C44-FAD9-4766-ABF1-0F1AB6A4D9AC}"/>
    <cellStyle name="InputCells12 2 3 3 4" xfId="1558" xr:uid="{82A3097A-B221-4E05-A7DA-75AD68D34910}"/>
    <cellStyle name="InputCells12 2 3 3 5" xfId="1930" xr:uid="{B914BE9A-FA97-4341-9D6C-D3F4BA2067CD}"/>
    <cellStyle name="InputCells12 2 3 4" xfId="690" xr:uid="{6738DB5F-8745-4CA6-8041-AE315BED73BD}"/>
    <cellStyle name="InputCells12 2 3 4 2" xfId="905" xr:uid="{0C7BA958-CDE8-4356-9FA1-9BA8E181BAB0}"/>
    <cellStyle name="InputCells12 2 3 4 2 2" xfId="1497" xr:uid="{2B0B38DE-9F2B-4EAF-8E58-F2CAC04089C7}"/>
    <cellStyle name="InputCells12 2 3 4 2 3" xfId="1881" xr:uid="{5BDA387B-879D-4B98-8AFD-CA3B0DD3D493}"/>
    <cellStyle name="InputCells12 2 3 4 2 4" xfId="2252" xr:uid="{DB3197CF-F6DB-44C7-BBED-60137780A6F6}"/>
    <cellStyle name="InputCells12 2 3 4 3" xfId="1206" xr:uid="{FC9C0179-E391-4B22-BB4A-8B63616D4A9A}"/>
    <cellStyle name="InputCells12 2 3 4 4" xfId="1674" xr:uid="{6296467A-F160-459B-8060-59EF5BFAAAAA}"/>
    <cellStyle name="InputCells12 2 3 4 5" xfId="2046" xr:uid="{2CBACC0B-7F40-4D55-843A-330941B7C493}"/>
    <cellStyle name="InputCells12 2 3 5" xfId="958" xr:uid="{DBE9A905-6661-4665-A955-CA5834ED7A88}"/>
    <cellStyle name="InputCells12 2 3 6" xfId="1092" xr:uid="{E73F1328-0341-4EFD-8F77-B8E199BA0BD0}"/>
    <cellStyle name="InputCells12 2 3 7" xfId="1494" xr:uid="{C2489E1E-AB38-44FC-A8DE-A0E3EFE07540}"/>
    <cellStyle name="InputCells12 3" xfId="453" xr:uid="{67458ADD-DE73-4B88-9815-F608FD812554}"/>
    <cellStyle name="InputCells12 3 2" xfId="558" xr:uid="{B6A037C9-3996-45F8-9D9B-1B517FD396DA}"/>
    <cellStyle name="InputCells12 3 2 2" xfId="773" xr:uid="{4DAD8B51-80BB-4078-9052-A7C00CB9CF9E}"/>
    <cellStyle name="InputCells12 3 2 2 2" xfId="70" xr:uid="{3B122BAA-0C7E-43B7-84CF-C9408AA48703}"/>
    <cellStyle name="InputCells12 3 2 2 3" xfId="1749" xr:uid="{9814D024-050D-49C7-A71A-FAC9EDC3FB01}"/>
    <cellStyle name="InputCells12 3 2 2 4" xfId="2120" xr:uid="{960FCA5F-FFA9-4C1C-9422-9C2CFFD9B6F1}"/>
    <cellStyle name="InputCells12 3 2 3" xfId="1293" xr:uid="{8520BDEC-3D51-4A24-9EAF-26FDC9DDE294}"/>
    <cellStyle name="InputCells12 3 2 4" xfId="1542" xr:uid="{CCED291E-EFF7-4686-8D7C-3993ED5C5D42}"/>
    <cellStyle name="InputCells12 3 2 5" xfId="1914" xr:uid="{EE3B41F9-B84E-4916-A280-B3D17D5937FA}"/>
    <cellStyle name="InputCells12 3 3" xfId="752" xr:uid="{3BF638C8-A8FE-45E9-BDF7-A0C8498577A8}"/>
    <cellStyle name="InputCells12 3 3 2" xfId="1290" xr:uid="{5B1440B9-0A1C-4117-A48B-53F21286BC4F}"/>
    <cellStyle name="InputCells12 3 3 3" xfId="1728" xr:uid="{61B139DA-E409-4541-AF6F-345CCD986853}"/>
    <cellStyle name="InputCells12 3 3 4" xfId="2099" xr:uid="{71D53671-D719-4626-A183-7EA9F2CE2784}"/>
    <cellStyle name="InputCells12 4" xfId="312" xr:uid="{DC0BC536-9AA6-4B82-8F75-7C11808B62C1}"/>
    <cellStyle name="InputCells12 4 2" xfId="650" xr:uid="{A2E5A0ED-4EE0-466A-BAD5-3A78125D1757}"/>
    <cellStyle name="InputCells12 4 2 2" xfId="865" xr:uid="{75DAB98B-66B3-46AE-B1BE-9F4E2D78547F}"/>
    <cellStyle name="InputCells12 4 2 2 2" xfId="1466" xr:uid="{66CF94C2-1EF4-4FC7-8CBE-B506412F8F5B}"/>
    <cellStyle name="InputCells12 4 2 2 3" xfId="1841" xr:uid="{BD317E07-802C-4B41-ACCF-6376BB1FEDD9}"/>
    <cellStyle name="InputCells12 4 2 2 4" xfId="2212" xr:uid="{9F366C62-100B-4E24-98AE-D4CF86C7F99A}"/>
    <cellStyle name="InputCells12 4 2 3" xfId="1200" xr:uid="{492FE3FE-1BF9-4170-B3C1-AD9203C69558}"/>
    <cellStyle name="InputCells12 4 2 4" xfId="1634" xr:uid="{727B1C6E-D641-4AFB-8C38-3E6DC1EE0EFE}"/>
    <cellStyle name="InputCells12 4 2 5" xfId="2006" xr:uid="{0B89BCCE-D576-40F8-9598-B7AC86B54FA8}"/>
    <cellStyle name="InputCells12 4 3" xfId="575" xr:uid="{AD8A5035-8CA3-435D-88D5-534BC543D9F7}"/>
    <cellStyle name="InputCells12 4 3 2" xfId="790" xr:uid="{6B9894B2-CC95-4C69-8EC8-BAD82A12518E}"/>
    <cellStyle name="InputCells12 4 3 2 2" xfId="1065" xr:uid="{81B3E0B5-5925-46C9-8F33-84B281D6AB08}"/>
    <cellStyle name="InputCells12 4 3 2 3" xfId="1766" xr:uid="{A66CC763-D251-415E-858B-1D7FE9F349DA}"/>
    <cellStyle name="InputCells12 4 3 2 4" xfId="2137" xr:uid="{0EFADBE4-192F-487E-A7E7-076B1AC78925}"/>
    <cellStyle name="InputCells12 4 3 3" xfId="1127" xr:uid="{C4E6C86F-B165-4E6D-BBAB-3B38AD86E630}"/>
    <cellStyle name="InputCells12 4 3 4" xfId="1559" xr:uid="{73ACADC8-D0D9-4455-8D37-B8A5CF8185A0}"/>
    <cellStyle name="InputCells12 4 3 5" xfId="1931" xr:uid="{90B6BEE8-F0A6-4DE3-9983-DF145FD12E2A}"/>
    <cellStyle name="InputCells12 4 4" xfId="549" xr:uid="{D3AAC131-F680-4A9D-B0A5-D0B461B95051}"/>
    <cellStyle name="InputCells12 4 4 2" xfId="764" xr:uid="{6CC00366-9384-4EDF-885F-E136B0970832}"/>
    <cellStyle name="InputCells12 4 4 2 2" xfId="1454" xr:uid="{DAAC4D89-F66F-43B1-8CD2-13D5452837BE}"/>
    <cellStyle name="InputCells12 4 4 2 3" xfId="1740" xr:uid="{E156D79A-6930-4A37-A07F-AEF98CC22EE6}"/>
    <cellStyle name="InputCells12 4 4 2 4" xfId="2111" xr:uid="{7A23FD56-723D-4402-A521-296EEDCD93A6}"/>
    <cellStyle name="InputCells12 4 4 3" xfId="1254" xr:uid="{B628576D-E8DD-467A-90F0-033170178418}"/>
    <cellStyle name="InputCells12 4 4 4" xfId="1533" xr:uid="{2D5EAE7A-86BB-4D59-A40F-94F84C13D133}"/>
    <cellStyle name="InputCells12 4 4 5" xfId="1905" xr:uid="{D2623368-C2FF-4BCC-9E2D-E15922F5827C}"/>
    <cellStyle name="InputCells12 4 5" xfId="1192" xr:uid="{FEF92833-C8A9-4EA3-A14C-E0D9944AB805}"/>
    <cellStyle name="InputCells12 4 6" xfId="1468" xr:uid="{AEF58EA8-E08E-4A19-936B-A202AF4D4334}"/>
    <cellStyle name="InputCells12 4 7" xfId="1026" xr:uid="{DD1CE934-7DFE-43AB-A4D1-0629BFCCD7AF}"/>
    <cellStyle name="InputCells12 5" xfId="107" xr:uid="{07D09AD4-7F30-4DE0-B23A-B58DBFB2C030}"/>
    <cellStyle name="InputCells12_BBorder" xfId="47" xr:uid="{51483724-08F1-45C7-AA1C-2BBC1563F0C2}"/>
    <cellStyle name="IntCells" xfId="180" xr:uid="{2AD9DF71-560C-4C7D-A1E4-E350B88D4BAE}"/>
    <cellStyle name="KP_thin_border_dark_grey" xfId="57" xr:uid="{FDCDA633-CBA9-4B99-943F-53A6047F00E9}"/>
    <cellStyle name="Linked Cell 2" xfId="181" xr:uid="{4F50E367-F046-4170-8FA9-C90CC200F796}"/>
    <cellStyle name="Linked Cell 3" xfId="267" xr:uid="{A36A9D86-B71E-461D-AA43-9878383AD292}"/>
    <cellStyle name="Linked Cell 4" xfId="402" xr:uid="{F0491B2C-9EDE-4BE4-AB3C-BFC69312AAB8}"/>
    <cellStyle name="Neutral 2" xfId="182" xr:uid="{D3C9B49E-5C9D-4E04-B2BD-A949456B7ABC}"/>
    <cellStyle name="Neutral 3" xfId="268" xr:uid="{CC18D9E5-BD26-414A-B6D6-53A46C6046D3}"/>
    <cellStyle name="Normaali 2" xfId="183" xr:uid="{FC840B41-E2F3-4CE7-BD5F-D83C07B00293}"/>
    <cellStyle name="Normaali 2 2" xfId="184" xr:uid="{F75F3D33-CBCC-4295-B2A0-35D5A326D789}"/>
    <cellStyle name="Normal" xfId="0" builtinId="0"/>
    <cellStyle name="Normal 10" xfId="405" xr:uid="{37D86D01-0CEB-472B-A923-BF3D0828545A}"/>
    <cellStyle name="Normal 10 2" xfId="474" xr:uid="{61033AE3-8073-453F-92FD-2543C439FEB1}"/>
    <cellStyle name="Normal 11" xfId="433" xr:uid="{A879DB65-388D-4440-8FC7-64868E793AA8}"/>
    <cellStyle name="Normal 11 2" xfId="475" xr:uid="{BAC8B302-AEB0-4885-8448-00873B10E350}"/>
    <cellStyle name="Normal 12" xfId="544" xr:uid="{06FCB86F-0825-46DB-8D21-E218BF92B5DB}"/>
    <cellStyle name="Normal 12 2" xfId="704" xr:uid="{00F4CE92-C824-4B1E-878E-65E1580FF9F3}"/>
    <cellStyle name="Normal 13" xfId="14" xr:uid="{5802F7DC-BA80-4AE6-80F2-A2974C974649}"/>
    <cellStyle name="Normal 14" xfId="21" xr:uid="{E9D030D3-EB0E-470B-9CB6-F0C4083CF09D}"/>
    <cellStyle name="Normal 15" xfId="2272" xr:uid="{B746D37A-CC82-479B-B571-6F1B94400A7F}"/>
    <cellStyle name="Normal 2" xfId="3" xr:uid="{00000000-0005-0000-0000-000031000000}"/>
    <cellStyle name="Normal 2 2" xfId="19" xr:uid="{00000000-0005-0000-0000-000001000000}"/>
    <cellStyle name="Normal 2 2 2" xfId="186" xr:uid="{3D551BD1-CB67-491D-AD82-A98FDB9AAF6A}"/>
    <cellStyle name="Normal 2 3" xfId="187" xr:uid="{6C03328F-1FE0-4DBC-A3E1-7A094582E446}"/>
    <cellStyle name="Normal 2 3 2" xfId="455" xr:uid="{F503B6AC-B717-4478-9E34-EBE25DA55199}"/>
    <cellStyle name="Normal 2 4" xfId="62" xr:uid="{44E6A0B3-711D-43ED-ACBE-1DD48CBBF213}"/>
    <cellStyle name="Normal 3" xfId="10" xr:uid="{00000000-0005-0000-0000-00003A000000}"/>
    <cellStyle name="Normal 3 2" xfId="188" xr:uid="{D9CA7D9A-014D-4CA2-8F6E-6020B3A3A4E8}"/>
    <cellStyle name="Normal 3 2 2" xfId="63" xr:uid="{2BBD88CA-9682-4EBA-AD8E-CDF2C112FAA2}"/>
    <cellStyle name="Normal 3 3" xfId="229" xr:uid="{21FF3234-79F6-44BF-B349-F527B90AA3B2}"/>
    <cellStyle name="Normal 3 4" xfId="391" xr:uid="{920D39F5-8FC5-4D8F-AF18-6A8AF19DB4BE}"/>
    <cellStyle name="Normal 3 5" xfId="58" xr:uid="{89DBF62C-448E-4104-8120-511209AA5491}"/>
    <cellStyle name="Normal 3 6" xfId="2274" xr:uid="{061A4450-8513-44EC-B41C-EDC20BB16FBC}"/>
    <cellStyle name="Normal 4" xfId="5" xr:uid="{00000000-0005-0000-0000-000001000000}"/>
    <cellStyle name="Normal 4 2" xfId="190" xr:uid="{50E19763-8BE4-489D-9FE0-B639863C78A9}"/>
    <cellStyle name="Normal 4 2 2" xfId="191" xr:uid="{E98BA211-74D8-43E9-9330-815B447EB480}"/>
    <cellStyle name="Normal 4 2 3" xfId="456" xr:uid="{8B45929E-6F63-44CF-BBED-831E0992BE37}"/>
    <cellStyle name="Normal 4 3" xfId="230" xr:uid="{344F66D3-0F30-4568-9697-9A96171A8FB5}"/>
    <cellStyle name="Normal 4 3 2" xfId="457" xr:uid="{89B4481A-197C-4DE3-9480-6C71990514F9}"/>
    <cellStyle name="Normal 4 4" xfId="189" xr:uid="{3B44C35A-586A-46EE-9659-94907BBB2A9F}"/>
    <cellStyle name="Normal 5" xfId="17" xr:uid="{00000000-0005-0000-0000-00003E000000}"/>
    <cellStyle name="Normal 5 2" xfId="323" xr:uid="{BF98E91E-7281-44BB-A50C-6574638157B4}"/>
    <cellStyle name="Normal 5 2 2" xfId="330" xr:uid="{AA6AABD6-8839-47FF-A4E3-FA0695CC6901}"/>
    <cellStyle name="Normal 5 2 2 2" xfId="336" xr:uid="{B0E82FD7-EC55-41A1-B0BC-AD350B72FA35}"/>
    <cellStyle name="Normal 5 2 2 2 2" xfId="351" xr:uid="{CBD8266F-120D-4C7F-BCCB-8712BA0D03E1}"/>
    <cellStyle name="Normal 5 2 2 2 2 2" xfId="480" xr:uid="{BB182075-FD67-43FC-BA1C-6BE551F27FAF}"/>
    <cellStyle name="Normal 5 2 2 2 3" xfId="479" xr:uid="{DDBA820F-0A54-41E8-8A18-ACEC342E847E}"/>
    <cellStyle name="Normal 5 2 2 3" xfId="350" xr:uid="{7A48335E-7E87-453B-BE91-39A222241BFD}"/>
    <cellStyle name="Normal 5 2 2 3 2" xfId="481" xr:uid="{996851FA-9F43-4C5E-9094-2EFEE775E09F}"/>
    <cellStyle name="Normal 5 2 2 4" xfId="478" xr:uid="{FC99F16F-6F13-4E60-86A6-31D60344C7A1}"/>
    <cellStyle name="Normal 5 2 3" xfId="335" xr:uid="{E272AFAF-89C1-4FF8-A364-14986AB298B8}"/>
    <cellStyle name="Normal 5 2 3 2" xfId="352" xr:uid="{FE3E5DED-07AD-498E-9428-CDCEB94A69CC}"/>
    <cellStyle name="Normal 5 2 3 2 2" xfId="483" xr:uid="{68842E24-CE17-4F90-A0A1-AD2724D97B06}"/>
    <cellStyle name="Normal 5 2 3 3" xfId="482" xr:uid="{3831FDB2-4C5A-48AA-8BC1-41EC1CA47A93}"/>
    <cellStyle name="Normal 5 2 4" xfId="349" xr:uid="{98F026AE-5C21-4A5D-816B-A9D5514AF03B}"/>
    <cellStyle name="Normal 5 2 4 2" xfId="484" xr:uid="{6F87242E-2E15-46C9-819D-B294E7EC214C}"/>
    <cellStyle name="Normal 5 2 5" xfId="458" xr:uid="{3014D8A5-41CA-48DB-8F7B-25410BF5893E}"/>
    <cellStyle name="Normal 5 2 5 2" xfId="485" xr:uid="{6A96A892-2FF7-474A-A388-9751F0D8973C}"/>
    <cellStyle name="Normal 5 2 6" xfId="477" xr:uid="{3C710CA1-9B10-4E08-8E1E-6EE5B637523D}"/>
    <cellStyle name="Normal 5 3" xfId="327" xr:uid="{B0F66C31-5510-446B-8BD7-6AA622D1CD07}"/>
    <cellStyle name="Normal 5 3 2" xfId="337" xr:uid="{E8B6C88E-1083-4B92-92E9-CF782998E871}"/>
    <cellStyle name="Normal 5 3 2 2" xfId="354" xr:uid="{8E6BD8F0-5725-4B28-B4BD-DB922599B31F}"/>
    <cellStyle name="Normal 5 3 2 2 2" xfId="488" xr:uid="{B1D05E39-EEB2-48FF-A9B9-148BC3E6B023}"/>
    <cellStyle name="Normal 5 3 2 3" xfId="487" xr:uid="{1842949B-C0CA-4650-9020-BE8EB0D42AB7}"/>
    <cellStyle name="Normal 5 3 3" xfId="353" xr:uid="{FEC4A586-0DD0-4651-BAE6-077879A49ACC}"/>
    <cellStyle name="Normal 5 3 3 2" xfId="489" xr:uid="{AEB2FCD9-CCD3-42F9-8D4F-11C167552A8A}"/>
    <cellStyle name="Normal 5 3 4" xfId="486" xr:uid="{CFBBC070-CF35-4AA7-A9D2-62EFBCE65C78}"/>
    <cellStyle name="Normal 5 4" xfId="334" xr:uid="{46FD3274-E2B1-4B9D-A4CE-834A660A1295}"/>
    <cellStyle name="Normal 5 4 2" xfId="355" xr:uid="{D9AC1D42-F019-48CF-B544-829D6AFAB8AE}"/>
    <cellStyle name="Normal 5 4 2 2" xfId="491" xr:uid="{0EEE6DD0-8A01-4121-AF35-2C002915EAC9}"/>
    <cellStyle name="Normal 5 4 3" xfId="490" xr:uid="{D8524C56-692E-414B-A34C-D328561CAECF}"/>
    <cellStyle name="Normal 5 5" xfId="348" xr:uid="{800563B5-42DD-4452-8EF1-D6EE6A7ACB52}"/>
    <cellStyle name="Normal 5 5 2" xfId="492" xr:uid="{4A73B4E2-6CF1-4297-8666-CDEFA1A888F7}"/>
    <cellStyle name="Normal 5 6" xfId="392" xr:uid="{AB5B2FBA-EC7A-4A54-A4A5-214247D76F47}"/>
    <cellStyle name="Normal 5 7" xfId="476" xr:uid="{336A3C8B-01E9-4E5F-B295-E2413E64A730}"/>
    <cellStyle name="Normal 5 8" xfId="314" xr:uid="{91B77F41-235A-4A87-930F-92867119A32A}"/>
    <cellStyle name="Normal 5 9" xfId="192" xr:uid="{7AE0033B-CA42-4F06-BEA8-34406B791584}"/>
    <cellStyle name="Normal 6" xfId="193" xr:uid="{83715A31-BB48-479B-AF00-64855A39EB31}"/>
    <cellStyle name="Normal 6 10" xfId="459" xr:uid="{FF30E301-4F41-4CD7-8F46-6291E83EFF28}"/>
    <cellStyle name="Normal 6 10 2" xfId="494" xr:uid="{3A00CF9D-78F3-40C1-88F1-1D50F6292387}"/>
    <cellStyle name="Normal 6 11" xfId="493" xr:uid="{9366451E-6E1A-404B-9195-209E6683A5A3}"/>
    <cellStyle name="Normal 6 2" xfId="324" xr:uid="{0F8CF2FD-C2C1-45BD-AC04-48DB184B9B24}"/>
    <cellStyle name="Normal 6 2 2" xfId="331" xr:uid="{E6B21832-998D-47E1-9DA9-389D52020075}"/>
    <cellStyle name="Normal 6 2 2 2" xfId="340" xr:uid="{62B934B2-61F4-4FC2-B8CB-6C410B2F0E54}"/>
    <cellStyle name="Normal 6 2 2 2 2" xfId="359" xr:uid="{5EFA2A4A-0608-4B4E-B48C-B85BC8A11242}"/>
    <cellStyle name="Normal 6 2 2 2 2 2" xfId="498" xr:uid="{2526E74E-0FD4-46C1-B4D0-F73E466E30CD}"/>
    <cellStyle name="Normal 6 2 2 2 3" xfId="497" xr:uid="{CAC46484-0B0D-4E48-AB18-CDC2EB4B72E9}"/>
    <cellStyle name="Normal 6 2 2 3" xfId="358" xr:uid="{4CC89ABB-E0DB-4C6E-AB8C-EB81158BA979}"/>
    <cellStyle name="Normal 6 2 2 3 2" xfId="499" xr:uid="{38A61BE0-7444-46B9-86F4-5C64B76F7EF5}"/>
    <cellStyle name="Normal 6 2 2 4" xfId="496" xr:uid="{BF039F86-CC8C-470C-9C4C-2EC7EEBBB7B7}"/>
    <cellStyle name="Normal 6 2 3" xfId="339" xr:uid="{9C4C3475-7324-481A-9E43-F27C47F9FB61}"/>
    <cellStyle name="Normal 6 2 3 2" xfId="360" xr:uid="{8B0C957A-AA7F-41C3-A4DC-5624609132F2}"/>
    <cellStyle name="Normal 6 2 3 2 2" xfId="501" xr:uid="{50B8E1A9-AEDF-4F6E-B2A0-9FDD1F33F060}"/>
    <cellStyle name="Normal 6 2 3 3" xfId="500" xr:uid="{63D4B534-40FF-4063-8AA6-9243C7DC2721}"/>
    <cellStyle name="Normal 6 2 4" xfId="357" xr:uid="{C30E4F84-8C8C-4E14-8AF8-D5985C7DAC79}"/>
    <cellStyle name="Normal 6 2 4 2" xfId="502" xr:uid="{49823BA2-F996-4A1E-B03A-07EB0C7B2A3C}"/>
    <cellStyle name="Normal 6 2 5" xfId="460" xr:uid="{677A6A25-8BCE-4965-865E-3881A77737D9}"/>
    <cellStyle name="Normal 6 2 5 2" xfId="503" xr:uid="{93435FB9-1D5A-43ED-AB59-39BAE6EB7D10}"/>
    <cellStyle name="Normal 6 2 6" xfId="495" xr:uid="{0166D914-3778-4BA2-8445-90E59CCCE67F}"/>
    <cellStyle name="Normal 6 3" xfId="326" xr:uid="{83BBBFF3-3707-4F46-9ADA-C3F5716A9E34}"/>
    <cellStyle name="Normal 6 3 2" xfId="333" xr:uid="{49749E1F-8477-44F8-B8C8-C6EA381CD105}"/>
    <cellStyle name="Normal 6 3 2 2" xfId="342" xr:uid="{F88562B8-549B-4330-A23A-7166089C7066}"/>
    <cellStyle name="Normal 6 3 2 2 2" xfId="363" xr:uid="{A39F79EA-9318-4F68-8BF4-3484646E0A2F}"/>
    <cellStyle name="Normal 6 3 2 2 2 2" xfId="507" xr:uid="{F5BCB598-EE38-4722-9024-0835D1A9BD97}"/>
    <cellStyle name="Normal 6 3 2 2 3" xfId="506" xr:uid="{8B825886-B4D5-4F6F-9D73-8711CA69E20B}"/>
    <cellStyle name="Normal 6 3 2 3" xfId="362" xr:uid="{95077C08-7A05-4123-AC57-4FE76A040367}"/>
    <cellStyle name="Normal 6 3 2 3 2" xfId="508" xr:uid="{490780DA-CF8F-4A24-A214-BEC992460B70}"/>
    <cellStyle name="Normal 6 3 2 4" xfId="505" xr:uid="{7E9B9C60-FC8F-4EBA-909F-692283398CC6}"/>
    <cellStyle name="Normal 6 3 3" xfId="341" xr:uid="{CFE7B854-2C79-407F-841E-F7B151E7FB0D}"/>
    <cellStyle name="Normal 6 3 3 2" xfId="364" xr:uid="{475BACBE-DBD9-4061-A910-4D2941308F68}"/>
    <cellStyle name="Normal 6 3 3 2 2" xfId="510" xr:uid="{6C01ADD8-600B-4F6B-ABB0-13991394C6F2}"/>
    <cellStyle name="Normal 6 3 3 3" xfId="509" xr:uid="{368CDCAF-FAD3-4FC0-BD23-072AEB4DBD08}"/>
    <cellStyle name="Normal 6 3 4" xfId="361" xr:uid="{F5704403-13C4-482A-810D-22AD5B687A57}"/>
    <cellStyle name="Normal 6 3 4 2" xfId="511" xr:uid="{ABFDAF5E-A320-4B3B-B5F8-5F81B8407474}"/>
    <cellStyle name="Normal 6 3 5" xfId="504" xr:uid="{33C6DF31-F5E3-4C31-BE1A-2C7C088039EC}"/>
    <cellStyle name="Normal 6 4" xfId="328" xr:uid="{79BE38BF-EE22-4679-9F0E-CE4122E146DB}"/>
    <cellStyle name="Normal 6 4 2" xfId="343" xr:uid="{9E41D3CD-C32F-48E9-B057-490891383A20}"/>
    <cellStyle name="Normal 6 4 2 2" xfId="366" xr:uid="{BF83BB7F-C8A1-45FD-82E8-E65E27CF73A6}"/>
    <cellStyle name="Normal 6 4 2 2 2" xfId="514" xr:uid="{01362A32-0447-4078-9AAF-1FFB2B698020}"/>
    <cellStyle name="Normal 6 4 2 3" xfId="513" xr:uid="{52C864CF-BACE-46FB-BCC5-5E384C8DD1D0}"/>
    <cellStyle name="Normal 6 4 3" xfId="365" xr:uid="{D4CB1057-C4C9-4550-94C2-436840EF4F4F}"/>
    <cellStyle name="Normal 6 4 3 2" xfId="515" xr:uid="{4D132211-4DD8-449C-988E-7AF2B888D725}"/>
    <cellStyle name="Normal 6 4 4" xfId="512" xr:uid="{54057059-DCB4-4D85-97BA-F95D1B9C484A}"/>
    <cellStyle name="Normal 6 5" xfId="338" xr:uid="{BD3DAED3-1535-4E27-B2E2-D8E425E898F8}"/>
    <cellStyle name="Normal 6 5 2" xfId="367" xr:uid="{AA6BF539-FEF6-453A-B8C4-CE318138ED4F}"/>
    <cellStyle name="Normal 6 5 2 2" xfId="517" xr:uid="{2C1B73C0-5976-4FF2-8254-164ECE01156A}"/>
    <cellStyle name="Normal 6 5 3" xfId="516" xr:uid="{5538CC15-306A-4834-9FFE-8049261DE1B2}"/>
    <cellStyle name="Normal 6 6" xfId="356" xr:uid="{9AB15DF0-CA6B-4788-A76D-7788DE0C0158}"/>
    <cellStyle name="Normal 6 6 2" xfId="518" xr:uid="{8E4F9FF6-2CA9-40A4-A1D2-88985BCCA9AE}"/>
    <cellStyle name="Normal 6 7" xfId="393" xr:uid="{E8995099-AFE9-48FE-9162-D04A5324526E}"/>
    <cellStyle name="Normal 6 7 2" xfId="519" xr:uid="{E5758EA4-6A95-4500-BC14-B46BBE94FFC0}"/>
    <cellStyle name="Normal 6 8" xfId="429" xr:uid="{175FABFB-CF82-4BF5-97C8-2B2FE6EAD9DB}"/>
    <cellStyle name="Normal 6 8 2" xfId="520" xr:uid="{F1D0209E-5EC4-45C5-9F3E-27587916C865}"/>
    <cellStyle name="Normal 6 9" xfId="432" xr:uid="{44C0D145-938D-4644-B07B-753C38236869}"/>
    <cellStyle name="Normal 6 9 2" xfId="521" xr:uid="{C1BD9C55-AE3D-48A5-BAAA-742041352755}"/>
    <cellStyle name="Normal 7" xfId="56" xr:uid="{F8421A33-6684-4649-88AB-26A9CE917FC2}"/>
    <cellStyle name="Normal 7 2" xfId="325" xr:uid="{D2D86C38-3752-456F-A62C-71E0E9C2C8FC}"/>
    <cellStyle name="Normal 7 2 2" xfId="332" xr:uid="{23F04117-9E5E-46BE-B981-F323B92FA296}"/>
    <cellStyle name="Normal 7 2 2 2" xfId="346" xr:uid="{DE5C1094-2F3E-4BFD-BF69-3C54CD97E291}"/>
    <cellStyle name="Normal 7 2 2 2 2" xfId="371" xr:uid="{CE7BB75A-A5D6-40C9-8EE7-487E8F69A571}"/>
    <cellStyle name="Normal 7 2 2 2 2 2" xfId="526" xr:uid="{20E6DD54-0F23-4D25-8B73-73B141FF910F}"/>
    <cellStyle name="Normal 7 2 2 2 3" xfId="525" xr:uid="{C83AA3E5-108E-4F5F-ADFD-FCFB5338B1E4}"/>
    <cellStyle name="Normal 7 2 2 3" xfId="370" xr:uid="{C05B704F-87EB-48F5-9C42-EA1D7893F330}"/>
    <cellStyle name="Normal 7 2 2 3 2" xfId="527" xr:uid="{6270FDBA-4992-459D-BBB2-ED4B4337E461}"/>
    <cellStyle name="Normal 7 2 2 4" xfId="524" xr:uid="{8F7F8A25-9EEA-4343-8007-E7AD3D38D2BF}"/>
    <cellStyle name="Normal 7 2 3" xfId="345" xr:uid="{83F76608-8B78-492B-B18D-807271413FA7}"/>
    <cellStyle name="Normal 7 2 3 2" xfId="372" xr:uid="{D5F7787A-CA39-4B03-93A1-AF63A7135421}"/>
    <cellStyle name="Normal 7 2 3 2 2" xfId="529" xr:uid="{F794AD2C-5ADF-4773-902A-009C2B7F5735}"/>
    <cellStyle name="Normal 7 2 3 3" xfId="528" xr:uid="{D4572407-7891-4BBB-B9D0-40AAF0351DB0}"/>
    <cellStyle name="Normal 7 2 4" xfId="369" xr:uid="{0F50925D-3015-44A9-9BA3-3250C781F6FE}"/>
    <cellStyle name="Normal 7 2 4 2" xfId="530" xr:uid="{AE4C3497-7924-4FDB-910F-CBEDD4169469}"/>
    <cellStyle name="Normal 7 2 5" xfId="461" xr:uid="{F5F5F42C-B2CE-4DAF-9D0A-058EDF0C436E}"/>
    <cellStyle name="Normal 7 2 5 2" xfId="531" xr:uid="{0960D38C-8A71-4853-AEC0-0AB75CCB4B5E}"/>
    <cellStyle name="Normal 7 2 6" xfId="523" xr:uid="{50030998-91BE-405D-A660-827447ABDC33}"/>
    <cellStyle name="Normal 7 3" xfId="329" xr:uid="{23B0B9A5-FB7D-4850-8860-9D8F8D1536A0}"/>
    <cellStyle name="Normal 7 3 2" xfId="347" xr:uid="{79EACD5A-5FF7-4A88-91C2-ABE9EDDB9A41}"/>
    <cellStyle name="Normal 7 3 2 2" xfId="374" xr:uid="{A6E69B46-1B63-4406-ADCD-34CD6A035F6B}"/>
    <cellStyle name="Normal 7 3 2 2 2" xfId="534" xr:uid="{36641912-F71C-414B-A52D-857DE7DB8EBB}"/>
    <cellStyle name="Normal 7 3 2 3" xfId="533" xr:uid="{DBCD0D24-5008-42DC-9E5F-125559A39D84}"/>
    <cellStyle name="Normal 7 3 3" xfId="373" xr:uid="{6A1EE418-7146-48EF-AB00-576447D2330E}"/>
    <cellStyle name="Normal 7 3 3 2" xfId="535" xr:uid="{2F786BAA-91BD-4E60-B1A0-250675B29D87}"/>
    <cellStyle name="Normal 7 3 4" xfId="532" xr:uid="{53C40ECB-066F-4298-9EDD-39CD22830F9B}"/>
    <cellStyle name="Normal 7 4" xfId="344" xr:uid="{92501683-0073-44DA-AA83-7A851CBD042C}"/>
    <cellStyle name="Normal 7 4 2" xfId="375" xr:uid="{2756E9F1-8C3F-46ED-88A6-65AABDA97DCC}"/>
    <cellStyle name="Normal 7 4 2 2" xfId="537" xr:uid="{E6E2779D-8AA4-4FF6-B3C9-071DE20AAA78}"/>
    <cellStyle name="Normal 7 4 3" xfId="536" xr:uid="{FB363707-6B85-47A5-AEC2-50722746D2D1}"/>
    <cellStyle name="Normal 7 5" xfId="368" xr:uid="{53E290BB-DE0F-462D-8C8E-9FE2E39347D6}"/>
    <cellStyle name="Normal 7 5 2" xfId="538" xr:uid="{53FD2CD5-FD30-400A-8A54-CD4DEA8B5E39}"/>
    <cellStyle name="Normal 7 6" xfId="381" xr:uid="{967B2BC2-FFF0-4240-840C-BA28E6160431}"/>
    <cellStyle name="Normal 7 7" xfId="522" xr:uid="{93762CEB-5B56-41B9-BC1E-16823ED51624}"/>
    <cellStyle name="Normal 7 8" xfId="322" xr:uid="{72447E79-67CF-4643-B929-EC967DB4D6B2}"/>
    <cellStyle name="Normal 8" xfId="269" xr:uid="{F0386BB5-8187-4538-B2FB-24AEC1071709}"/>
    <cellStyle name="Normal 8 2" xfId="463" xr:uid="{B5A57442-BCBB-4883-B63A-A338FC9D7A81}"/>
    <cellStyle name="Normal 8 3" xfId="462" xr:uid="{83D0627B-30C3-467F-86F4-F470BA60F8D8}"/>
    <cellStyle name="Normal 9" xfId="376" xr:uid="{1BE74CEC-F2E0-4038-94C1-3DEB85E4EAC2}"/>
    <cellStyle name="Normal 9 2" xfId="539" xr:uid="{0D3E9BCF-69B7-46D9-8EF0-F7D4A6B428CE}"/>
    <cellStyle name="Normal GHG Numbers (0.00)" xfId="194" xr:uid="{1146ADD7-8DB1-476A-9823-95EB4E4EBD4F}"/>
    <cellStyle name="Normal GHG Numbers (0.00) 2" xfId="195" xr:uid="{7C78605F-A0C5-478C-A64C-A94179F233DB}"/>
    <cellStyle name="Normal GHG Numbers (0.00) 3" xfId="59" xr:uid="{DA6E172C-CEA6-4FEE-8BC8-3B06F98D2224}"/>
    <cellStyle name="Normal GHG Numbers (0.00) 3 2" xfId="464" xr:uid="{4FF9C736-E6FC-4378-87E2-7E919E30A170}"/>
    <cellStyle name="Normal GHG Numbers (0.00) 3 2 2" xfId="613" xr:uid="{382D2E7B-38E9-48E3-94D6-F19B46C01AA5}"/>
    <cellStyle name="Normal GHG Numbers (0.00) 3 2 2 2" xfId="828" xr:uid="{8C1FB0AE-3321-49F8-A07B-E9BA270D6599}"/>
    <cellStyle name="Normal GHG Numbers (0.00) 3 2 2 2 2" xfId="1178" xr:uid="{54D391B3-25E1-454D-BB4D-130A6F7C1296}"/>
    <cellStyle name="Normal GHG Numbers (0.00) 3 2 2 2 3" xfId="1804" xr:uid="{31A2F03F-1004-46BD-9098-AC150B1827AD}"/>
    <cellStyle name="Normal GHG Numbers (0.00) 3 2 2 2 4" xfId="2175" xr:uid="{A61F104F-E79F-46B4-935B-FAE390280ACF}"/>
    <cellStyle name="Normal GHG Numbers (0.00) 3 2 2 3" xfId="1118" xr:uid="{DD532C9D-E67A-4EB1-9C31-C6A7EE96F1E4}"/>
    <cellStyle name="Normal GHG Numbers (0.00) 3 2 2 4" xfId="1597" xr:uid="{5729D094-6E63-459A-A097-93F4BEE6B1A1}"/>
    <cellStyle name="Normal GHG Numbers (0.00) 3 2 2 5" xfId="1969" xr:uid="{EAD8E985-8B16-4CC5-A92A-34C638CE3DBB}"/>
    <cellStyle name="Normal GHG Numbers (0.00) 3 2 3" xfId="754" xr:uid="{7AC9B14E-BC9B-4C01-9341-E37375C92CA4}"/>
    <cellStyle name="Normal GHG Numbers (0.00) 3 2 3 2" xfId="1355" xr:uid="{6BFB70B8-A2BF-40A1-84F5-80786962C85D}"/>
    <cellStyle name="Normal GHG Numbers (0.00) 3 2 3 3" xfId="1730" xr:uid="{BC32A376-27EB-4067-B6E9-05963653198C}"/>
    <cellStyle name="Normal GHG Numbers (0.00) 3 2 3 4" xfId="2101" xr:uid="{09F725CD-B804-4615-B312-4C71589B0DB3}"/>
    <cellStyle name="Normal GHG Numbers (0.00) 3 3" xfId="394" xr:uid="{3939480D-5AC5-4C72-92D9-BD47211FC05A}"/>
    <cellStyle name="Normal GHG Numbers (0.00) 3 3 2" xfId="672" xr:uid="{E273E759-163E-4D57-B5C9-C22AC6EE8355}"/>
    <cellStyle name="Normal GHG Numbers (0.00) 3 3 2 2" xfId="887" xr:uid="{3E83F426-ED39-4CDB-9B13-95A410C4BB32}"/>
    <cellStyle name="Normal GHG Numbers (0.00) 3 3 2 2 2" xfId="1208" xr:uid="{E398FC40-AB14-4916-91EB-1D75E652D00B}"/>
    <cellStyle name="Normal GHG Numbers (0.00) 3 3 2 2 3" xfId="1863" xr:uid="{C1AFC23F-69D9-4EFF-A8E7-48515C08243D}"/>
    <cellStyle name="Normal GHG Numbers (0.00) 3 3 2 2 4" xfId="2234" xr:uid="{5E887D50-780D-422C-89DB-8CA5498319EC}"/>
    <cellStyle name="Normal GHG Numbers (0.00) 3 3 2 3" xfId="941" xr:uid="{DE554C35-992C-400A-AF0D-998913083736}"/>
    <cellStyle name="Normal GHG Numbers (0.00) 3 3 2 4" xfId="1656" xr:uid="{EA90692F-ADC7-4FFC-AA0D-4B22B48BB8F7}"/>
    <cellStyle name="Normal GHG Numbers (0.00) 3 3 2 5" xfId="2028" xr:uid="{164E7B52-82C5-49E1-B8B2-896FDD777404}"/>
    <cellStyle name="Normal GHG Numbers (0.00) 3 3 3" xfId="569" xr:uid="{EC856022-EE82-4812-9502-B77A23565D4C}"/>
    <cellStyle name="Normal GHG Numbers (0.00) 3 3 3 2" xfId="784" xr:uid="{ABE94EC2-FE97-4A14-9D8C-7B19EE991B61}"/>
    <cellStyle name="Normal GHG Numbers (0.00) 3 3 3 2 2" xfId="1081" xr:uid="{B12F3032-AF94-444E-A709-FC831862C72E}"/>
    <cellStyle name="Normal GHG Numbers (0.00) 3 3 3 2 3" xfId="1760" xr:uid="{C742E355-7B50-40FD-9DD3-BA201E0BE1C8}"/>
    <cellStyle name="Normal GHG Numbers (0.00) 3 3 3 2 4" xfId="2131" xr:uid="{39D620E4-6EBF-43BE-AA9B-F7FA7329B0CD}"/>
    <cellStyle name="Normal GHG Numbers (0.00) 3 3 3 3" xfId="1023" xr:uid="{78124A8D-04F8-4467-A51D-DA2CB8F8DAAC}"/>
    <cellStyle name="Normal GHG Numbers (0.00) 3 3 3 4" xfId="1553" xr:uid="{A843B868-5D5C-482C-96DB-492BEA967D88}"/>
    <cellStyle name="Normal GHG Numbers (0.00) 3 3 3 5" xfId="1925" xr:uid="{2C350140-CEDC-4115-B422-C73404C3FEED}"/>
    <cellStyle name="Normal GHG Numbers (0.00) 3 3 4" xfId="702" xr:uid="{841B0C3E-245B-4C75-B416-32E4F457ABA5}"/>
    <cellStyle name="Normal GHG Numbers (0.00) 3 3 4 2" xfId="917" xr:uid="{41A36783-F8C2-4065-A61A-CAA09C98653F}"/>
    <cellStyle name="Normal GHG Numbers (0.00) 3 3 4 2 2" xfId="1509" xr:uid="{A8EB2B40-B61E-41AA-A1E0-52BEF0B805F7}"/>
    <cellStyle name="Normal GHG Numbers (0.00) 3 3 4 2 3" xfId="1893" xr:uid="{90652A3D-8A26-4E80-AA92-DF739661266B}"/>
    <cellStyle name="Normal GHG Numbers (0.00) 3 3 4 2 4" xfId="2264" xr:uid="{11CC4DBD-664C-4D8F-ABEC-387CD9157AC8}"/>
    <cellStyle name="Normal GHG Numbers (0.00) 3 3 4 3" xfId="1479" xr:uid="{D1B5C4AE-99AE-4B0E-9994-58918B889CC9}"/>
    <cellStyle name="Normal GHG Numbers (0.00) 3 3 4 4" xfId="1686" xr:uid="{1CE2927A-85CE-4477-BE5E-6563D8B4BB29}"/>
    <cellStyle name="Normal GHG Numbers (0.00) 3 3 4 5" xfId="2058" xr:uid="{186F5AC6-E8F2-4C4A-ABB7-0391BA84C0FE}"/>
    <cellStyle name="Normal GHG Numbers (0.00) 3 3 5" xfId="1285" xr:uid="{E88AB3F9-7E3D-4B1A-AD6D-6BB177B29447}"/>
    <cellStyle name="Normal GHG Numbers (0.00) 3 3 6" xfId="1082" xr:uid="{D690F2CE-E783-4F90-BC3A-E0B15498D80E}"/>
    <cellStyle name="Normal GHG Numbers (0.00) 3 3 7" xfId="1145" xr:uid="{D2C59097-BA1E-4E13-BE32-19A2ADD7CAFD}"/>
    <cellStyle name="Normal GHG Numbers (0.00) 3 4" xfId="196" xr:uid="{7984611C-FDDB-42FD-BEF8-1508A77D5C75}"/>
    <cellStyle name="Normal GHG Textfiels Bold" xfId="26" xr:uid="{A9D19082-EAA2-40A0-B4DA-7FE5823C76AF}"/>
    <cellStyle name="Normal GHG Textfiels Bold 2" xfId="197" xr:uid="{65C385FA-6B7B-4B84-A455-8004B73A24F8}"/>
    <cellStyle name="Normal GHG Textfiels Bold 3" xfId="198" xr:uid="{F3F44880-055A-4F7A-B03E-508BBE1099CA}"/>
    <cellStyle name="Normal GHG Textfiels Bold 3 2" xfId="465" xr:uid="{8831A483-0C45-4F57-ADCF-069BE7668AFE}"/>
    <cellStyle name="Normal GHG Textfiels Bold 3 2 2" xfId="557" xr:uid="{4A254874-89E0-47CD-BBBC-D90A8FBF5794}"/>
    <cellStyle name="Normal GHG Textfiels Bold 3 2 2 2" xfId="772" xr:uid="{7C13061A-F9F9-45B0-899B-E4DE7E52E4F2}"/>
    <cellStyle name="Normal GHG Textfiels Bold 3 2 2 2 2" xfId="1159" xr:uid="{66C94E2F-6C44-44FB-8FD9-191CFE605273}"/>
    <cellStyle name="Normal GHG Textfiels Bold 3 2 2 2 3" xfId="1748" xr:uid="{09C6FDB2-3E67-42C3-856C-8273F3EFB3FF}"/>
    <cellStyle name="Normal GHG Textfiels Bold 3 2 2 2 4" xfId="2119" xr:uid="{BC4863C9-A579-4A8E-889F-2695BC04D261}"/>
    <cellStyle name="Normal GHG Textfiels Bold 3 2 2 3" xfId="1430" xr:uid="{9E9D57A2-6C9E-4E96-B8EE-49DCC90D014B}"/>
    <cellStyle name="Normal GHG Textfiels Bold 3 2 2 4" xfId="1541" xr:uid="{E4DD8F9F-2827-47CA-83D8-F6EE26E7A2AA}"/>
    <cellStyle name="Normal GHG Textfiels Bold 3 2 2 5" xfId="1913" xr:uid="{8CADAF35-CB87-4BDC-BBCE-AA20EDA95714}"/>
    <cellStyle name="Normal GHG Textfiels Bold 3 2 3" xfId="755" xr:uid="{6A34D3F0-33F4-45E1-833A-C5A6573E3C66}"/>
    <cellStyle name="Normal GHG Textfiels Bold 3 2 3 2" xfId="1492" xr:uid="{17DBC3FF-75A2-4245-9B1A-795D75AF4D0C}"/>
    <cellStyle name="Normal GHG Textfiels Bold 3 2 3 3" xfId="1731" xr:uid="{B65637F1-9C7F-443A-B576-E54849A21260}"/>
    <cellStyle name="Normal GHG Textfiels Bold 3 2 3 4" xfId="2102" xr:uid="{CAD7840F-77C0-4A15-A943-2535E3422544}"/>
    <cellStyle name="Normal GHG Textfiels Bold 3 3" xfId="395" xr:uid="{4488D265-6A6B-471D-8707-5F03169F5369}"/>
    <cellStyle name="Normal GHG Textfiels Bold 3 3 2" xfId="673" xr:uid="{CD470CA9-C678-41B5-AE99-2A7243920BD5}"/>
    <cellStyle name="Normal GHG Textfiels Bold 3 3 2 2" xfId="888" xr:uid="{D4595BA5-54FC-4EB2-8AD6-6E2803618D14}"/>
    <cellStyle name="Normal GHG Textfiels Bold 3 3 2 2 2" xfId="1435" xr:uid="{375E600E-D8CC-4956-BF1C-06AC3F77D074}"/>
    <cellStyle name="Normal GHG Textfiels Bold 3 3 2 2 3" xfId="1864" xr:uid="{19AEFBD7-5234-4D9E-9B9F-B2F133C58C00}"/>
    <cellStyle name="Normal GHG Textfiels Bold 3 3 2 2 4" xfId="2235" xr:uid="{31DB2382-B8ED-4165-8E2F-23C68B30F251}"/>
    <cellStyle name="Normal GHG Textfiels Bold 3 3 2 3" xfId="1201" xr:uid="{BDE3D13C-1F12-45E0-B46F-6E6E38D4B702}"/>
    <cellStyle name="Normal GHG Textfiels Bold 3 3 2 4" xfId="1657" xr:uid="{82446AFB-21AA-4589-B0FD-752EBA410A48}"/>
    <cellStyle name="Normal GHG Textfiels Bold 3 3 2 5" xfId="2029" xr:uid="{715CB075-B0D8-4CBE-BCE6-5C69BEDA88BB}"/>
    <cellStyle name="Normal GHG Textfiels Bold 3 3 3" xfId="616" xr:uid="{136089FA-0289-4DA7-99CB-167DD7620742}"/>
    <cellStyle name="Normal GHG Textfiels Bold 3 3 3 2" xfId="831" xr:uid="{33B7A58F-FED3-4543-8C8F-8438AFD205D5}"/>
    <cellStyle name="Normal GHG Textfiels Bold 3 3 3 2 2" xfId="1364" xr:uid="{E0E24F22-1EAC-46F4-8489-4BBB6BC8C560}"/>
    <cellStyle name="Normal GHG Textfiels Bold 3 3 3 2 3" xfId="1807" xr:uid="{D6C6B714-8665-4866-A8BD-185A180C4331}"/>
    <cellStyle name="Normal GHG Textfiels Bold 3 3 3 2 4" xfId="2178" xr:uid="{60C644C7-3C50-44E9-8C24-4BB3D64356B2}"/>
    <cellStyle name="Normal GHG Textfiels Bold 3 3 3 3" xfId="1133" xr:uid="{CEF5D2D3-C5D5-4CF9-AD22-1F3F18C20A90}"/>
    <cellStyle name="Normal GHG Textfiels Bold 3 3 3 4" xfId="1600" xr:uid="{49592D80-DABE-4FB6-8861-E3851AE04301}"/>
    <cellStyle name="Normal GHG Textfiels Bold 3 3 3 5" xfId="1972" xr:uid="{3E55CF23-94D4-4292-9424-01A2D7334A26}"/>
    <cellStyle name="Normal GHG Textfiels Bold 3 3 4" xfId="591" xr:uid="{B886992B-4AF8-4729-8E05-083FE297BE1D}"/>
    <cellStyle name="Normal GHG Textfiels Bold 3 3 4 2" xfId="806" xr:uid="{A02DC794-6AC7-4E81-9D43-45AAD24BED90}"/>
    <cellStyle name="Normal GHG Textfiels Bold 3 3 4 2 2" xfId="1171" xr:uid="{41D9021C-501C-44F6-B2D0-90C517A1D3AD}"/>
    <cellStyle name="Normal GHG Textfiels Bold 3 3 4 2 3" xfId="1782" xr:uid="{4A1FCB8C-24B5-46AB-AC22-AF4D0D4F0C02}"/>
    <cellStyle name="Normal GHG Textfiels Bold 3 3 4 2 4" xfId="2153" xr:uid="{0008F14B-19AC-48F6-A9BB-43411CAD632E}"/>
    <cellStyle name="Normal GHG Textfiels Bold 3 3 4 3" xfId="1025" xr:uid="{13B32AF0-9796-48EF-AEB2-DF8F266DF9E7}"/>
    <cellStyle name="Normal GHG Textfiels Bold 3 3 4 4" xfId="1575" xr:uid="{15753F6C-2B9F-4954-892C-0EE8F7458A94}"/>
    <cellStyle name="Normal GHG Textfiels Bold 3 3 4 5" xfId="1947" xr:uid="{3DA44D36-22B9-41D4-B284-08DE75712399}"/>
    <cellStyle name="Normal GHG Textfiels Bold 3 3 5" xfId="1017" xr:uid="{2B9CD339-5859-4453-91C8-18585DF8AF48}"/>
    <cellStyle name="Normal GHG Textfiels Bold 3 3 6" xfId="1004" xr:uid="{4BD18F95-BF42-470C-8AB2-5D77CC13B57A}"/>
    <cellStyle name="Normal GHG Textfiels Bold 3 3 7" xfId="1083" xr:uid="{CD7FBA16-D916-4AE9-949F-EE8EC2E0DFE8}"/>
    <cellStyle name="Normal GHG whole table" xfId="35" xr:uid="{01CEF103-586F-4157-B92A-B7408FD96234}"/>
    <cellStyle name="Normal GHG whole table 2" xfId="466" xr:uid="{8315B1D6-CB86-413A-9EA4-B01773254189}"/>
    <cellStyle name="Normal GHG whole table 2 2" xfId="612" xr:uid="{71B485FA-B6EE-4385-A5DB-82CABDB01589}"/>
    <cellStyle name="Normal GHG whole table 2 2 2" xfId="827" xr:uid="{B6A10363-025F-4D33-BE65-D0FB48C3C455}"/>
    <cellStyle name="Normal GHG whole table 2 2 2 2" xfId="1405" xr:uid="{FD6B4D87-3ED1-44A7-A8C9-4112EE80CA79}"/>
    <cellStyle name="Normal GHG whole table 2 2 2 3" xfId="1803" xr:uid="{FB753F2A-50D1-4055-9E8B-FA2D308DBA16}"/>
    <cellStyle name="Normal GHG whole table 2 2 2 4" xfId="2174" xr:uid="{6BDFBDA4-C406-4DAF-BBC6-9FE909EAA764}"/>
    <cellStyle name="Normal GHG whole table 2 2 3" xfId="1389" xr:uid="{B4AC0EA8-4B9F-484D-8DD7-AD46A1476EED}"/>
    <cellStyle name="Normal GHG whole table 2 2 4" xfId="1596" xr:uid="{35DB2C6A-5D29-445D-B989-B0C6B2B6392A}"/>
    <cellStyle name="Normal GHG whole table 2 2 5" xfId="1968" xr:uid="{712C5A68-E73D-4710-9DE6-6D9C053ABCED}"/>
    <cellStyle name="Normal GHG whole table 2 3" xfId="756" xr:uid="{DCD5EB03-CD59-4E65-A8ED-95FE6C44C745}"/>
    <cellStyle name="Normal GHG whole table 2 3 2" xfId="1396" xr:uid="{6E51B9A6-8BA2-46C2-BE0B-359A1E12CB50}"/>
    <cellStyle name="Normal GHG whole table 2 3 3" xfId="1732" xr:uid="{89CCA0E7-D902-43A7-958E-9A5741EC7951}"/>
    <cellStyle name="Normal GHG whole table 2 3 4" xfId="2103" xr:uid="{B2C44E58-6F46-4342-BA83-336CD84B16D0}"/>
    <cellStyle name="Normal GHG whole table 3" xfId="315" xr:uid="{6075FDAF-3EF3-49CB-AFAE-63ED27F3B1DB}"/>
    <cellStyle name="Normal GHG whole table 3 2" xfId="652" xr:uid="{1C4EF716-DF28-42B3-ACD3-8FFE9411351B}"/>
    <cellStyle name="Normal GHG whole table 3 2 2" xfId="867" xr:uid="{0E52D87F-865D-4582-866B-EEC1A1779871}"/>
    <cellStyle name="Normal GHG whole table 3 2 2 2" xfId="1475" xr:uid="{47902800-C411-4F4A-942C-7B8CC63F6CD3}"/>
    <cellStyle name="Normal GHG whole table 3 2 2 3" xfId="1843" xr:uid="{3629A659-40AC-4BCC-A05B-BADF137C291B}"/>
    <cellStyle name="Normal GHG whole table 3 2 2 4" xfId="2214" xr:uid="{0FDFF220-B401-40FC-818A-0333A98ACF36}"/>
    <cellStyle name="Normal GHG whole table 3 2 3" xfId="1153" xr:uid="{C84E7AC5-0443-42A4-B370-F294E27BB83D}"/>
    <cellStyle name="Normal GHG whole table 3 2 4" xfId="1636" xr:uid="{8C887784-B5B0-4E9D-B82B-B2DCE98EB56C}"/>
    <cellStyle name="Normal GHG whole table 3 2 5" xfId="2008" xr:uid="{F7E4F1CC-483F-4745-9CA3-34FF4FE68D77}"/>
    <cellStyle name="Normal GHG whole table 3 3" xfId="573" xr:uid="{FF37E161-7CFE-461D-B479-ADD9C1CBB4E0}"/>
    <cellStyle name="Normal GHG whole table 3 3 2" xfId="788" xr:uid="{DB4D1EE2-1753-40CE-8825-A24FAD358BF2}"/>
    <cellStyle name="Normal GHG whole table 3 3 2 2" xfId="1176" xr:uid="{144A9577-CDDE-41C0-8710-FDA50EA497FB}"/>
    <cellStyle name="Normal GHG whole table 3 3 2 3" xfId="1764" xr:uid="{58720485-F4A7-4D29-BCB7-27FA786BD74C}"/>
    <cellStyle name="Normal GHG whole table 3 3 2 4" xfId="2135" xr:uid="{086C6096-3959-49E8-A83F-41781A81386F}"/>
    <cellStyle name="Normal GHG whole table 3 3 3" xfId="1237" xr:uid="{C7709D3C-5A43-439D-BF71-560145124CAF}"/>
    <cellStyle name="Normal GHG whole table 3 3 4" xfId="1557" xr:uid="{BA60A3E0-D69F-4CB9-8017-4D4CB477E23C}"/>
    <cellStyle name="Normal GHG whole table 3 3 5" xfId="1929" xr:uid="{CC4608EB-E9C1-470A-A781-54CE9A146F63}"/>
    <cellStyle name="Normal GHG whole table 3 4" xfId="660" xr:uid="{353B7F87-A5E3-47FE-B2E9-319BEA679B6F}"/>
    <cellStyle name="Normal GHG whole table 3 4 2" xfId="875" xr:uid="{D3089814-60FF-46F5-81D8-EAECD9A0BD33}"/>
    <cellStyle name="Normal GHG whole table 3 4 2 2" xfId="1453" xr:uid="{9CE2B9ED-DBCD-42D7-80BE-DD5BF335BA34}"/>
    <cellStyle name="Normal GHG whole table 3 4 2 3" xfId="1851" xr:uid="{8C79C56D-3117-4BD9-9D28-E6C5EF4E8905}"/>
    <cellStyle name="Normal GHG whole table 3 4 2 4" xfId="2222" xr:uid="{41A4EF3B-295A-4562-A9F1-008B5477DDFF}"/>
    <cellStyle name="Normal GHG whole table 3 4 3" xfId="1022" xr:uid="{05506E96-9B09-47DB-AD30-9A5D40AA1C2D}"/>
    <cellStyle name="Normal GHG whole table 3 4 4" xfId="1644" xr:uid="{BB8E0731-ECB0-432B-98E3-64C3E792C70C}"/>
    <cellStyle name="Normal GHG whole table 3 4 5" xfId="2016" xr:uid="{6DF94489-06B0-4041-8648-CDF22420584C}"/>
    <cellStyle name="Normal GHG whole table 3 5" xfId="32" xr:uid="{30E9D6A8-DBC2-4B6D-9800-981A585BA202}"/>
    <cellStyle name="Normal GHG whole table 3 6" xfId="1411" xr:uid="{13ADA655-1E91-47F7-9E07-D77B6CA84CFF}"/>
    <cellStyle name="Normal GHG whole table 3 7" xfId="1210" xr:uid="{0DCECFAE-413B-4DB6-B3F2-0781BD54163B}"/>
    <cellStyle name="Normal GHG whole table 4" xfId="102" xr:uid="{9A5B80B0-419B-4D16-9CDE-B31D6B8D42F6}"/>
    <cellStyle name="Normal GHG-Shade" xfId="33" xr:uid="{2822C1AB-3B56-437A-BE40-C1C84051197F}"/>
    <cellStyle name="Normal GHG-Shade 2" xfId="199" xr:uid="{D665D6DF-2BA4-471C-B41D-7AD4440935EA}"/>
    <cellStyle name="Normal GHG-Shade 2 2" xfId="200" xr:uid="{3CD4D400-EE06-4282-9DFC-4316FABBDCC8}"/>
    <cellStyle name="Normal GHG-Shade 2 3" xfId="201" xr:uid="{2FBFB31F-D66A-4D38-853B-E675F52A3967}"/>
    <cellStyle name="Normal GHG-Shade 2 4" xfId="231" xr:uid="{D632A16B-3748-413E-BDA8-ABC26BB1464D}"/>
    <cellStyle name="Normal GHG-Shade 2 5" xfId="396" xr:uid="{E26B3F12-F4CF-4EF1-AC7A-E3519F536FAF}"/>
    <cellStyle name="Normal GHG-Shade 3" xfId="202" xr:uid="{637FE66A-9DFE-4513-9DF4-F57357396C23}"/>
    <cellStyle name="Normal GHG-Shade 3 2" xfId="203" xr:uid="{A9F25D69-8644-46FF-991D-D682C4F2D6D6}"/>
    <cellStyle name="Normal GHG-Shade 4" xfId="204" xr:uid="{8FD23B9C-63B9-4A87-A96B-7D647DA552EF}"/>
    <cellStyle name="Normal GHG-Shade 4 2" xfId="467" xr:uid="{C8FC5587-083B-4975-A123-9169155F68BF}"/>
    <cellStyle name="Normál_Munka1" xfId="48" xr:uid="{89585B3C-E17E-4871-8A1A-8DC2E426BD1E}"/>
    <cellStyle name="Note 2" xfId="205" xr:uid="{BF118E57-1531-498F-9CE0-7A774B7D2911}"/>
    <cellStyle name="Note 2 2" xfId="595" xr:uid="{D51EDCBA-4E4C-402A-B296-EC5287E5ED57}"/>
    <cellStyle name="Note 2 2 2" xfId="810" xr:uid="{D6F72126-7D1A-4457-8C72-B8E81C6BEB75}"/>
    <cellStyle name="Note 2 2 2 2" xfId="1259" xr:uid="{F38321BC-1B3A-47CC-BB9A-128B315189DA}"/>
    <cellStyle name="Note 2 2 2 3" xfId="1786" xr:uid="{0345A304-9E90-4000-9C4E-B10480C94517}"/>
    <cellStyle name="Note 2 2 2 4" xfId="2157" xr:uid="{7988119E-10D1-4A32-9B46-CEB5C51F66FB}"/>
    <cellStyle name="Note 2 2 3" xfId="1161" xr:uid="{C4544B25-A1F5-43EF-82E4-BE8E51EF6C68}"/>
    <cellStyle name="Note 2 2 4" xfId="1579" xr:uid="{557E8A70-E252-4123-9BC0-0EF73F24926B}"/>
    <cellStyle name="Note 2 2 5" xfId="1951" xr:uid="{D3712715-FB1C-43CB-874C-420439E9060B}"/>
    <cellStyle name="Note 2 3" xfId="659" xr:uid="{94BD2266-8E84-474F-B36F-AB6193F6DB12}"/>
    <cellStyle name="Note 2 3 2" xfId="874" xr:uid="{4BC37D0B-0212-42B5-93A7-37BE76AE11E1}"/>
    <cellStyle name="Note 2 3 2 2" xfId="1340" xr:uid="{FEE66399-2866-4992-9E96-27ABD93F0675}"/>
    <cellStyle name="Note 2 3 2 3" xfId="1850" xr:uid="{7362BF4B-C402-4DA5-85DD-745070C316AC}"/>
    <cellStyle name="Note 2 3 2 4" xfId="2221" xr:uid="{45BD531D-B5D6-49F2-B985-576AC5EC02D7}"/>
    <cellStyle name="Note 2 3 3" xfId="1404" xr:uid="{9BCD905C-08FA-485B-9D28-6ED9A2DA9BA9}"/>
    <cellStyle name="Note 2 3 4" xfId="1643" xr:uid="{53D3CDA1-F510-4CA2-A123-53951F524897}"/>
    <cellStyle name="Note 2 3 5" xfId="2015" xr:uid="{0AC00AAB-A9C0-43D2-8FB9-E9C13FCDE996}"/>
    <cellStyle name="Note 2 4" xfId="554" xr:uid="{38FCF738-DE28-4EFA-9EDC-45229FDCDF60}"/>
    <cellStyle name="Note 2 4 2" xfId="769" xr:uid="{66396F40-87DB-430F-8EDA-D3354FC5AD62}"/>
    <cellStyle name="Note 2 4 2 2" xfId="1002" xr:uid="{0DEE8BBF-5E85-4CB3-A537-95419F83A589}"/>
    <cellStyle name="Note 2 4 2 3" xfId="1745" xr:uid="{5CEB7965-8C48-4B22-BB29-2FD772954937}"/>
    <cellStyle name="Note 2 4 2 4" xfId="2116" xr:uid="{C4D2445B-62F6-4195-B958-5D8CC7080D05}"/>
    <cellStyle name="Note 2 4 3" xfId="1132" xr:uid="{A3153833-367E-450D-BA20-4542C4B79E12}"/>
    <cellStyle name="Note 2 4 4" xfId="1538" xr:uid="{721DFDA9-84B2-48E6-9B48-6E42FB10BF58}"/>
    <cellStyle name="Note 2 4 5" xfId="1910" xr:uid="{70A7BDA8-B733-4B09-9BE6-BA50D2A56B2E}"/>
    <cellStyle name="Note 2 5" xfId="718" xr:uid="{45F59481-3EA6-40FF-B025-BC0D77492CC5}"/>
    <cellStyle name="Note 2 5 2" xfId="926" xr:uid="{873EC906-685D-4486-9DAE-4AD96E146F6C}"/>
    <cellStyle name="Note 2 5 3" xfId="1701" xr:uid="{971EB257-A1DE-4360-8B44-2ADBC5123A75}"/>
    <cellStyle name="Note 2 5 4" xfId="2073" xr:uid="{FA9105B8-CBD9-4027-AE86-BE98C2DD674F}"/>
    <cellStyle name="Note 2 6" xfId="1467" xr:uid="{E77BA4EA-2167-4D52-BF0C-06B919524ACB}"/>
    <cellStyle name="Note 2 7" xfId="1292" xr:uid="{8589D293-184D-4250-B092-17773998F097}"/>
    <cellStyle name="Note 2 8" xfId="990" xr:uid="{26FEE8A8-94BB-487F-AC44-D6D8D4C97485}"/>
    <cellStyle name="Note 3" xfId="270" xr:uid="{AF347AB2-FC55-4FAF-ABDA-3D39CC1E6253}"/>
    <cellStyle name="Note 3 2" xfId="623" xr:uid="{666326B2-6DA1-4158-A775-ACCDE92565A7}"/>
    <cellStyle name="Note 3 2 2" xfId="838" xr:uid="{EFF7BFEF-2D22-44CA-B367-3BDC96BD6DE8}"/>
    <cellStyle name="Note 3 2 2 2" xfId="1170" xr:uid="{4CEDDC5F-EDDC-4F12-894E-585387281145}"/>
    <cellStyle name="Note 3 2 2 3" xfId="1814" xr:uid="{90B741FA-8672-49B4-A0A1-074CE31F7A70}"/>
    <cellStyle name="Note 3 2 2 4" xfId="2185" xr:uid="{CDEB4117-AE60-419B-A539-F0BAAFDEAB86}"/>
    <cellStyle name="Note 3 2 3" xfId="1205" xr:uid="{BB7EB0DE-04AE-4D64-856E-EDF1C55CC509}"/>
    <cellStyle name="Note 3 2 4" xfId="1607" xr:uid="{2E90F909-08EF-4A14-9F70-3D4424530A72}"/>
    <cellStyle name="Note 3 2 5" xfId="1979" xr:uid="{284EA8EB-A36C-4597-843B-7178D6E1F833}"/>
    <cellStyle name="Note 3 3" xfId="589" xr:uid="{A8F283F2-94F5-4B29-B039-0175C499DE70}"/>
    <cellStyle name="Note 3 3 2" xfId="804" xr:uid="{DE220436-4991-4E5C-AA58-7A0496F8C6B5}"/>
    <cellStyle name="Note 3 3 2 2" xfId="1158" xr:uid="{5E5959F9-B4A9-4F51-96B3-162FBF99B245}"/>
    <cellStyle name="Note 3 3 2 3" xfId="1780" xr:uid="{CA47EFA2-F258-41B4-B5EE-957CB799B1B1}"/>
    <cellStyle name="Note 3 3 2 4" xfId="2151" xr:uid="{858F1B60-E1AF-480E-83A0-96F5A33518A4}"/>
    <cellStyle name="Note 3 3 3" xfId="1398" xr:uid="{376916D2-38DD-41E7-B8B2-E89D1E664330}"/>
    <cellStyle name="Note 3 3 4" xfId="1573" xr:uid="{97F99642-1A4C-41F1-AD01-28FE396EFDDC}"/>
    <cellStyle name="Note 3 3 5" xfId="1945" xr:uid="{0BD81B36-FD76-47AE-9F29-063E14A81436}"/>
    <cellStyle name="Note 3 4" xfId="607" xr:uid="{52974414-3D1C-47CD-AFDD-4C59CC7B3A27}"/>
    <cellStyle name="Note 3 4 2" xfId="822" xr:uid="{B179DA2F-200B-4D73-B0A7-BCC5889F2152}"/>
    <cellStyle name="Note 3 4 2 2" xfId="1139" xr:uid="{39E6CA97-0664-4EB9-B810-F080D3953179}"/>
    <cellStyle name="Note 3 4 2 3" xfId="1798" xr:uid="{6EB1E783-F587-49FB-85E6-669678727307}"/>
    <cellStyle name="Note 3 4 2 4" xfId="2169" xr:uid="{A8093A15-BCAE-4635-97EA-89B2B4B98BC3}"/>
    <cellStyle name="Note 3 4 3" xfId="1140" xr:uid="{A4EE7138-1A58-42F7-B1EC-12CD1A5C2211}"/>
    <cellStyle name="Note 3 4 4" xfId="1591" xr:uid="{1E89BD12-776B-4EE7-8140-B18FC6BCFD71}"/>
    <cellStyle name="Note 3 4 5" xfId="1963" xr:uid="{0025E9E4-A98D-461D-9BD6-D2EC832DF6E0}"/>
    <cellStyle name="Note 3 5" xfId="724" xr:uid="{F7AE4601-035E-489E-A3E3-C2378F03B4CC}"/>
    <cellStyle name="Note 3 5 2" xfId="1471" xr:uid="{1B7589BE-2675-4556-9D7C-951EC374D487}"/>
    <cellStyle name="Note 3 5 3" xfId="1707" xr:uid="{A2C90643-FDB4-484A-9EDD-98C3A021BF31}"/>
    <cellStyle name="Note 3 5 4" xfId="2079" xr:uid="{586030D3-AA5F-4242-BA7A-75B6A4C62DB3}"/>
    <cellStyle name="Note 3 6" xfId="950" xr:uid="{12133650-580E-4297-8266-55BF2DD47952}"/>
    <cellStyle name="Note 3 7" xfId="979" xr:uid="{D9F66E17-115F-4D7B-B5C8-3CC8560502D6}"/>
    <cellStyle name="Note 3 8" xfId="1020" xr:uid="{4D55E89D-AAB8-47D5-A496-7865CB51D860}"/>
    <cellStyle name="Notiz" xfId="206" xr:uid="{7B591948-3960-4129-84EF-F103AFBF06FC}"/>
    <cellStyle name="Notiz 2" xfId="596" xr:uid="{9250CC57-2F1B-4AF9-AF66-DC87962DD243}"/>
    <cellStyle name="Notiz 2 2" xfId="811" xr:uid="{728E0571-760A-4593-9BF0-F4754704D0B7}"/>
    <cellStyle name="Notiz 2 2 2" xfId="959" xr:uid="{151F4164-F0F2-4E40-9D91-0E5EC18E9F43}"/>
    <cellStyle name="Notiz 2 2 3" xfId="1787" xr:uid="{D8730B6D-A210-41CB-9B1E-327246333DF8}"/>
    <cellStyle name="Notiz 2 2 4" xfId="2158" xr:uid="{7F0306EE-30B2-44C2-B1F5-C5E064256095}"/>
    <cellStyle name="Notiz 2 3" xfId="932" xr:uid="{EBF89BA3-10D8-4CE7-976C-FED80D0F22EA}"/>
    <cellStyle name="Notiz 2 4" xfId="1580" xr:uid="{B99E4551-BAED-47C1-B84D-A048E3792F93}"/>
    <cellStyle name="Notiz 2 5" xfId="1952" xr:uid="{9F672E58-0A0A-4DB8-895D-04C677B4AE21}"/>
    <cellStyle name="Notiz 3" xfId="658" xr:uid="{E06938DF-DE4A-4148-8D06-28A28726303C}"/>
    <cellStyle name="Notiz 3 2" xfId="873" xr:uid="{0418F5E9-1952-4CD0-80B8-CA5E81A1EB38}"/>
    <cellStyle name="Notiz 3 2 2" xfId="1420" xr:uid="{31D4C4D0-44D6-4052-85D5-29AB0225FCE1}"/>
    <cellStyle name="Notiz 3 2 3" xfId="1849" xr:uid="{30BA3E36-2F25-4357-9561-9817DBACF283}"/>
    <cellStyle name="Notiz 3 2 4" xfId="2220" xr:uid="{71253EBB-F132-4B7B-8E87-9233FEDD3B14}"/>
    <cellStyle name="Notiz 3 3" xfId="1013" xr:uid="{A2B69736-0E5B-46B2-8ABD-874AAE56F07F}"/>
    <cellStyle name="Notiz 3 4" xfId="1642" xr:uid="{FB91B2AA-9D14-4DCC-B5BC-2FAE088C08A6}"/>
    <cellStyle name="Notiz 3 5" xfId="2014" xr:uid="{EA05ADE2-6AC2-4F49-B050-13797614C4C6}"/>
    <cellStyle name="Notiz 4" xfId="627" xr:uid="{D91291C5-9CAB-428F-9B66-043DC8114011}"/>
    <cellStyle name="Notiz 4 2" xfId="842" xr:uid="{FE93E21D-00E0-4F6E-8534-00AD5AA9C42D}"/>
    <cellStyle name="Notiz 4 2 2" xfId="1258" xr:uid="{1F009A06-41EA-4A77-B86F-9902556DA5A0}"/>
    <cellStyle name="Notiz 4 2 3" xfId="1818" xr:uid="{B580A2CC-BB49-4D50-821F-260626F3E221}"/>
    <cellStyle name="Notiz 4 2 4" xfId="2189" xr:uid="{24D21837-067D-4B75-AEFB-2C16A3A2C712}"/>
    <cellStyle name="Notiz 4 3" xfId="1199" xr:uid="{1F96AC6C-CF80-427E-A3C0-CB38BCF11FED}"/>
    <cellStyle name="Notiz 4 4" xfId="1611" xr:uid="{20DEEC16-6082-4E73-8E22-ECE95ACDF895}"/>
    <cellStyle name="Notiz 4 5" xfId="1983" xr:uid="{841D2654-6E7E-4F0A-91AF-E3051A6BC192}"/>
    <cellStyle name="Notiz 5" xfId="719" xr:uid="{A97B79AC-B057-43D9-A109-10C868628C5E}"/>
    <cellStyle name="Notiz 5 2" xfId="1125" xr:uid="{54F09A54-9660-4AA9-B24F-AE4B1FB9C3BA}"/>
    <cellStyle name="Notiz 5 3" xfId="1702" xr:uid="{4F65BD93-28B5-4A24-8D86-9D2B8862D1B5}"/>
    <cellStyle name="Notiz 5 4" xfId="2074" xr:uid="{0D70C754-CE29-4ADB-955E-9E8DE798D9BD}"/>
    <cellStyle name="Notiz 6" xfId="1114" xr:uid="{CF7E88BA-87D9-4472-ACA5-5FF577F62277}"/>
    <cellStyle name="Notiz 7" xfId="994" xr:uid="{CA8B4928-1592-4CF0-B6F8-997B7F4FD792}"/>
    <cellStyle name="Notiz 8" xfId="1052" xr:uid="{22809EA7-0F20-42F2-AB71-6C1BB42B3495}"/>
    <cellStyle name="Output 2" xfId="207" xr:uid="{8AB1133D-B245-43F5-B679-EB105679328C}"/>
    <cellStyle name="Output 2 2" xfId="597" xr:uid="{2A7EBD76-3848-40C8-95E7-A5D512BC3384}"/>
    <cellStyle name="Output 2 2 2" xfId="812" xr:uid="{85A691C0-FD50-49D2-A0CA-F4C5F994EF1A}"/>
    <cellStyle name="Output 2 2 2 2" xfId="1242" xr:uid="{96CAD796-D6CC-4A30-BD40-1AD0954F862B}"/>
    <cellStyle name="Output 2 2 2 3" xfId="1788" xr:uid="{D30EE955-AD19-4849-8D90-C0B6603E5012}"/>
    <cellStyle name="Output 2 2 2 4" xfId="2159" xr:uid="{85971101-1F54-45BF-860C-9E9D4FF6DB39}"/>
    <cellStyle name="Output 2 2 3" xfId="1027" xr:uid="{9A11CBB1-D214-44AA-B02A-D04F7D57E05B}"/>
    <cellStyle name="Output 2 2 4" xfId="1581" xr:uid="{5A67EB35-9159-42F7-87A5-BB6A33174234}"/>
    <cellStyle name="Output 2 2 5" xfId="1953" xr:uid="{8975DD8B-786E-4916-BF49-F7EE9ABAD1BF}"/>
    <cellStyle name="Output 2 3" xfId="693" xr:uid="{CA49E31A-9102-4C5D-AFDE-8484F176CF60}"/>
    <cellStyle name="Output 2 3 2" xfId="908" xr:uid="{D9FAE0C2-3C22-4BBC-8C94-8B6F72EF1F1B}"/>
    <cellStyle name="Output 2 3 2 2" xfId="1500" xr:uid="{C9FB69E6-90B3-4327-B55E-E394A0919D63}"/>
    <cellStyle name="Output 2 3 2 3" xfId="1884" xr:uid="{960BB351-2D5E-444F-B58B-B1F883A613D6}"/>
    <cellStyle name="Output 2 3 2 4" xfId="2255" xr:uid="{DD557597-BF5D-4DE6-ADB3-67B1E42465EF}"/>
    <cellStyle name="Output 2 3 3" xfId="1313" xr:uid="{36B6A7D0-8740-4A95-85DB-E3F077211274}"/>
    <cellStyle name="Output 2 3 4" xfId="1677" xr:uid="{6492227C-CB7A-4D0B-9250-ED84C1DA394C}"/>
    <cellStyle name="Output 2 3 5" xfId="2049" xr:uid="{0C3CF9E1-31FE-4AAD-BC6D-6A3D5494AF64}"/>
    <cellStyle name="Output 2 4" xfId="720" xr:uid="{C308B653-512E-42D6-9CC8-7DD3683CF22C}"/>
    <cellStyle name="Output 2 4 2" xfId="1006" xr:uid="{0F4327E3-3483-44D8-B187-900A6BD7B17D}"/>
    <cellStyle name="Output 2 4 3" xfId="1703" xr:uid="{8C782350-385B-4720-B6B0-70CB8294023F}"/>
    <cellStyle name="Output 2 4 4" xfId="2075" xr:uid="{7D6CD64C-4469-495B-827B-5E6C6A31E1D0}"/>
    <cellStyle name="Output 2 5" xfId="87" xr:uid="{9D4C49D8-F597-4296-B7DE-8A4A3F43312A}"/>
    <cellStyle name="Output 2 6" xfId="1391" xr:uid="{70B35171-F9BC-4CD2-89B6-EEF074A0BA30}"/>
    <cellStyle name="Output 3" xfId="271" xr:uid="{0EC30E23-59F2-40FB-B3E4-DAB697CF6289}"/>
    <cellStyle name="Output 3 2" xfId="624" xr:uid="{D4F024F1-2E1C-4A37-A9ED-146DAE375CFF}"/>
    <cellStyle name="Output 3 2 2" xfId="839" xr:uid="{D258A8DB-163C-4EE8-95A5-10DF84770D00}"/>
    <cellStyle name="Output 3 2 2 2" xfId="962" xr:uid="{E078F791-9B96-4B01-A0B8-3E4140661B17}"/>
    <cellStyle name="Output 3 2 2 3" xfId="1815" xr:uid="{078BCC93-42F7-4217-A265-E3C4627A76F7}"/>
    <cellStyle name="Output 3 2 2 4" xfId="2186" xr:uid="{C5BD2B89-6BC7-4A67-BA58-C75D7C4BA65A}"/>
    <cellStyle name="Output 3 2 3" xfId="1037" xr:uid="{EC2B3B1E-4F49-4513-B4E9-E9EEADE546C9}"/>
    <cellStyle name="Output 3 2 4" xfId="1608" xr:uid="{C4A5C8A2-090F-47E8-8E51-46DB4104FF3D}"/>
    <cellStyle name="Output 3 2 5" xfId="1980" xr:uid="{8A83AAD3-5E7F-4AFF-BAEA-801E4C1FC675}"/>
    <cellStyle name="Output 3 3" xfId="675" xr:uid="{0E7B6ADD-01A8-42CF-9159-85D72562E347}"/>
    <cellStyle name="Output 3 3 2" xfId="890" xr:uid="{D2AF7745-4130-47AC-9B26-C1D6FB99BEEB}"/>
    <cellStyle name="Output 3 3 2 2" xfId="1047" xr:uid="{C1818E14-BFE0-42B3-ABF2-7A2041F4CE3C}"/>
    <cellStyle name="Output 3 3 2 3" xfId="1866" xr:uid="{EEFB55FC-1B36-49B7-AD3E-DFA92BB0A98F}"/>
    <cellStyle name="Output 3 3 2 4" xfId="2237" xr:uid="{AAB30F0D-E9D2-496A-85A7-091879C4C964}"/>
    <cellStyle name="Output 3 3 3" xfId="1240" xr:uid="{DC7F4D82-09B6-401E-AEE3-6B7D3134FFDD}"/>
    <cellStyle name="Output 3 3 4" xfId="1659" xr:uid="{41C5FA9C-4E25-40A9-9E29-5181FAB8A4BD}"/>
    <cellStyle name="Output 3 3 5" xfId="2031" xr:uid="{D6FA5E7B-BFB9-4163-A102-6DCE2A118BCA}"/>
    <cellStyle name="Output 3 4" xfId="725" xr:uid="{D13EF06C-4A9C-46B0-91CF-E7E16F15B496}"/>
    <cellStyle name="Output 3 4 2" xfId="1422" xr:uid="{3B7A626F-AC41-4E9C-9FDA-1DFCDF3FEA38}"/>
    <cellStyle name="Output 3 4 3" xfId="1708" xr:uid="{3DEA6FE4-FD71-4DA7-A1C9-1B9B74B2E91E}"/>
    <cellStyle name="Output 3 4 4" xfId="2080" xr:uid="{D72C3043-D569-45AE-8544-776968CA86A3}"/>
    <cellStyle name="Output 3 5" xfId="1135" xr:uid="{1F0A792B-C4AE-4AF6-A24C-2AC04F187CE8}"/>
    <cellStyle name="Output 3 6" xfId="1379" xr:uid="{031EFE98-3FE2-473F-96BD-67CC9F518761}"/>
    <cellStyle name="Pattern" xfId="208" xr:uid="{136ED33B-3EEB-4681-8031-4B01A58E4322}"/>
    <cellStyle name="Pattern 2" xfId="468" xr:uid="{EE350883-D5F5-44B8-89F8-0D8C98489039}"/>
    <cellStyle name="Pattern 2 2" xfId="611" xr:uid="{17E15985-79BC-4F93-8417-87B8581B7C5C}"/>
    <cellStyle name="Pattern 2 2 2" xfId="826" xr:uid="{75B03568-AE15-4630-9BAD-06D79E8AACF6}"/>
    <cellStyle name="Pattern 2 2 2 2" xfId="1490" xr:uid="{1AA162C1-D401-4D58-A37B-D40C5E5FA9FB}"/>
    <cellStyle name="Pattern 2 2 2 3" xfId="1802" xr:uid="{BA9C961D-B1DE-4235-8C2B-A21A43428E37}"/>
    <cellStyle name="Pattern 2 2 2 4" xfId="2173" xr:uid="{268AC5EA-1114-466A-A89E-C772EDF0BEB5}"/>
    <cellStyle name="Pattern 2 2 3" xfId="1486" xr:uid="{107E9CD1-62F4-43F9-82BA-FF4D49F20986}"/>
    <cellStyle name="Pattern 2 2 4" xfId="1595" xr:uid="{E08FB928-FDC6-4F95-B644-242226CB079D}"/>
    <cellStyle name="Pattern 2 2 5" xfId="1967" xr:uid="{B99A0F4C-5C5D-4689-936D-767E8E70583F}"/>
    <cellStyle name="Pattern 2 3" xfId="757" xr:uid="{4EF9ED1D-EFB7-45FE-BC6F-3C58D38C6B1F}"/>
    <cellStyle name="Pattern 2 3 2" xfId="1012" xr:uid="{A638A903-3F9F-49F7-A080-79FB14DA3D52}"/>
    <cellStyle name="Pattern 2 3 3" xfId="1733" xr:uid="{4A31E180-D460-445E-B143-42342BF16666}"/>
    <cellStyle name="Pattern 2 3 4" xfId="2104" xr:uid="{B28DB03F-A24D-450D-9FAC-E38B50397356}"/>
    <cellStyle name="Pattern 3" xfId="317" xr:uid="{BCF37D9D-8E9A-467C-B3AC-749B72D8CF21}"/>
    <cellStyle name="Pattern 3 2" xfId="654" xr:uid="{C9470365-C00B-4573-83D0-02048935C5C5}"/>
    <cellStyle name="Pattern 3 2 2" xfId="869" xr:uid="{B45891CB-B0E4-401F-A3ED-D686D871A47E}"/>
    <cellStyle name="Pattern 3 2 2 2" xfId="1456" xr:uid="{6362F28F-77EF-4C8D-8919-22F491A7A632}"/>
    <cellStyle name="Pattern 3 2 2 3" xfId="1845" xr:uid="{43825284-B39B-4003-B38E-642443A7EAB3}"/>
    <cellStyle name="Pattern 3 2 2 4" xfId="2216" xr:uid="{B10F69BF-61EA-4A47-92A2-686AA8762436}"/>
    <cellStyle name="Pattern 3 2 3" xfId="1448" xr:uid="{F7AC9E71-422D-4127-ABB8-5A45C2CDAD1C}"/>
    <cellStyle name="Pattern 3 2 4" xfId="1638" xr:uid="{E04139EC-DE39-4D87-AE8D-30A50E5065EF}"/>
    <cellStyle name="Pattern 3 2 5" xfId="2010" xr:uid="{73A5B151-5955-445A-82CE-1C84DDEFF0E5}"/>
    <cellStyle name="Pattern 3 3" xfId="553" xr:uid="{B787B221-1600-4D42-A6AF-F047590AAA62}"/>
    <cellStyle name="Pattern 3 3 2" xfId="768" xr:uid="{0E993DAE-78B3-44B0-A4DC-0B3E34FE79BC}"/>
    <cellStyle name="Pattern 3 3 2 2" xfId="1150" xr:uid="{72D211BF-16A2-4193-9657-52EE9FDDB82F}"/>
    <cellStyle name="Pattern 3 3 2 3" xfId="1744" xr:uid="{2BCB60D0-FF05-49B8-AE5E-348E5EBCBBDC}"/>
    <cellStyle name="Pattern 3 3 2 4" xfId="2115" xr:uid="{1E13D505-4BB1-43B0-A3B9-2F26D3690EEC}"/>
    <cellStyle name="Pattern 3 3 3" xfId="1086" xr:uid="{62C59F58-A036-4E66-BCF8-1BAC17137C2F}"/>
    <cellStyle name="Pattern 3 3 4" xfId="1537" xr:uid="{672E3245-CF56-4D08-A328-CA6622C76C70}"/>
    <cellStyle name="Pattern 3 3 5" xfId="1909" xr:uid="{48C5001E-DD46-463E-8164-9ED261AEB894}"/>
    <cellStyle name="Pattern 3 4" xfId="667" xr:uid="{6CCB5444-5E8A-4498-BA87-58C9CD349335}"/>
    <cellStyle name="Pattern 3 4 2" xfId="882" xr:uid="{561442E4-E938-4D1E-A811-A83F6D161FE5}"/>
    <cellStyle name="Pattern 3 4 2 2" xfId="1373" xr:uid="{2B78BF58-BCEB-4FF6-80DD-DC0B559B5DFE}"/>
    <cellStyle name="Pattern 3 4 2 3" xfId="1858" xr:uid="{A91A3EF3-19DE-44A3-9FA1-DF450A9EF120}"/>
    <cellStyle name="Pattern 3 4 2 4" xfId="2229" xr:uid="{C77DC747-FCE8-45DB-AC84-08B7F2BAB1F3}"/>
    <cellStyle name="Pattern 3 4 3" xfId="1280" xr:uid="{1CA7922C-BD0A-4A61-A39E-011654C0B5A3}"/>
    <cellStyle name="Pattern 3 4 4" xfId="1651" xr:uid="{BC7AD41E-6D4B-48E0-9765-031DC7DFB495}"/>
    <cellStyle name="Pattern 3 4 5" xfId="2023" xr:uid="{DBE1590D-33BE-4E60-97E9-99A576252147}"/>
    <cellStyle name="Pattern 3 5" xfId="1194" xr:uid="{A146E511-519A-4982-8F64-1F2A42EA944B}"/>
    <cellStyle name="Pattern 3 6" xfId="1365" xr:uid="{C44DF6BC-504D-493F-9D04-9E85ABA6FD2B}"/>
    <cellStyle name="Pattern 3 7" xfId="1326" xr:uid="{1A8380B2-9E18-4946-8281-930E51BDB9B1}"/>
    <cellStyle name="Percent" xfId="2" builtinId="5"/>
    <cellStyle name="Percent 2" xfId="4" xr:uid="{00000000-0005-0000-0000-000033000000}"/>
    <cellStyle name="Percent 2 2" xfId="469" xr:uid="{B7731F24-3841-4E9B-A80D-5768233860CE}"/>
    <cellStyle name="Percent 2 3" xfId="209" xr:uid="{D0EC9562-87BC-41BC-A622-F0DB2864B260}"/>
    <cellStyle name="Percent 3" xfId="18" xr:uid="{00000000-0005-0000-0000-000040000000}"/>
    <cellStyle name="Percent 4" xfId="2273" xr:uid="{5DF98D7E-FD6E-46BD-813B-01723CC8CA1F}"/>
    <cellStyle name="RowLevel_1 2" xfId="112" xr:uid="{F9728D53-E7C9-433C-B245-99978082DAB2}"/>
    <cellStyle name="Schlecht" xfId="210" xr:uid="{E2610A2B-6E68-435B-B070-B3569F6913EA}"/>
    <cellStyle name="Shade" xfId="44" xr:uid="{F630A14B-1494-4641-8ECA-03494F85A4FC}"/>
    <cellStyle name="Shade 2" xfId="211" xr:uid="{4EE3E57B-49B9-4A90-B9CD-4CAEAE2E0F0C}"/>
    <cellStyle name="Shade 2 2" xfId="471" xr:uid="{8A42CCC8-9F89-4010-A5AA-E410B8E280F5}"/>
    <cellStyle name="Shade 2 2 2" xfId="556" xr:uid="{4841DE88-3729-47C1-9148-E9A9B5825B88}"/>
    <cellStyle name="Shade 2 2 2 2" xfId="771" xr:uid="{E8BCF62F-B8D2-4928-99D4-7C426C346C4A}"/>
    <cellStyle name="Shade 2 2 2 2 2" xfId="1334" xr:uid="{8A5B4C35-7FD7-46F0-9B48-E96A52427720}"/>
    <cellStyle name="Shade 2 2 2 2 3" xfId="1747" xr:uid="{6DAF0EB9-72A9-4460-9220-185CCF995A5B}"/>
    <cellStyle name="Shade 2 2 2 2 4" xfId="2118" xr:uid="{19F3AB12-4304-4C4F-AD06-DD4306FF8724}"/>
    <cellStyle name="Shade 2 2 2 3" xfId="1357" xr:uid="{31FCB69A-9583-40A2-819A-F1696FA75D32}"/>
    <cellStyle name="Shade 2 2 2 4" xfId="1540" xr:uid="{A4CD1B5D-E7EC-4CB6-9580-21D6479AFB8A}"/>
    <cellStyle name="Shade 2 2 2 5" xfId="1912" xr:uid="{28DF5EE8-DB25-47C7-B117-FC8B8BEDCCF6}"/>
    <cellStyle name="Shade 2 2 3" xfId="759" xr:uid="{2B131FBE-3526-4608-A1D4-E623E45193DE}"/>
    <cellStyle name="Shade 2 2 3 2" xfId="1164" xr:uid="{F49DBAC4-0E14-41D5-9315-C86089F1EE37}"/>
    <cellStyle name="Shade 2 2 3 3" xfId="1735" xr:uid="{619F63CA-DF4B-4348-BAB5-046317A95C36}"/>
    <cellStyle name="Shade 2 2 3 4" xfId="2106" xr:uid="{64E97FA5-41F3-4195-8DAC-EDD0BB215FAE}"/>
    <cellStyle name="Shade 2 3" xfId="319" xr:uid="{E149D91A-43FA-441C-88B4-7BB71193A5E2}"/>
    <cellStyle name="Shade 2 3 2" xfId="656" xr:uid="{58326BD6-5F24-479C-B363-97105AA4447E}"/>
    <cellStyle name="Shade 2 3 2 2" xfId="871" xr:uid="{02406FD1-FEB9-4D28-8CC8-04C4CE39CC46}"/>
    <cellStyle name="Shade 2 3 2 2 2" xfId="1412" xr:uid="{F7D70E4C-4279-4926-886A-9F33B3CF4210}"/>
    <cellStyle name="Shade 2 3 2 2 3" xfId="1847" xr:uid="{964F938C-3255-45F3-9232-5603A91C8C4C}"/>
    <cellStyle name="Shade 2 3 2 2 4" xfId="2218" xr:uid="{F458A3EE-90C7-42F8-B0E2-49B53FE5419C}"/>
    <cellStyle name="Shade 2 3 2 3" xfId="1319" xr:uid="{3C18FE7D-8E65-4D12-9DAB-952DA4F43F8C}"/>
    <cellStyle name="Shade 2 3 2 4" xfId="1640" xr:uid="{A2ACD4B1-F3E7-408A-B89E-452371257C08}"/>
    <cellStyle name="Shade 2 3 2 5" xfId="2012" xr:uid="{6D0F5351-A701-46A1-A26A-48FF96D227A0}"/>
    <cellStyle name="Shade 2 3 3" xfId="685" xr:uid="{FBC50A77-549F-4F2F-9AC1-3AB58F5F0589}"/>
    <cellStyle name="Shade 2 3 3 2" xfId="900" xr:uid="{48CF8617-73E9-481C-A831-648571B5A93E}"/>
    <cellStyle name="Shade 2 3 3 2 2" xfId="1048" xr:uid="{34FC2936-BAF6-4AB1-ADF3-DB1499F30004}"/>
    <cellStyle name="Shade 2 3 3 2 3" xfId="1876" xr:uid="{92C36639-92A7-47BB-BF11-2A57C1B6EE7F}"/>
    <cellStyle name="Shade 2 3 3 2 4" xfId="2247" xr:uid="{0C6C847A-C239-4144-A344-CDD17DAB9ADF}"/>
    <cellStyle name="Shade 2 3 3 3" xfId="1209" xr:uid="{F110FEC8-CA79-45DD-AAB3-C413770B8FC2}"/>
    <cellStyle name="Shade 2 3 3 4" xfId="1669" xr:uid="{62C83B20-973C-4AE6-8078-B8D1285BE248}"/>
    <cellStyle name="Shade 2 3 3 5" xfId="2041" xr:uid="{4BC3D7C1-C2DF-42B6-903D-995BBDDB308B}"/>
    <cellStyle name="Shade 2 3 4" xfId="599" xr:uid="{E96965F2-D479-4C95-A26A-9B8D8DA2B212}"/>
    <cellStyle name="Shade 2 3 4 2" xfId="814" xr:uid="{440E4484-1156-4C16-9163-DE8A4B184E01}"/>
    <cellStyle name="Shade 2 3 4 2 2" xfId="1160" xr:uid="{2D895A38-7390-4D61-AAB3-3CD5E638EA68}"/>
    <cellStyle name="Shade 2 3 4 2 3" xfId="1790" xr:uid="{C31C8760-F604-4DFA-961B-E17A47FBA8DA}"/>
    <cellStyle name="Shade 2 3 4 2 4" xfId="2161" xr:uid="{90F08D53-F750-485E-8189-A6D715A36754}"/>
    <cellStyle name="Shade 2 3 4 3" xfId="1196" xr:uid="{1D104EEC-B6C4-4F82-AFE5-D50550AC2DB9}"/>
    <cellStyle name="Shade 2 3 4 4" xfId="1583" xr:uid="{A5C0814A-A57E-44D7-8806-CCF1BF7D139D}"/>
    <cellStyle name="Shade 2 3 4 5" xfId="1955" xr:uid="{419EA06C-B184-488B-A88D-5D66F7E578EB}"/>
    <cellStyle name="Shade 2 3 5" xfId="1054" xr:uid="{F9DFE55D-CD63-4980-AD6B-B92E38FF674D}"/>
    <cellStyle name="Shade 2 3 6" xfId="1235" xr:uid="{194D5AF8-46E2-4F59-A715-D97710383E6C}"/>
    <cellStyle name="Shade 2 3 7" xfId="1336" xr:uid="{B7A37E7D-5D92-4CF5-BDCD-1BC20E77D307}"/>
    <cellStyle name="Shade 3" xfId="470" xr:uid="{1CAD7BE9-BDDF-4F40-A159-C11BE15DF81E}"/>
    <cellStyle name="Shade 3 2" xfId="610" xr:uid="{D688AC2A-8E71-485B-B233-9A0D7448BA3B}"/>
    <cellStyle name="Shade 3 2 2" xfId="825" xr:uid="{28BF26B2-27F7-40A6-8282-E6B021856D09}"/>
    <cellStyle name="Shade 3 2 2 2" xfId="928" xr:uid="{7B547943-F4CC-461B-85F7-2159DD5CAAE0}"/>
    <cellStyle name="Shade 3 2 2 3" xfId="1801" xr:uid="{F54AB3D8-ED5F-4DC3-B411-DDF4F1EA7D0F}"/>
    <cellStyle name="Shade 3 2 2 4" xfId="2172" xr:uid="{007B50FB-2DE7-4206-9F55-0A4D9CDBB204}"/>
    <cellStyle name="Shade 3 2 3" xfId="1289" xr:uid="{3BC25239-D5A5-4288-86E1-D10C3CB74D4B}"/>
    <cellStyle name="Shade 3 2 4" xfId="1594" xr:uid="{A702D2F8-6E8F-4EE5-B842-3342CA90D257}"/>
    <cellStyle name="Shade 3 2 5" xfId="1966" xr:uid="{359A1970-E0DB-414A-98A6-2D0F4C6AD304}"/>
    <cellStyle name="Shade 3 3" xfId="758" xr:uid="{0FE98B01-9940-4060-BC24-6BABD13A4BB4}"/>
    <cellStyle name="Shade 3 3 2" xfId="34" xr:uid="{C9B267FE-5EB0-4888-8897-BF03FD87E35F}"/>
    <cellStyle name="Shade 3 3 3" xfId="1734" xr:uid="{18D0BBF5-C95A-431F-BDBF-19777FA39B30}"/>
    <cellStyle name="Shade 3 3 4" xfId="2105" xr:uid="{F59A167E-1805-4181-A154-1A054422B1FD}"/>
    <cellStyle name="Shade 4" xfId="318" xr:uid="{9512FEE5-865D-4C5D-91FA-C9D24CA7DB88}"/>
    <cellStyle name="Shade 4 2" xfId="66" xr:uid="{1411666E-6855-45BD-B9FF-27E8401F3B30}"/>
    <cellStyle name="Shade 4 2 2" xfId="655" xr:uid="{205242D5-E221-49FB-91CA-973D17C7F624}"/>
    <cellStyle name="Shade 4 2 2 2" xfId="1291" xr:uid="{4FAD3C58-40CD-4090-9BBF-EBEECBDDD1EB}"/>
    <cellStyle name="Shade 4 2 2 3" xfId="1639" xr:uid="{B4A27CB1-3045-45F4-A8E3-5F8282C2D151}"/>
    <cellStyle name="Shade 4 2 2 4" xfId="2011" xr:uid="{D50A87DC-CD21-4697-B6CC-6640528C29DC}"/>
    <cellStyle name="Shade 4 2 3" xfId="870" xr:uid="{0919CB36-079A-42AC-8C6C-94C63975CD52}"/>
    <cellStyle name="Shade 4 2 3 2" xfId="947" xr:uid="{6A7577C9-9DEB-463A-A4E9-00F726CADDF3}"/>
    <cellStyle name="Shade 4 2 3 3" xfId="1846" xr:uid="{65DA7CAF-BD38-4874-BDD7-DFD5BD914E14}"/>
    <cellStyle name="Shade 4 2 3 4" xfId="2217" xr:uid="{714320FB-691B-40BA-BC35-7C411B117686}"/>
    <cellStyle name="Shade 4 3" xfId="684" xr:uid="{DA2745D0-0963-43A1-B8CE-C3F324C7EC68}"/>
    <cellStyle name="Shade 4 3 2" xfId="899" xr:uid="{A7121AD8-0124-4CB3-AD86-9FA1E6DCC7DE}"/>
    <cellStyle name="Shade 4 3 2 2" xfId="1249" xr:uid="{71D107E2-96D5-4FA3-B61C-D641E06842A6}"/>
    <cellStyle name="Shade 4 3 2 3" xfId="1875" xr:uid="{AEFAAD41-D59C-4E18-AA36-230194F894FF}"/>
    <cellStyle name="Shade 4 3 2 4" xfId="2246" xr:uid="{2F3594DB-F961-4CEC-9112-E82AD28E36B5}"/>
    <cellStyle name="Shade 4 3 3" xfId="1112" xr:uid="{99886F92-7EB3-4F96-8FA5-EA0DFCFC69A8}"/>
    <cellStyle name="Shade 4 3 4" xfId="1668" xr:uid="{F57C74FD-BEA7-4C13-905D-158E5E36DA2D}"/>
    <cellStyle name="Shade 4 3 5" xfId="2040" xr:uid="{A9C5833B-DBDE-4AFA-89B2-374BA161C6DA}"/>
    <cellStyle name="Shade 4 4" xfId="546" xr:uid="{89DB9F0B-57EB-44C1-8A1E-C4109F766CA6}"/>
    <cellStyle name="Shade 4 4 2" xfId="761" xr:uid="{C0F81780-3DF6-4BC1-9137-E4C554EC5356}"/>
    <cellStyle name="Shade 4 4 2 2" xfId="1310" xr:uid="{8BA21336-27C6-4121-B580-6A81CC429A45}"/>
    <cellStyle name="Shade 4 4 2 3" xfId="1737" xr:uid="{10506766-283C-4147-849C-C7987F828A53}"/>
    <cellStyle name="Shade 4 4 2 4" xfId="2108" xr:uid="{96499646-41C9-4FAC-BB61-0922932708DC}"/>
    <cellStyle name="Shade 4 4 3" xfId="1034" xr:uid="{0CA3A054-3480-468D-9FB0-2A5C31533CBB}"/>
    <cellStyle name="Shade 4 4 4" xfId="1530" xr:uid="{E9540CF7-3960-43C3-92AD-C45F777255F7}"/>
    <cellStyle name="Shade 4 4 5" xfId="1902" xr:uid="{455D0E3A-7F05-4BE7-98D4-E65C6AD47124}"/>
    <cellStyle name="Shade 4 5" xfId="95" xr:uid="{A02540C4-2C14-4633-99C0-23AA19A568E1}"/>
    <cellStyle name="Shade 4 6" xfId="1366" xr:uid="{7384B4CA-40E8-4E5C-850F-D107986B3626}"/>
    <cellStyle name="Shade 4 7" xfId="72" xr:uid="{01F9EBF4-E4A7-45C3-945C-5E6172CF964F}"/>
    <cellStyle name="Shade 5" xfId="109" xr:uid="{2D242A0E-4A30-4FD5-9182-814C026F135B}"/>
    <cellStyle name="Shade_B_border2" xfId="212" xr:uid="{42433D35-2F95-4322-8F65-A7C3ACD262CC}"/>
    <cellStyle name="Standard 2" xfId="64" xr:uid="{10022683-5198-4F1E-889C-79C2E19C6155}"/>
    <cellStyle name="Standard 2 2" xfId="431" xr:uid="{CBBF8DE0-7735-4356-882E-602981AF52B2}"/>
    <cellStyle name="Standard 2 2 2" xfId="541" xr:uid="{0374918A-8633-4621-AFD7-097470C75FCF}"/>
    <cellStyle name="Standard 2 3" xfId="540" xr:uid="{44AA112E-845D-42F6-BE1B-1B129DB6ED11}"/>
    <cellStyle name="Title 2" xfId="213" xr:uid="{82E91253-8A43-4229-BC97-544A95C7CAA3}"/>
    <cellStyle name="Title 3" xfId="272" xr:uid="{9D9DAD4D-ACFF-4F05-A308-35C973F99CE5}"/>
    <cellStyle name="Total 2" xfId="214" xr:uid="{74192B6C-7722-41C9-905E-D209A6D26201}"/>
    <cellStyle name="Total 2 2" xfId="601" xr:uid="{4E661EEC-3A21-4F1B-917F-61FC8BDB7F7F}"/>
    <cellStyle name="Total 2 2 2" xfId="816" xr:uid="{8ACDE474-E26B-4551-9546-57E2ADB686B1}"/>
    <cellStyle name="Total 2 2 2 2" xfId="1244" xr:uid="{51E66D8D-576C-4F3A-A67F-E0D57C28CB52}"/>
    <cellStyle name="Total 2 2 2 3" xfId="1792" xr:uid="{AE672619-C0C6-4694-93F2-BA610177BB9F}"/>
    <cellStyle name="Total 2 2 2 4" xfId="2163" xr:uid="{5E48ED89-C1D5-487A-B492-45AC5A013376}"/>
    <cellStyle name="Total 2 2 3" xfId="1042" xr:uid="{2FF27328-3844-457D-BF55-10F914DB050A}"/>
    <cellStyle name="Total 2 2 4" xfId="1585" xr:uid="{A58643AA-EBDA-47C8-8784-09F64C0DA34A}"/>
    <cellStyle name="Total 2 2 5" xfId="1957" xr:uid="{FAB6A7DB-A8C0-4850-9EF9-118C2DC33E94}"/>
    <cellStyle name="Total 2 3" xfId="662" xr:uid="{D2BDCBA3-6846-460D-B5E7-646DEC9C15E1}"/>
    <cellStyle name="Total 2 3 2" xfId="877" xr:uid="{5517840B-4695-43BD-A720-E5689AD6139C}"/>
    <cellStyle name="Total 2 3 2 2" xfId="1262" xr:uid="{80BD5F66-BE42-4442-B53B-39D96537DEDC}"/>
    <cellStyle name="Total 2 3 2 3" xfId="1853" xr:uid="{A8C2F10B-5FED-4664-9133-6F43ED41C745}"/>
    <cellStyle name="Total 2 3 2 4" xfId="2224" xr:uid="{010B1F17-8E68-4647-8B6D-E3BCE6638A88}"/>
    <cellStyle name="Total 2 3 3" xfId="1123" xr:uid="{C3A6B7DF-1FE2-4259-8902-D777881A5E60}"/>
    <cellStyle name="Total 2 3 4" xfId="1646" xr:uid="{560FDC31-45D3-4B40-9B18-3E4896317B3F}"/>
    <cellStyle name="Total 2 3 5" xfId="2018" xr:uid="{3E376DEC-198D-4976-BA2A-6F14FEDB33CD}"/>
    <cellStyle name="Total 2 4" xfId="550" xr:uid="{0B64B0BD-158C-4019-AB69-49B27A27D7C9}"/>
    <cellStyle name="Total 2 4 2" xfId="765" xr:uid="{0609F6C6-4F01-43CC-8EC7-C581FBA8E1E5}"/>
    <cellStyle name="Total 2 4 2 2" xfId="1075" xr:uid="{2EF0F702-6BB1-4866-A8E1-F669E1FCAD91}"/>
    <cellStyle name="Total 2 4 2 3" xfId="1741" xr:uid="{52819D54-D41E-4493-8483-1C34EB164D7E}"/>
    <cellStyle name="Total 2 4 2 4" xfId="2112" xr:uid="{A0A65F28-7301-4107-9DDA-082C0A1896B6}"/>
    <cellStyle name="Total 2 4 3" xfId="1005" xr:uid="{FC6C6DFF-1F38-42D3-971E-089883E164A7}"/>
    <cellStyle name="Total 2 4 4" xfId="1534" xr:uid="{8A046B25-123B-4328-9CB3-F0B315284B12}"/>
    <cellStyle name="Total 2 4 5" xfId="1906" xr:uid="{1C896369-C2F0-4AC6-B770-2D07766E02A1}"/>
    <cellStyle name="Total 2 5" xfId="721" xr:uid="{8707D2C5-83B4-438A-834E-2E8F7EC29E68}"/>
    <cellStyle name="Total 2 5 2" xfId="1152" xr:uid="{8FEA4CEA-B20A-47C9-AD84-6A98AC61B9D8}"/>
    <cellStyle name="Total 2 5 3" xfId="1704" xr:uid="{661131B7-F57E-4572-8B8D-9DA0460FA092}"/>
    <cellStyle name="Total 2 5 4" xfId="2076" xr:uid="{749112E4-0FDA-493F-A71D-E4940ECA4E2F}"/>
    <cellStyle name="Total 2 6" xfId="1231" xr:uid="{7228401D-A367-4C32-B6C6-BCFE596152EC}"/>
    <cellStyle name="Total 2 7" xfId="1474" xr:uid="{EC2B0237-5B01-4A9B-9A52-85E8F43E764B}"/>
    <cellStyle name="Total 2 8" xfId="1090" xr:uid="{40075CD5-48A2-449E-85E3-C499EDB86660}"/>
    <cellStyle name="Total 3" xfId="273" xr:uid="{4FDF1F9B-72C8-4AAF-BA51-E2A7F38ED4AF}"/>
    <cellStyle name="Total 3 2" xfId="625" xr:uid="{C65FB08C-04F7-4F58-A0AB-A01811AFC377}"/>
    <cellStyle name="Total 3 2 2" xfId="840" xr:uid="{FD366763-F67C-46C2-A2AB-22A9AD60981B}"/>
    <cellStyle name="Total 3 2 2 2" xfId="1261" xr:uid="{461D25A9-46AE-4136-AFB7-FAFA85149914}"/>
    <cellStyle name="Total 3 2 2 3" xfId="1816" xr:uid="{DB4261D2-2EC2-4D13-97B0-145212C8C76F}"/>
    <cellStyle name="Total 3 2 2 4" xfId="2187" xr:uid="{1C184276-D6A4-4D08-A59C-912504F442C5}"/>
    <cellStyle name="Total 3 2 3" xfId="1018" xr:uid="{57F351C9-BCAE-4771-8D64-61FBA4257ADE}"/>
    <cellStyle name="Total 3 2 4" xfId="1609" xr:uid="{0F619EA4-4532-41E9-9525-3CD345496B5C}"/>
    <cellStyle name="Total 3 2 5" xfId="1981" xr:uid="{957C6D2B-339C-4CB2-ABF8-B83F733F3BD7}"/>
    <cellStyle name="Total 3 3" xfId="588" xr:uid="{9BD86C1B-7DDB-4869-A38C-E4FDFD072BC9}"/>
    <cellStyle name="Total 3 3 2" xfId="803" xr:uid="{366FF4D2-6E93-4188-B89B-E02859634309}"/>
    <cellStyle name="Total 3 3 2 2" xfId="939" xr:uid="{B474EF8B-5AFB-4BCB-9C92-DAD093E49E64}"/>
    <cellStyle name="Total 3 3 2 3" xfId="1779" xr:uid="{A51DC36F-D3E7-4CD0-857D-8E06952C47FA}"/>
    <cellStyle name="Total 3 3 2 4" xfId="2150" xr:uid="{F145A421-91C9-47F1-8C56-4A34644A5EC1}"/>
    <cellStyle name="Total 3 3 3" xfId="1096" xr:uid="{7CEA9882-5060-4462-A0EC-1D4023876F59}"/>
    <cellStyle name="Total 3 3 4" xfId="1572" xr:uid="{49A543CF-A536-4D16-A727-8F3F3F38D736}"/>
    <cellStyle name="Total 3 3 5" xfId="1944" xr:uid="{14491D8A-6A68-4C97-8B23-EEB4556A0B06}"/>
    <cellStyle name="Total 3 4" xfId="629" xr:uid="{F4BD3497-CAD7-4DA1-8311-920F150C4290}"/>
    <cellStyle name="Total 3 4 2" xfId="844" xr:uid="{0A39445F-B1DB-405A-87EE-E106E55A0895}"/>
    <cellStyle name="Total 3 4 2 2" xfId="1154" xr:uid="{B0B79CF7-0561-488A-B08C-4EB860429A81}"/>
    <cellStyle name="Total 3 4 2 3" xfId="1820" xr:uid="{9C951B4B-01FF-40DC-9322-8EB07B99AC6F}"/>
    <cellStyle name="Total 3 4 2 4" xfId="2191" xr:uid="{C0D0C6AC-F859-4C62-8DC7-A8F0C56A155B}"/>
    <cellStyle name="Total 3 4 3" xfId="1234" xr:uid="{19142B37-81B1-4E83-AA8B-058376341F88}"/>
    <cellStyle name="Total 3 4 4" xfId="1613" xr:uid="{29850D33-F413-4352-8C5A-508648038252}"/>
    <cellStyle name="Total 3 4 5" xfId="1985" xr:uid="{B402E14B-5B70-4167-82BD-0DE774FE7A18}"/>
    <cellStyle name="Total 3 5" xfId="726" xr:uid="{216D152E-22C7-416D-85F6-35387B4DEAA1}"/>
    <cellStyle name="Total 3 5 2" xfId="1011" xr:uid="{BD27F918-5697-4225-8645-1399CAD1D59D}"/>
    <cellStyle name="Total 3 5 3" xfId="1709" xr:uid="{234AA65D-7581-45EC-911E-2BC1C45CEE53}"/>
    <cellStyle name="Total 3 5 4" xfId="2081" xr:uid="{7DC8FA6B-EE8C-4655-B90F-8FF7BF23DDF2}"/>
    <cellStyle name="Total 3 6" xfId="934" xr:uid="{8E24F8AB-0221-4E69-80E8-D8078F6D227B}"/>
    <cellStyle name="Total 3 7" xfId="1269" xr:uid="{BA615B22-C5C2-433E-88C2-3399A84C64B0}"/>
    <cellStyle name="Total 3 8" xfId="1388" xr:uid="{6D97217E-053F-4CAB-B2CE-20BF292FB5DB}"/>
    <cellStyle name="Überschrift" xfId="215" xr:uid="{B3231542-4477-4B8E-BFDF-C9FE5A87FB99}"/>
    <cellStyle name="Überschrift 1" xfId="216" xr:uid="{0CA0B2DC-7E94-4530-8F03-0F8F4E0DA56C}"/>
    <cellStyle name="Überschrift 2" xfId="217" xr:uid="{FABFC9D3-F3FF-4423-A763-32036F7222B1}"/>
    <cellStyle name="Überschrift 3" xfId="218" xr:uid="{7AC22335-31D9-4A73-98C4-0C96DE780A9F}"/>
    <cellStyle name="Überschrift 4" xfId="219" xr:uid="{0A5BBB44-1436-4B1F-B30F-32E2E4DA1CE5}"/>
    <cellStyle name="Verknüpfte Zelle" xfId="220" xr:uid="{02DBAB63-6CD5-474F-A6E0-8AF8F686A617}"/>
    <cellStyle name="Warnender Text" xfId="76" hidden="1" xr:uid="{4989B21B-6A77-45AD-876B-3598219584B6}"/>
    <cellStyle name="Warnender Text" xfId="975" hidden="1" xr:uid="{35404A2A-DA5E-420B-85C2-30C264174801}"/>
    <cellStyle name="Warnender Text" xfId="1230" hidden="1" xr:uid="{14BB2D39-AD02-4113-829B-7160380CE340}"/>
    <cellStyle name="Warnender Text" xfId="1333" hidden="1" xr:uid="{F9C1F569-E237-4F38-8CA1-5A6470D6A058}"/>
    <cellStyle name="Warnender Text" xfId="1267" hidden="1" xr:uid="{857484DE-6FE7-4CB6-8236-F4A8DED02117}"/>
    <cellStyle name="Warnender Text" xfId="1137" hidden="1" xr:uid="{2C77890D-7616-4D10-9B8E-90486F1F14B8}"/>
    <cellStyle name="Warnender Text 2" xfId="430" xr:uid="{A44F75C6-44B8-487C-9B56-8C12879480AB}"/>
    <cellStyle name="Warnender Text 3" xfId="321" xr:uid="{59EA40EF-88F7-4491-B614-0724A280BAB9}"/>
    <cellStyle name="Warning Text 2" xfId="221" xr:uid="{B089E382-AD17-4849-BD4B-992D3808F6B7}"/>
    <cellStyle name="Warning Text 3" xfId="274" xr:uid="{AA187044-F858-45D2-8E24-E05629413621}"/>
    <cellStyle name="Zelle überprüfen" xfId="222" xr:uid="{004F8B6E-6298-45F9-89D2-9245D73740F7}"/>
    <cellStyle name="Гиперссылка" xfId="223" xr:uid="{0CA506AA-9493-465E-BCD2-8E5A4B2A4D6B}"/>
    <cellStyle name="Гиперссылка 2" xfId="224" xr:uid="{B0614C8D-5BD0-433E-9CF7-CAE9897BF1DA}"/>
    <cellStyle name="Гиперссылка 3" xfId="232" xr:uid="{4DEB463D-BFAB-45FA-A53A-5B937017297A}"/>
    <cellStyle name="Гиперссылка 4" xfId="404" xr:uid="{555B5C38-575C-4FCF-906F-6CADF76551F3}"/>
    <cellStyle name="Обычный_2++" xfId="53" xr:uid="{2A8F5320-7E20-4620-8822-E421688964D0}"/>
    <cellStyle name="Обычный_CRF2002 (1)" xfId="15" xr:uid="{5AEF4512-5674-4DF5-B27A-436C5AAEF99D}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3" formatCode="#,##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CC00"/>
        </patternFill>
      </fill>
      <alignment horizontal="right" vertical="center" textRotation="0" wrapText="1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0"/>
      </font>
      <fill>
        <patternFill patternType="solid">
          <fgColor theme="4"/>
          <bgColor theme="4" tint="-0.24994659260841701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o do list for projects" pivot="0" count="3" xr9:uid="{00000000-0011-0000-FFFF-FFFF00000000}">
      <tableStyleElement type="wholeTable" dxfId="6"/>
      <tableStyleElement type="headerRow" dxfId="5"/>
      <tableStyleElement type="first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Basic+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4068773080374278"/>
          <c:y val="0.1551458940412086"/>
          <c:w val="0.46038847904175489"/>
          <c:h val="0.773089783277216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D-4CE6-AD7F-7CFF3C30068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561D-4CEE-862C-686C094BE2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C9-4C5D-ABF4-6B9E1391AE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0-4BF8-913B-005A2999F1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5C0-4BF8-913B-005A2999F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Mælaborð!$B$11:$B$31</c15:sqref>
                  </c15:fullRef>
                </c:ext>
              </c:extLst>
              <c:f>(Mælaborð!$B$11,Mælaborð!$B$16,Mælaborð!$B$20,Mælaborð!$B$27,Mælaborð!$B$31)</c:f>
              <c:strCache>
                <c:ptCount val="5"/>
                <c:pt idx="0">
                  <c:v>Orkunotkun</c:v>
                </c:pt>
                <c:pt idx="1">
                  <c:v>Samgöngur</c:v>
                </c:pt>
                <c:pt idx="2">
                  <c:v>Úrgangur</c:v>
                </c:pt>
                <c:pt idx="3">
                  <c:v>Landbúnaður og landnotkun</c:v>
                </c:pt>
                <c:pt idx="4">
                  <c:v>Efnanotkun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Mælaborð!$C$11:$C$31</c15:sqref>
                  </c15:fullRef>
                </c:ext>
              </c:extLst>
              <c:f>(Mælaborð!$C$11,Mælaborð!$C$16,Mælaborð!$C$20,Mælaborð!$C$27,Mælaborð!$C$31)</c:f>
              <c:numCache>
                <c:formatCode>0</c:formatCode>
                <c:ptCount val="5"/>
                <c:pt idx="0">
                  <c:v>35958.291891643195</c:v>
                </c:pt>
                <c:pt idx="1">
                  <c:v>398465.92200513411</c:v>
                </c:pt>
                <c:pt idx="2">
                  <c:v>45958.8191730935</c:v>
                </c:pt>
                <c:pt idx="3">
                  <c:v>47987.31204702273</c:v>
                </c:pt>
                <c:pt idx="4">
                  <c:v>39452.00682229732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Mælaborð!$C$14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Mælaborð!$C$25</c15:sqref>
                  <c15:spPr xmlns:c15="http://schemas.microsoft.com/office/drawing/2012/chart"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Mælaborð!$C$28</c15:sqref>
                  <c15:spPr xmlns:c15="http://schemas.microsoft.com/office/drawing/2012/chart"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Mælaborð!$C$29</c15:sqref>
                  <c15:spPr xmlns:c15="http://schemas.microsoft.com/office/drawing/2012/chart">
                    <a:solidFill>
                      <a:schemeClr val="accent1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Mælaborð!$C$30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BDDD-4CE6-AD7F-7CFF3C300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10854023536039"/>
          <c:y val="0.20006871867035939"/>
          <c:w val="0.29133973203143787"/>
          <c:h val="0.72493455494995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</a:t>
            </a:r>
          </a:p>
        </c:rich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0-485D-AAC0-23B3E10F0F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20-485D-AAC0-23B3E10F0F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20-485D-AAC0-23B3E10F0F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0-485D-AAC0-23B3E10F0F1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20-485D-AAC0-23B3E10F0F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Dashboard!$B$11:$B$20</c15:sqref>
                  </c15:fullRef>
                </c:ext>
              </c:extLst>
              <c:f>(Dashboard!$B$11,Dashboard!$B$17:$B$20)</c:f>
              <c:strCache>
                <c:ptCount val="5"/>
                <c:pt idx="0">
                  <c:v>Energy</c:v>
                </c:pt>
                <c:pt idx="1">
                  <c:v>On-road</c:v>
                </c:pt>
                <c:pt idx="2">
                  <c:v>Waterborne navigation</c:v>
                </c:pt>
                <c:pt idx="3">
                  <c:v>Aviation</c:v>
                </c:pt>
                <c:pt idx="4">
                  <c:v>Waste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Dashboard!$C$11:$C$20</c15:sqref>
                  </c15:fullRef>
                </c:ext>
              </c:extLst>
              <c:f>(Dashboard!$C$11,Dashboard!$C$17:$C$20)</c:f>
              <c:numCache>
                <c:formatCode>0</c:formatCode>
                <c:ptCount val="5"/>
                <c:pt idx="0">
                  <c:v>35958.291891643195</c:v>
                </c:pt>
                <c:pt idx="1">
                  <c:v>339943.74539936369</c:v>
                </c:pt>
                <c:pt idx="2">
                  <c:v>52583</c:v>
                </c:pt>
                <c:pt idx="3">
                  <c:v>5939.1766057704244</c:v>
                </c:pt>
                <c:pt idx="4">
                  <c:v>45958.8191730935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Dashboard!$C$16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9520-485D-AAC0-23B3E10F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23684948840968209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Mánaðarlegar breytingar á götuumferð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Götuumferð!$P$102:$P$236</c:f>
              <c:numCache>
                <c:formatCode>General</c:formatCode>
                <c:ptCount val="135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  <c:pt idx="123">
                  <c:v>2021.4615384615404</c:v>
                </c:pt>
                <c:pt idx="124">
                  <c:v>2021.5384615384635</c:v>
                </c:pt>
                <c:pt idx="125">
                  <c:v>2021.6153846153866</c:v>
                </c:pt>
                <c:pt idx="126">
                  <c:v>2021.6923076923097</c:v>
                </c:pt>
                <c:pt idx="127">
                  <c:v>2021.7692307692328</c:v>
                </c:pt>
                <c:pt idx="128">
                  <c:v>2021.8461538461559</c:v>
                </c:pt>
                <c:pt idx="129">
                  <c:v>2021.923076923079</c:v>
                </c:pt>
                <c:pt idx="130">
                  <c:v>2022.000000000002</c:v>
                </c:pt>
                <c:pt idx="131">
                  <c:v>2022.0769230769251</c:v>
                </c:pt>
                <c:pt idx="132">
                  <c:v>2022.1538461538482</c:v>
                </c:pt>
                <c:pt idx="133">
                  <c:v>2022.2307692307713</c:v>
                </c:pt>
                <c:pt idx="134">
                  <c:v>2022.3076923076944</c:v>
                </c:pt>
              </c:numCache>
            </c:numRef>
          </c:xVal>
          <c:yVal>
            <c:numRef>
              <c:f>Götuumferð!$L$102:$L$236</c:f>
              <c:numCache>
                <c:formatCode>0.0%</c:formatCode>
                <c:ptCount val="135"/>
                <c:pt idx="0">
                  <c:v>-6.5011411577564626E-3</c:v>
                </c:pt>
                <c:pt idx="1">
                  <c:v>2.1234936057609621E-2</c:v>
                </c:pt>
                <c:pt idx="2">
                  <c:v>2.2612482669521983E-2</c:v>
                </c:pt>
                <c:pt idx="3">
                  <c:v>-1.0773239241054333E-2</c:v>
                </c:pt>
                <c:pt idx="4">
                  <c:v>1.9932940866862481E-4</c:v>
                </c:pt>
                <c:pt idx="5">
                  <c:v>4.9997258337208361E-2</c:v>
                </c:pt>
                <c:pt idx="6">
                  <c:v>5.316617572673854E-2</c:v>
                </c:pt>
                <c:pt idx="7">
                  <c:v>-1.2102943876614258E-2</c:v>
                </c:pt>
                <c:pt idx="8">
                  <c:v>-1.2347531243904974E-2</c:v>
                </c:pt>
                <c:pt idx="9">
                  <c:v>3.7513973897249642E-2</c:v>
                </c:pt>
                <c:pt idx="10">
                  <c:v>1.3105934423409238E-2</c:v>
                </c:pt>
                <c:pt idx="11">
                  <c:v>2.0772344067444104E-2</c:v>
                </c:pt>
                <c:pt idx="13">
                  <c:v>6.7499129829446503E-2</c:v>
                </c:pt>
                <c:pt idx="14">
                  <c:v>3.1703501664594347E-2</c:v>
                </c:pt>
                <c:pt idx="15">
                  <c:v>-1.3709039907671028E-2</c:v>
                </c:pt>
                <c:pt idx="16">
                  <c:v>8.4308935834134235E-2</c:v>
                </c:pt>
                <c:pt idx="17">
                  <c:v>2.8288577696642836E-2</c:v>
                </c:pt>
                <c:pt idx="18">
                  <c:v>2.9924003598842397E-3</c:v>
                </c:pt>
                <c:pt idx="19">
                  <c:v>2.9769990578829342E-2</c:v>
                </c:pt>
                <c:pt idx="20">
                  <c:v>3.7510218064958689E-2</c:v>
                </c:pt>
                <c:pt idx="21">
                  <c:v>6.9878776376293139E-3</c:v>
                </c:pt>
                <c:pt idx="22">
                  <c:v>3.1743073660680299E-2</c:v>
                </c:pt>
                <c:pt idx="23">
                  <c:v>1.8817351057017984E-2</c:v>
                </c:pt>
                <c:pt idx="24">
                  <c:v>2.0840861172843672E-2</c:v>
                </c:pt>
                <c:pt idx="26">
                  <c:v>3.9990014951886366E-2</c:v>
                </c:pt>
                <c:pt idx="27">
                  <c:v>3.6646527793976924E-2</c:v>
                </c:pt>
                <c:pt idx="28">
                  <c:v>6.4990523714703929E-2</c:v>
                </c:pt>
                <c:pt idx="29">
                  <c:v>-1.0203119155832718E-3</c:v>
                </c:pt>
                <c:pt idx="30">
                  <c:v>3.7199896901622731E-2</c:v>
                </c:pt>
                <c:pt idx="31">
                  <c:v>1.8847036816249885E-2</c:v>
                </c:pt>
                <c:pt idx="32">
                  <c:v>3.0916320287228238E-2</c:v>
                </c:pt>
                <c:pt idx="33">
                  <c:v>9.0264401990081122E-3</c:v>
                </c:pt>
                <c:pt idx="34">
                  <c:v>5.724328377809984E-2</c:v>
                </c:pt>
                <c:pt idx="35">
                  <c:v>3.4928536858530368E-2</c:v>
                </c:pt>
                <c:pt idx="36">
                  <c:v>2.9054758032768024E-2</c:v>
                </c:pt>
                <c:pt idx="37">
                  <c:v>3.1494800755016428E-3</c:v>
                </c:pt>
                <c:pt idx="39">
                  <c:v>1.5793640482151261E-3</c:v>
                </c:pt>
                <c:pt idx="40">
                  <c:v>-8.1005421970768987E-3</c:v>
                </c:pt>
                <c:pt idx="41">
                  <c:v>3.2801366903268292E-2</c:v>
                </c:pt>
                <c:pt idx="42">
                  <c:v>2.9327215027453724E-2</c:v>
                </c:pt>
                <c:pt idx="43">
                  <c:v>1.8459559074088583E-2</c:v>
                </c:pt>
                <c:pt idx="44">
                  <c:v>7.8669907753460055E-2</c:v>
                </c:pt>
                <c:pt idx="45">
                  <c:v>7.3713859066032006E-2</c:v>
                </c:pt>
                <c:pt idx="46">
                  <c:v>6.886426124927536E-2</c:v>
                </c:pt>
                <c:pt idx="47">
                  <c:v>6.2811952275471983E-2</c:v>
                </c:pt>
                <c:pt idx="48">
                  <c:v>4.5992227390424523E-2</c:v>
                </c:pt>
                <c:pt idx="49">
                  <c:v>5.5401359542565309E-2</c:v>
                </c:pt>
                <c:pt idx="50">
                  <c:v>4.4999221248968491E-2</c:v>
                </c:pt>
                <c:pt idx="52">
                  <c:v>4.7915906712796108E-2</c:v>
                </c:pt>
                <c:pt idx="53">
                  <c:v>7.2998907075876529E-2</c:v>
                </c:pt>
                <c:pt idx="54">
                  <c:v>3.3667731816716229E-2</c:v>
                </c:pt>
                <c:pt idx="55">
                  <c:v>0.12931920139298558</c:v>
                </c:pt>
                <c:pt idx="56">
                  <c:v>7.627856086114404E-2</c:v>
                </c:pt>
                <c:pt idx="57">
                  <c:v>4.2433335217570534E-2</c:v>
                </c:pt>
                <c:pt idx="58">
                  <c:v>3.5452079310759332E-2</c:v>
                </c:pt>
                <c:pt idx="59">
                  <c:v>9.1991834476374823E-2</c:v>
                </c:pt>
                <c:pt idx="60">
                  <c:v>8.0739447700058697E-2</c:v>
                </c:pt>
                <c:pt idx="61">
                  <c:v>4.3173615921811903E-2</c:v>
                </c:pt>
                <c:pt idx="62">
                  <c:v>8.886530075069965E-2</c:v>
                </c:pt>
                <c:pt idx="63">
                  <c:v>0.12355435607004517</c:v>
                </c:pt>
                <c:pt idx="65">
                  <c:v>9.2598994248547228E-2</c:v>
                </c:pt>
                <c:pt idx="66">
                  <c:v>6.5181826417116451E-2</c:v>
                </c:pt>
                <c:pt idx="67">
                  <c:v>0.14602069686869656</c:v>
                </c:pt>
                <c:pt idx="68">
                  <c:v>5.0586704483408518E-2</c:v>
                </c:pt>
                <c:pt idx="69">
                  <c:v>8.1334498557619428E-2</c:v>
                </c:pt>
                <c:pt idx="70">
                  <c:v>0.10537924959819756</c:v>
                </c:pt>
                <c:pt idx="71">
                  <c:v>9.502970138226563E-2</c:v>
                </c:pt>
                <c:pt idx="72">
                  <c:v>6.4694654771844773E-2</c:v>
                </c:pt>
                <c:pt idx="73">
                  <c:v>7.1577712119395676E-2</c:v>
                </c:pt>
                <c:pt idx="74">
                  <c:v>9.044452708126749E-2</c:v>
                </c:pt>
                <c:pt idx="75">
                  <c:v>5.485673846222161E-2</c:v>
                </c:pt>
                <c:pt idx="76">
                  <c:v>4.9950438902150562E-2</c:v>
                </c:pt>
                <c:pt idx="78">
                  <c:v>4.6028510544006807E-2</c:v>
                </c:pt>
                <c:pt idx="79">
                  <c:v>1.9834602743784124E-2</c:v>
                </c:pt>
                <c:pt idx="80">
                  <c:v>2.4309303816771655E-2</c:v>
                </c:pt>
                <c:pt idx="81">
                  <c:v>4.1905511872618817E-2</c:v>
                </c:pt>
                <c:pt idx="82">
                  <c:v>2.6130907130897052E-2</c:v>
                </c:pt>
                <c:pt idx="83">
                  <c:v>2.5515341511492151E-2</c:v>
                </c:pt>
                <c:pt idx="84">
                  <c:v>2.5631498875323899E-2</c:v>
                </c:pt>
                <c:pt idx="85">
                  <c:v>2.386228392333134E-2</c:v>
                </c:pt>
                <c:pt idx="86">
                  <c:v>1.5010312465283171E-2</c:v>
                </c:pt>
                <c:pt idx="87">
                  <c:v>4.1026855491876901E-2</c:v>
                </c:pt>
                <c:pt idx="88">
                  <c:v>4.3795203735273347E-2</c:v>
                </c:pt>
                <c:pt idx="89">
                  <c:v>5.1712362572400306E-3</c:v>
                </c:pt>
                <c:pt idx="90">
                  <c:v>1.5241885439683404E-2</c:v>
                </c:pt>
                <c:pt idx="91">
                  <c:v>1.6218273886985379E-2</c:v>
                </c:pt>
                <c:pt idx="92">
                  <c:v>7.058472295642737E-2</c:v>
                </c:pt>
                <c:pt idx="93">
                  <c:v>8.2706372678418294E-3</c:v>
                </c:pt>
                <c:pt idx="94">
                  <c:v>-2.5650990202638724E-2</c:v>
                </c:pt>
                <c:pt idx="95">
                  <c:v>4.7355358180302565E-2</c:v>
                </c:pt>
                <c:pt idx="96">
                  <c:v>-1.4813813145482357E-2</c:v>
                </c:pt>
                <c:pt idx="97">
                  <c:v>2.2510750142982872E-2</c:v>
                </c:pt>
                <c:pt idx="98">
                  <c:v>3.564310533311188E-3</c:v>
                </c:pt>
                <c:pt idx="99">
                  <c:v>3.1536402084781923E-3</c:v>
                </c:pt>
                <c:pt idx="100">
                  <c:v>1.6088144407091498E-2</c:v>
                </c:pt>
                <c:pt idx="101">
                  <c:v>1.7113859336255199E-3</c:v>
                </c:pt>
                <c:pt idx="102">
                  <c:v>-1.0444039501341096E-2</c:v>
                </c:pt>
                <c:pt idx="104">
                  <c:v>-1.5792261795868123E-2</c:v>
                </c:pt>
                <c:pt idx="105">
                  <c:v>-8.7228827769554318E-3</c:v>
                </c:pt>
                <c:pt idx="106">
                  <c:v>-0.20666133367378603</c:v>
                </c:pt>
                <c:pt idx="107">
                  <c:v>-0.27729578970386559</c:v>
                </c:pt>
                <c:pt idx="108">
                  <c:v>1.2417322631711691E-2</c:v>
                </c:pt>
                <c:pt idx="109">
                  <c:v>1.2417322631711691E-2</c:v>
                </c:pt>
                <c:pt idx="110">
                  <c:v>-3.4211859035475745E-2</c:v>
                </c:pt>
                <c:pt idx="111">
                  <c:v>-7.2665048536431853E-2</c:v>
                </c:pt>
                <c:pt idx="112">
                  <c:v>-4.4498688906854045E-2</c:v>
                </c:pt>
                <c:pt idx="113">
                  <c:v>-0.19953389524534126</c:v>
                </c:pt>
                <c:pt idx="114">
                  <c:v>-0.20005986587488311</c:v>
                </c:pt>
                <c:pt idx="115">
                  <c:v>-7.6698257743490927E-2</c:v>
                </c:pt>
                <c:pt idx="117">
                  <c:v>-6.4187483298504433E-2</c:v>
                </c:pt>
                <c:pt idx="118">
                  <c:v>-7.7155880955463996E-3</c:v>
                </c:pt>
                <c:pt idx="119">
                  <c:v>0.24699234049298324</c:v>
                </c:pt>
                <c:pt idx="120">
                  <c:v>0.31618900213645995</c:v>
                </c:pt>
                <c:pt idx="121">
                  <c:v>7.9853339489473374E-2</c:v>
                </c:pt>
                <c:pt idx="122">
                  <c:v>5.4291794093859203E-3</c:v>
                </c:pt>
                <c:pt idx="123">
                  <c:v>-3.0995975475158422E-2</c:v>
                </c:pt>
                <c:pt idx="124">
                  <c:v>5.7811466247121412E-2</c:v>
                </c:pt>
                <c:pt idx="125">
                  <c:v>5.9638299859981148E-2</c:v>
                </c:pt>
                <c:pt idx="126">
                  <c:v>0.25038703167081477</c:v>
                </c:pt>
                <c:pt idx="127">
                  <c:v>0.23027141582643429</c:v>
                </c:pt>
                <c:pt idx="128">
                  <c:v>0.10858682701311517</c:v>
                </c:pt>
                <c:pt idx="130">
                  <c:v>-2.186596176249167E-2</c:v>
                </c:pt>
                <c:pt idx="131">
                  <c:v>-9.168900296991056E-2</c:v>
                </c:pt>
                <c:pt idx="132">
                  <c:v>2.2609340323860305E-3</c:v>
                </c:pt>
                <c:pt idx="133">
                  <c:v>8.5794784807432078E-2</c:v>
                </c:pt>
                <c:pt idx="134">
                  <c:v>5.0705727354587449E-2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26-4932-A05A-3379697B8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in val="20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Götuumferð!$O$115:$O$236</c:f>
              <c:numCache>
                <c:formatCode>General</c:formatCode>
                <c:ptCount val="122"/>
                <c:pt idx="0">
                  <c:v>2013</c:v>
                </c:pt>
                <c:pt idx="1">
                  <c:v>2013</c:v>
                </c:pt>
                <c:pt idx="2">
                  <c:v>2013</c:v>
                </c:pt>
                <c:pt idx="3">
                  <c:v>2013</c:v>
                </c:pt>
                <c:pt idx="4">
                  <c:v>2013</c:v>
                </c:pt>
                <c:pt idx="5">
                  <c:v>2013</c:v>
                </c:pt>
                <c:pt idx="6">
                  <c:v>2013</c:v>
                </c:pt>
                <c:pt idx="7">
                  <c:v>2013</c:v>
                </c:pt>
                <c:pt idx="8">
                  <c:v>2013</c:v>
                </c:pt>
                <c:pt idx="9">
                  <c:v>2013</c:v>
                </c:pt>
                <c:pt idx="10">
                  <c:v>2013</c:v>
                </c:pt>
                <c:pt idx="11">
                  <c:v>2013</c:v>
                </c:pt>
                <c:pt idx="13">
                  <c:v>2014</c:v>
                </c:pt>
                <c:pt idx="14">
                  <c:v>2014</c:v>
                </c:pt>
                <c:pt idx="15">
                  <c:v>2014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2014</c:v>
                </c:pt>
                <c:pt idx="21">
                  <c:v>2014</c:v>
                </c:pt>
                <c:pt idx="22">
                  <c:v>2014</c:v>
                </c:pt>
                <c:pt idx="23">
                  <c:v>2014</c:v>
                </c:pt>
                <c:pt idx="24">
                  <c:v>2014</c:v>
                </c:pt>
                <c:pt idx="26">
                  <c:v>2015</c:v>
                </c:pt>
                <c:pt idx="27">
                  <c:v>2015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  <c:pt idx="32">
                  <c:v>2015</c:v>
                </c:pt>
                <c:pt idx="33">
                  <c:v>2015</c:v>
                </c:pt>
                <c:pt idx="34">
                  <c:v>2015</c:v>
                </c:pt>
                <c:pt idx="35">
                  <c:v>2015</c:v>
                </c:pt>
                <c:pt idx="36">
                  <c:v>2015</c:v>
                </c:pt>
                <c:pt idx="37">
                  <c:v>2015</c:v>
                </c:pt>
                <c:pt idx="39">
                  <c:v>2016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2017</c:v>
                </c:pt>
                <c:pt idx="57">
                  <c:v>2017</c:v>
                </c:pt>
                <c:pt idx="58">
                  <c:v>2017</c:v>
                </c:pt>
                <c:pt idx="59">
                  <c:v>2017</c:v>
                </c:pt>
                <c:pt idx="60">
                  <c:v>2017</c:v>
                </c:pt>
                <c:pt idx="61">
                  <c:v>2017</c:v>
                </c:pt>
                <c:pt idx="62">
                  <c:v>2017</c:v>
                </c:pt>
                <c:pt idx="63">
                  <c:v>2017</c:v>
                </c:pt>
                <c:pt idx="65">
                  <c:v>2018</c:v>
                </c:pt>
                <c:pt idx="66">
                  <c:v>2018</c:v>
                </c:pt>
                <c:pt idx="67">
                  <c:v>2018</c:v>
                </c:pt>
                <c:pt idx="68">
                  <c:v>2018</c:v>
                </c:pt>
                <c:pt idx="69">
                  <c:v>2018</c:v>
                </c:pt>
                <c:pt idx="70">
                  <c:v>2018</c:v>
                </c:pt>
                <c:pt idx="71">
                  <c:v>2018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2018</c:v>
                </c:pt>
                <c:pt idx="78">
                  <c:v>2019</c:v>
                </c:pt>
                <c:pt idx="79">
                  <c:v>2019</c:v>
                </c:pt>
                <c:pt idx="80">
                  <c:v>2019</c:v>
                </c:pt>
                <c:pt idx="81">
                  <c:v>2019</c:v>
                </c:pt>
                <c:pt idx="82">
                  <c:v>2019</c:v>
                </c:pt>
                <c:pt idx="83">
                  <c:v>2019</c:v>
                </c:pt>
                <c:pt idx="84">
                  <c:v>2019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1">
                  <c:v>2020</c:v>
                </c:pt>
                <c:pt idx="92">
                  <c:v>2020</c:v>
                </c:pt>
                <c:pt idx="93">
                  <c:v>2020</c:v>
                </c:pt>
                <c:pt idx="94">
                  <c:v>2020</c:v>
                </c:pt>
                <c:pt idx="95">
                  <c:v>2020</c:v>
                </c:pt>
                <c:pt idx="96">
                  <c:v>2020</c:v>
                </c:pt>
                <c:pt idx="97">
                  <c:v>2020</c:v>
                </c:pt>
                <c:pt idx="98">
                  <c:v>2020</c:v>
                </c:pt>
                <c:pt idx="99">
                  <c:v>2020</c:v>
                </c:pt>
                <c:pt idx="100">
                  <c:v>2020</c:v>
                </c:pt>
                <c:pt idx="101">
                  <c:v>2020</c:v>
                </c:pt>
                <c:pt idx="102">
                  <c:v>2020</c:v>
                </c:pt>
                <c:pt idx="104">
                  <c:v>2021</c:v>
                </c:pt>
                <c:pt idx="105">
                  <c:v>2021</c:v>
                </c:pt>
                <c:pt idx="106">
                  <c:v>2021</c:v>
                </c:pt>
                <c:pt idx="107">
                  <c:v>2021</c:v>
                </c:pt>
                <c:pt idx="108">
                  <c:v>2021</c:v>
                </c:pt>
                <c:pt idx="109">
                  <c:v>2021</c:v>
                </c:pt>
                <c:pt idx="110">
                  <c:v>2021</c:v>
                </c:pt>
                <c:pt idx="111">
                  <c:v>2021</c:v>
                </c:pt>
                <c:pt idx="112">
                  <c:v>2021</c:v>
                </c:pt>
                <c:pt idx="113">
                  <c:v>2021</c:v>
                </c:pt>
                <c:pt idx="114">
                  <c:v>2021</c:v>
                </c:pt>
                <c:pt idx="115">
                  <c:v>2021</c:v>
                </c:pt>
                <c:pt idx="117">
                  <c:v>2022</c:v>
                </c:pt>
                <c:pt idx="118">
                  <c:v>2022</c:v>
                </c:pt>
                <c:pt idx="119">
                  <c:v>2022</c:v>
                </c:pt>
                <c:pt idx="120">
                  <c:v>2022</c:v>
                </c:pt>
                <c:pt idx="121">
                  <c:v>2022</c:v>
                </c:pt>
              </c:numCache>
            </c:numRef>
          </c:xVal>
          <c:yVal>
            <c:numRef>
              <c:f>Götuumferð!$L$115:$L$236</c:f>
              <c:numCache>
                <c:formatCode>0.0%</c:formatCode>
                <c:ptCount val="122"/>
                <c:pt idx="0">
                  <c:v>6.7499129829446503E-2</c:v>
                </c:pt>
                <c:pt idx="1">
                  <c:v>3.1703501664594347E-2</c:v>
                </c:pt>
                <c:pt idx="2">
                  <c:v>-1.3709039907671028E-2</c:v>
                </c:pt>
                <c:pt idx="3">
                  <c:v>8.4308935834134235E-2</c:v>
                </c:pt>
                <c:pt idx="4">
                  <c:v>2.8288577696642836E-2</c:v>
                </c:pt>
                <c:pt idx="5">
                  <c:v>2.9924003598842397E-3</c:v>
                </c:pt>
                <c:pt idx="6">
                  <c:v>2.9769990578829342E-2</c:v>
                </c:pt>
                <c:pt idx="7">
                  <c:v>3.7510218064958689E-2</c:v>
                </c:pt>
                <c:pt idx="8">
                  <c:v>6.9878776376293139E-3</c:v>
                </c:pt>
                <c:pt idx="9">
                  <c:v>3.1743073660680299E-2</c:v>
                </c:pt>
                <c:pt idx="10">
                  <c:v>1.8817351057017984E-2</c:v>
                </c:pt>
                <c:pt idx="11">
                  <c:v>2.0840861172843672E-2</c:v>
                </c:pt>
                <c:pt idx="13">
                  <c:v>3.9990014951886366E-2</c:v>
                </c:pt>
                <c:pt idx="14">
                  <c:v>3.6646527793976924E-2</c:v>
                </c:pt>
                <c:pt idx="15">
                  <c:v>6.4990523714703929E-2</c:v>
                </c:pt>
                <c:pt idx="16">
                  <c:v>-1.0203119155832718E-3</c:v>
                </c:pt>
                <c:pt idx="17">
                  <c:v>3.7199896901622731E-2</c:v>
                </c:pt>
                <c:pt idx="18">
                  <c:v>1.8847036816249885E-2</c:v>
                </c:pt>
                <c:pt idx="19">
                  <c:v>3.0916320287228238E-2</c:v>
                </c:pt>
                <c:pt idx="20">
                  <c:v>9.0264401990081122E-3</c:v>
                </c:pt>
                <c:pt idx="21">
                  <c:v>5.724328377809984E-2</c:v>
                </c:pt>
                <c:pt idx="22">
                  <c:v>3.4928536858530368E-2</c:v>
                </c:pt>
                <c:pt idx="23">
                  <c:v>2.9054758032768024E-2</c:v>
                </c:pt>
                <c:pt idx="24">
                  <c:v>3.1494800755016428E-3</c:v>
                </c:pt>
                <c:pt idx="26">
                  <c:v>1.5793640482151261E-3</c:v>
                </c:pt>
                <c:pt idx="27">
                  <c:v>-8.1005421970768987E-3</c:v>
                </c:pt>
                <c:pt idx="28">
                  <c:v>3.2801366903268292E-2</c:v>
                </c:pt>
                <c:pt idx="29">
                  <c:v>2.9327215027453724E-2</c:v>
                </c:pt>
                <c:pt idx="30">
                  <c:v>1.8459559074088583E-2</c:v>
                </c:pt>
                <c:pt idx="31">
                  <c:v>7.8669907753460055E-2</c:v>
                </c:pt>
                <c:pt idx="32">
                  <c:v>7.3713859066032006E-2</c:v>
                </c:pt>
                <c:pt idx="33">
                  <c:v>6.886426124927536E-2</c:v>
                </c:pt>
                <c:pt idx="34">
                  <c:v>6.2811952275471983E-2</c:v>
                </c:pt>
                <c:pt idx="35">
                  <c:v>4.5992227390424523E-2</c:v>
                </c:pt>
                <c:pt idx="36">
                  <c:v>5.5401359542565309E-2</c:v>
                </c:pt>
                <c:pt idx="37">
                  <c:v>4.4999221248968491E-2</c:v>
                </c:pt>
                <c:pt idx="39">
                  <c:v>4.7915906712796108E-2</c:v>
                </c:pt>
                <c:pt idx="40">
                  <c:v>7.2998907075876529E-2</c:v>
                </c:pt>
                <c:pt idx="41">
                  <c:v>3.3667731816716229E-2</c:v>
                </c:pt>
                <c:pt idx="42">
                  <c:v>0.12931920139298558</c:v>
                </c:pt>
                <c:pt idx="43">
                  <c:v>7.627856086114404E-2</c:v>
                </c:pt>
                <c:pt idx="44">
                  <c:v>4.2433335217570534E-2</c:v>
                </c:pt>
                <c:pt idx="45">
                  <c:v>3.5452079310759332E-2</c:v>
                </c:pt>
                <c:pt idx="46">
                  <c:v>9.1991834476374823E-2</c:v>
                </c:pt>
                <c:pt idx="47">
                  <c:v>8.0739447700058697E-2</c:v>
                </c:pt>
                <c:pt idx="48">
                  <c:v>4.3173615921811903E-2</c:v>
                </c:pt>
                <c:pt idx="49">
                  <c:v>8.886530075069965E-2</c:v>
                </c:pt>
                <c:pt idx="50">
                  <c:v>0.12355435607004517</c:v>
                </c:pt>
                <c:pt idx="52">
                  <c:v>9.2598994248547228E-2</c:v>
                </c:pt>
                <c:pt idx="53">
                  <c:v>6.5181826417116451E-2</c:v>
                </c:pt>
                <c:pt idx="54">
                  <c:v>0.14602069686869656</c:v>
                </c:pt>
                <c:pt idx="55">
                  <c:v>5.0586704483408518E-2</c:v>
                </c:pt>
                <c:pt idx="56">
                  <c:v>8.1334498557619428E-2</c:v>
                </c:pt>
                <c:pt idx="57">
                  <c:v>0.10537924959819756</c:v>
                </c:pt>
                <c:pt idx="58">
                  <c:v>9.502970138226563E-2</c:v>
                </c:pt>
                <c:pt idx="59">
                  <c:v>6.4694654771844773E-2</c:v>
                </c:pt>
                <c:pt idx="60">
                  <c:v>7.1577712119395676E-2</c:v>
                </c:pt>
                <c:pt idx="61">
                  <c:v>9.044452708126749E-2</c:v>
                </c:pt>
                <c:pt idx="62">
                  <c:v>5.485673846222161E-2</c:v>
                </c:pt>
                <c:pt idx="63">
                  <c:v>4.9950438902150562E-2</c:v>
                </c:pt>
                <c:pt idx="65">
                  <c:v>4.6028510544006807E-2</c:v>
                </c:pt>
                <c:pt idx="66">
                  <c:v>1.9834602743784124E-2</c:v>
                </c:pt>
                <c:pt idx="67">
                  <c:v>2.4309303816771655E-2</c:v>
                </c:pt>
                <c:pt idx="68">
                  <c:v>4.1905511872618817E-2</c:v>
                </c:pt>
                <c:pt idx="69">
                  <c:v>2.6130907130897052E-2</c:v>
                </c:pt>
                <c:pt idx="70">
                  <c:v>2.5515341511492151E-2</c:v>
                </c:pt>
                <c:pt idx="71">
                  <c:v>2.5631498875323899E-2</c:v>
                </c:pt>
                <c:pt idx="72">
                  <c:v>2.386228392333134E-2</c:v>
                </c:pt>
                <c:pt idx="73">
                  <c:v>1.5010312465283171E-2</c:v>
                </c:pt>
                <c:pt idx="74">
                  <c:v>4.1026855491876901E-2</c:v>
                </c:pt>
                <c:pt idx="75">
                  <c:v>4.3795203735273347E-2</c:v>
                </c:pt>
                <c:pt idx="76">
                  <c:v>5.1712362572400306E-3</c:v>
                </c:pt>
                <c:pt idx="77">
                  <c:v>1.5241885439683404E-2</c:v>
                </c:pt>
                <c:pt idx="78">
                  <c:v>1.6218273886985379E-2</c:v>
                </c:pt>
                <c:pt idx="79">
                  <c:v>7.058472295642737E-2</c:v>
                </c:pt>
                <c:pt idx="80">
                  <c:v>8.2706372678418294E-3</c:v>
                </c:pt>
                <c:pt idx="81">
                  <c:v>-2.5650990202638724E-2</c:v>
                </c:pt>
                <c:pt idx="82">
                  <c:v>4.7355358180302565E-2</c:v>
                </c:pt>
                <c:pt idx="83">
                  <c:v>-1.4813813145482357E-2</c:v>
                </c:pt>
                <c:pt idx="84">
                  <c:v>2.2510750142982872E-2</c:v>
                </c:pt>
                <c:pt idx="85">
                  <c:v>3.564310533311188E-3</c:v>
                </c:pt>
                <c:pt idx="86">
                  <c:v>3.1536402084781923E-3</c:v>
                </c:pt>
                <c:pt idx="87">
                  <c:v>1.6088144407091498E-2</c:v>
                </c:pt>
                <c:pt idx="88">
                  <c:v>1.7113859336255199E-3</c:v>
                </c:pt>
                <c:pt idx="89">
                  <c:v>-1.0444039501341096E-2</c:v>
                </c:pt>
                <c:pt idx="91">
                  <c:v>-1.5792261795868123E-2</c:v>
                </c:pt>
                <c:pt idx="92">
                  <c:v>-8.7228827769554318E-3</c:v>
                </c:pt>
                <c:pt idx="93">
                  <c:v>-0.20666133367378603</c:v>
                </c:pt>
                <c:pt idx="94">
                  <c:v>-0.27729578970386559</c:v>
                </c:pt>
                <c:pt idx="95">
                  <c:v>1.2417322631711691E-2</c:v>
                </c:pt>
                <c:pt idx="96">
                  <c:v>1.2417322631711691E-2</c:v>
                </c:pt>
                <c:pt idx="97">
                  <c:v>-3.4211859035475745E-2</c:v>
                </c:pt>
                <c:pt idx="98">
                  <c:v>-7.2665048536431853E-2</c:v>
                </c:pt>
                <c:pt idx="99">
                  <c:v>-4.4498688906854045E-2</c:v>
                </c:pt>
                <c:pt idx="100">
                  <c:v>-0.19953389524534126</c:v>
                </c:pt>
                <c:pt idx="101">
                  <c:v>-0.20005986587488311</c:v>
                </c:pt>
                <c:pt idx="102">
                  <c:v>-7.6698257743490927E-2</c:v>
                </c:pt>
                <c:pt idx="104">
                  <c:v>-6.4187483298504433E-2</c:v>
                </c:pt>
                <c:pt idx="105">
                  <c:v>-7.7155880955463996E-3</c:v>
                </c:pt>
                <c:pt idx="106">
                  <c:v>0.24699234049298324</c:v>
                </c:pt>
                <c:pt idx="107">
                  <c:v>0.31618900213645995</c:v>
                </c:pt>
                <c:pt idx="108">
                  <c:v>7.9853339489473374E-2</c:v>
                </c:pt>
                <c:pt idx="109">
                  <c:v>5.4291794093859203E-3</c:v>
                </c:pt>
                <c:pt idx="110">
                  <c:v>-3.0995975475158422E-2</c:v>
                </c:pt>
                <c:pt idx="111">
                  <c:v>5.7811466247121412E-2</c:v>
                </c:pt>
                <c:pt idx="112">
                  <c:v>5.9638299859981148E-2</c:v>
                </c:pt>
                <c:pt idx="113">
                  <c:v>0.25038703167081477</c:v>
                </c:pt>
                <c:pt idx="114">
                  <c:v>0.23027141582643429</c:v>
                </c:pt>
                <c:pt idx="115">
                  <c:v>0.10858682701311517</c:v>
                </c:pt>
                <c:pt idx="117">
                  <c:v>-2.186596176249167E-2</c:v>
                </c:pt>
                <c:pt idx="118">
                  <c:v>-9.168900296991056E-2</c:v>
                </c:pt>
                <c:pt idx="119">
                  <c:v>2.2609340323860305E-3</c:v>
                </c:pt>
                <c:pt idx="120">
                  <c:v>8.5794784807432078E-2</c:v>
                </c:pt>
                <c:pt idx="121">
                  <c:v>5.0705727354587449E-2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B7-4C21-BDB1-25962BB1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Götuumferð!$P$115:$P$236</c:f>
              <c:numCache>
                <c:formatCode>General</c:formatCode>
                <c:ptCount val="122"/>
                <c:pt idx="0">
                  <c:v>2013</c:v>
                </c:pt>
                <c:pt idx="1">
                  <c:v>2013.0769230769231</c:v>
                </c:pt>
                <c:pt idx="2">
                  <c:v>2013.1538461538462</c:v>
                </c:pt>
                <c:pt idx="3">
                  <c:v>2013.2307692307693</c:v>
                </c:pt>
                <c:pt idx="4">
                  <c:v>2013.3076923076924</c:v>
                </c:pt>
                <c:pt idx="5">
                  <c:v>2013.3846153846155</c:v>
                </c:pt>
                <c:pt idx="6">
                  <c:v>2013.4615384615386</c:v>
                </c:pt>
                <c:pt idx="7">
                  <c:v>2013.5384615384617</c:v>
                </c:pt>
                <c:pt idx="8">
                  <c:v>2013.6153846153848</c:v>
                </c:pt>
                <c:pt idx="9">
                  <c:v>2013.6923076923078</c:v>
                </c:pt>
                <c:pt idx="10">
                  <c:v>2013.7692307692309</c:v>
                </c:pt>
                <c:pt idx="11">
                  <c:v>2013.846153846154</c:v>
                </c:pt>
                <c:pt idx="12">
                  <c:v>2013.9230769230771</c:v>
                </c:pt>
                <c:pt idx="13">
                  <c:v>2014.0000000000002</c:v>
                </c:pt>
                <c:pt idx="14">
                  <c:v>2014.0769230769233</c:v>
                </c:pt>
                <c:pt idx="15">
                  <c:v>2014.1538461538464</c:v>
                </c:pt>
                <c:pt idx="16">
                  <c:v>2014.2307692307695</c:v>
                </c:pt>
                <c:pt idx="17">
                  <c:v>2014.3076923076926</c:v>
                </c:pt>
                <c:pt idx="18">
                  <c:v>2014.3846153846157</c:v>
                </c:pt>
                <c:pt idx="19">
                  <c:v>2014.4615384615388</c:v>
                </c:pt>
                <c:pt idx="20">
                  <c:v>2014.5384615384619</c:v>
                </c:pt>
                <c:pt idx="21">
                  <c:v>2014.615384615385</c:v>
                </c:pt>
                <c:pt idx="22">
                  <c:v>2014.6923076923081</c:v>
                </c:pt>
                <c:pt idx="23">
                  <c:v>2014.7692307692312</c:v>
                </c:pt>
                <c:pt idx="24">
                  <c:v>2014.8461538461543</c:v>
                </c:pt>
                <c:pt idx="25">
                  <c:v>2014.9230769230774</c:v>
                </c:pt>
                <c:pt idx="26">
                  <c:v>2015.0000000000005</c:v>
                </c:pt>
                <c:pt idx="27">
                  <c:v>2015.0769230769235</c:v>
                </c:pt>
                <c:pt idx="28">
                  <c:v>2015.1538461538466</c:v>
                </c:pt>
                <c:pt idx="29">
                  <c:v>2015.2307692307697</c:v>
                </c:pt>
                <c:pt idx="30">
                  <c:v>2015.3076923076928</c:v>
                </c:pt>
                <c:pt idx="31">
                  <c:v>2015.3846153846159</c:v>
                </c:pt>
                <c:pt idx="32">
                  <c:v>2015.461538461539</c:v>
                </c:pt>
                <c:pt idx="33">
                  <c:v>2015.5384615384621</c:v>
                </c:pt>
                <c:pt idx="34">
                  <c:v>2015.6153846153852</c:v>
                </c:pt>
                <c:pt idx="35">
                  <c:v>2015.6923076923083</c:v>
                </c:pt>
                <c:pt idx="36">
                  <c:v>2015.7692307692314</c:v>
                </c:pt>
                <c:pt idx="37">
                  <c:v>2015.8461538461545</c:v>
                </c:pt>
                <c:pt idx="38">
                  <c:v>2015.9230769230776</c:v>
                </c:pt>
                <c:pt idx="39">
                  <c:v>2016.0000000000007</c:v>
                </c:pt>
                <c:pt idx="40">
                  <c:v>2016.0769230769238</c:v>
                </c:pt>
                <c:pt idx="41">
                  <c:v>2016.1538461538469</c:v>
                </c:pt>
                <c:pt idx="42">
                  <c:v>2016.23076923077</c:v>
                </c:pt>
                <c:pt idx="43">
                  <c:v>2016.3076923076931</c:v>
                </c:pt>
                <c:pt idx="44">
                  <c:v>2016.3846153846162</c:v>
                </c:pt>
                <c:pt idx="45">
                  <c:v>2016.4615384615392</c:v>
                </c:pt>
                <c:pt idx="46">
                  <c:v>2016.5384615384623</c:v>
                </c:pt>
                <c:pt idx="47">
                  <c:v>2016.6153846153854</c:v>
                </c:pt>
                <c:pt idx="48">
                  <c:v>2016.6923076923085</c:v>
                </c:pt>
                <c:pt idx="49">
                  <c:v>2016.7692307692316</c:v>
                </c:pt>
                <c:pt idx="50">
                  <c:v>2016.8461538461547</c:v>
                </c:pt>
                <c:pt idx="51">
                  <c:v>2016.9230769230778</c:v>
                </c:pt>
                <c:pt idx="52">
                  <c:v>2017.0000000000009</c:v>
                </c:pt>
                <c:pt idx="53">
                  <c:v>2017.076923076924</c:v>
                </c:pt>
                <c:pt idx="54">
                  <c:v>2017.1538461538471</c:v>
                </c:pt>
                <c:pt idx="55">
                  <c:v>2017.2307692307702</c:v>
                </c:pt>
                <c:pt idx="56">
                  <c:v>2017.3076923076933</c:v>
                </c:pt>
                <c:pt idx="57">
                  <c:v>2017.3846153846164</c:v>
                </c:pt>
                <c:pt idx="58">
                  <c:v>2017.4615384615395</c:v>
                </c:pt>
                <c:pt idx="59">
                  <c:v>2017.5384615384626</c:v>
                </c:pt>
                <c:pt idx="60">
                  <c:v>2017.6153846153857</c:v>
                </c:pt>
                <c:pt idx="61">
                  <c:v>2017.6923076923088</c:v>
                </c:pt>
                <c:pt idx="62">
                  <c:v>2017.7692307692319</c:v>
                </c:pt>
                <c:pt idx="63">
                  <c:v>2017.8461538461549</c:v>
                </c:pt>
                <c:pt idx="64">
                  <c:v>2017.923076923078</c:v>
                </c:pt>
                <c:pt idx="65">
                  <c:v>2018.0000000000011</c:v>
                </c:pt>
                <c:pt idx="66">
                  <c:v>2018.0769230769242</c:v>
                </c:pt>
                <c:pt idx="67">
                  <c:v>2018.1538461538473</c:v>
                </c:pt>
                <c:pt idx="68">
                  <c:v>2018.2307692307704</c:v>
                </c:pt>
                <c:pt idx="69">
                  <c:v>2018.3076923076935</c:v>
                </c:pt>
                <c:pt idx="70">
                  <c:v>2018.3846153846166</c:v>
                </c:pt>
                <c:pt idx="71">
                  <c:v>2018.4615384615397</c:v>
                </c:pt>
                <c:pt idx="72">
                  <c:v>2018.5384615384628</c:v>
                </c:pt>
                <c:pt idx="73">
                  <c:v>2018.6153846153859</c:v>
                </c:pt>
                <c:pt idx="74">
                  <c:v>2018.692307692309</c:v>
                </c:pt>
                <c:pt idx="75">
                  <c:v>2018.7692307692321</c:v>
                </c:pt>
                <c:pt idx="76">
                  <c:v>2018.8461538461552</c:v>
                </c:pt>
                <c:pt idx="77">
                  <c:v>2018.9230769230783</c:v>
                </c:pt>
                <c:pt idx="78">
                  <c:v>2019.0000000000014</c:v>
                </c:pt>
                <c:pt idx="79">
                  <c:v>2019.0769230769245</c:v>
                </c:pt>
                <c:pt idx="80">
                  <c:v>2019.1538461538476</c:v>
                </c:pt>
                <c:pt idx="81">
                  <c:v>2019.2307692307706</c:v>
                </c:pt>
                <c:pt idx="82">
                  <c:v>2019.3076923076937</c:v>
                </c:pt>
                <c:pt idx="83">
                  <c:v>2019.3846153846168</c:v>
                </c:pt>
                <c:pt idx="84">
                  <c:v>2019.4615384615399</c:v>
                </c:pt>
                <c:pt idx="85">
                  <c:v>2019.538461538463</c:v>
                </c:pt>
                <c:pt idx="86">
                  <c:v>2019.6153846153861</c:v>
                </c:pt>
                <c:pt idx="87">
                  <c:v>2019.6923076923092</c:v>
                </c:pt>
                <c:pt idx="88">
                  <c:v>2019.7692307692323</c:v>
                </c:pt>
                <c:pt idx="89">
                  <c:v>2019.8461538461554</c:v>
                </c:pt>
                <c:pt idx="90">
                  <c:v>2019.9230769230785</c:v>
                </c:pt>
                <c:pt idx="91">
                  <c:v>2020.0000000000016</c:v>
                </c:pt>
                <c:pt idx="92">
                  <c:v>2020.0769230769247</c:v>
                </c:pt>
                <c:pt idx="93">
                  <c:v>2020.1538461538478</c:v>
                </c:pt>
                <c:pt idx="94">
                  <c:v>2020.2307692307709</c:v>
                </c:pt>
                <c:pt idx="95">
                  <c:v>2020.307692307694</c:v>
                </c:pt>
                <c:pt idx="96">
                  <c:v>2020.3846153846171</c:v>
                </c:pt>
                <c:pt idx="97">
                  <c:v>2020.4615384615402</c:v>
                </c:pt>
                <c:pt idx="98">
                  <c:v>2020.5384615384633</c:v>
                </c:pt>
                <c:pt idx="99">
                  <c:v>2020.6153846153863</c:v>
                </c:pt>
                <c:pt idx="100">
                  <c:v>2020.6923076923094</c:v>
                </c:pt>
                <c:pt idx="101">
                  <c:v>2020.7692307692325</c:v>
                </c:pt>
                <c:pt idx="102">
                  <c:v>2020.8461538461556</c:v>
                </c:pt>
                <c:pt idx="103">
                  <c:v>2020.9230769230787</c:v>
                </c:pt>
                <c:pt idx="104">
                  <c:v>2021.0000000000018</c:v>
                </c:pt>
                <c:pt idx="105">
                  <c:v>2021.0769230769249</c:v>
                </c:pt>
                <c:pt idx="106">
                  <c:v>2021.153846153848</c:v>
                </c:pt>
                <c:pt idx="107">
                  <c:v>2021.2307692307711</c:v>
                </c:pt>
                <c:pt idx="108">
                  <c:v>2021.3076923076942</c:v>
                </c:pt>
                <c:pt idx="109">
                  <c:v>2021.3846153846173</c:v>
                </c:pt>
                <c:pt idx="110">
                  <c:v>2021.4615384615404</c:v>
                </c:pt>
                <c:pt idx="111">
                  <c:v>2021.5384615384635</c:v>
                </c:pt>
                <c:pt idx="112">
                  <c:v>2021.6153846153866</c:v>
                </c:pt>
                <c:pt idx="113">
                  <c:v>2021.6923076923097</c:v>
                </c:pt>
                <c:pt idx="114">
                  <c:v>2021.7692307692328</c:v>
                </c:pt>
                <c:pt idx="115">
                  <c:v>2021.8461538461559</c:v>
                </c:pt>
                <c:pt idx="116">
                  <c:v>2021.923076923079</c:v>
                </c:pt>
                <c:pt idx="117">
                  <c:v>2022.000000000002</c:v>
                </c:pt>
                <c:pt idx="118">
                  <c:v>2022.0769230769251</c:v>
                </c:pt>
                <c:pt idx="119">
                  <c:v>2022.1538461538482</c:v>
                </c:pt>
                <c:pt idx="120">
                  <c:v>2022.2307692307713</c:v>
                </c:pt>
                <c:pt idx="121">
                  <c:v>2022.3076923076944</c:v>
                </c:pt>
              </c:numCache>
            </c:numRef>
          </c:xVal>
          <c:yVal>
            <c:numRef>
              <c:f>Götuumferð!$M$115:$M$236</c:f>
              <c:numCache>
                <c:formatCode>0.0%</c:formatCode>
                <c:ptCount val="122"/>
                <c:pt idx="0">
                  <c:v>6.7499129829446503E-2</c:v>
                </c:pt>
                <c:pt idx="1">
                  <c:v>4.8874047792966779E-2</c:v>
                </c:pt>
                <c:pt idx="2">
                  <c:v>2.7215886593721983E-2</c:v>
                </c:pt>
                <c:pt idx="3">
                  <c:v>4.1400719742825887E-2</c:v>
                </c:pt>
                <c:pt idx="4">
                  <c:v>3.8617362594568716E-2</c:v>
                </c:pt>
                <c:pt idx="5">
                  <c:v>3.2313802000434988E-2</c:v>
                </c:pt>
                <c:pt idx="6">
                  <c:v>3.195538063105241E-2</c:v>
                </c:pt>
                <c:pt idx="7">
                  <c:v>3.266958988378188E-2</c:v>
                </c:pt>
                <c:pt idx="8">
                  <c:v>2.9693086868847196E-2</c:v>
                </c:pt>
                <c:pt idx="9">
                  <c:v>2.9905533182804644E-2</c:v>
                </c:pt>
                <c:pt idx="10">
                  <c:v>2.8877129440049831E-2</c:v>
                </c:pt>
                <c:pt idx="11">
                  <c:v>2.8204394465260352E-2</c:v>
                </c:pt>
                <c:pt idx="12">
                  <c:v>2.8204394465260352E-2</c:v>
                </c:pt>
                <c:pt idx="13">
                  <c:v>3.9990014951886366E-2</c:v>
                </c:pt>
                <c:pt idx="14">
                  <c:v>3.8278820236276712E-2</c:v>
                </c:pt>
                <c:pt idx="15">
                  <c:v>4.7154661069458648E-2</c:v>
                </c:pt>
                <c:pt idx="16">
                  <c:v>3.469237729220187E-2</c:v>
                </c:pt>
                <c:pt idx="17">
                  <c:v>3.5219363273639503E-2</c:v>
                </c:pt>
                <c:pt idx="18">
                  <c:v>3.2404691074733316E-2</c:v>
                </c:pt>
                <c:pt idx="19">
                  <c:v>3.2195424709540399E-2</c:v>
                </c:pt>
                <c:pt idx="20">
                  <c:v>2.9202525355809028E-2</c:v>
                </c:pt>
                <c:pt idx="21">
                  <c:v>3.2380778992170844E-2</c:v>
                </c:pt>
                <c:pt idx="22">
                  <c:v>3.264528190509175E-2</c:v>
                </c:pt>
                <c:pt idx="23">
                  <c:v>3.23155249718452E-2</c:v>
                </c:pt>
                <c:pt idx="24">
                  <c:v>2.9891451882241293E-2</c:v>
                </c:pt>
                <c:pt idx="25">
                  <c:v>2.9891451882241293E-2</c:v>
                </c:pt>
                <c:pt idx="26">
                  <c:v>1.5793640482151261E-3</c:v>
                </c:pt>
                <c:pt idx="27">
                  <c:v>-3.367017624398394E-3</c:v>
                </c:pt>
                <c:pt idx="28">
                  <c:v>8.8558172624702003E-3</c:v>
                </c:pt>
                <c:pt idx="29">
                  <c:v>1.3968738017950066E-2</c:v>
                </c:pt>
                <c:pt idx="30">
                  <c:v>1.4914344744845653E-2</c:v>
                </c:pt>
                <c:pt idx="31">
                  <c:v>2.5731038412432516E-2</c:v>
                </c:pt>
                <c:pt idx="32">
                  <c:v>3.2469108948660397E-2</c:v>
                </c:pt>
                <c:pt idx="33">
                  <c:v>3.707835993910491E-2</c:v>
                </c:pt>
                <c:pt idx="34">
                  <c:v>4.0065353168157847E-2</c:v>
                </c:pt>
                <c:pt idx="35">
                  <c:v>4.0682029408591225E-2</c:v>
                </c:pt>
                <c:pt idx="36">
                  <c:v>4.2029595856515778E-2</c:v>
                </c:pt>
                <c:pt idx="37">
                  <c:v>4.227000115618762E-2</c:v>
                </c:pt>
                <c:pt idx="38">
                  <c:v>4.227000115618762E-2</c:v>
                </c:pt>
                <c:pt idx="39">
                  <c:v>4.7915906712796108E-2</c:v>
                </c:pt>
                <c:pt idx="40">
                  <c:v>6.0672313359037888E-2</c:v>
                </c:pt>
                <c:pt idx="41">
                  <c:v>5.1329708365608573E-2</c:v>
                </c:pt>
                <c:pt idx="42">
                  <c:v>7.1103345139745144E-2</c:v>
                </c:pt>
                <c:pt idx="43">
                  <c:v>7.2196867475452287E-2</c:v>
                </c:pt>
                <c:pt idx="44">
                  <c:v>6.6886605073284811E-2</c:v>
                </c:pt>
                <c:pt idx="45">
                  <c:v>6.2296018482718818E-2</c:v>
                </c:pt>
                <c:pt idx="46">
                  <c:v>6.6172101445729492E-2</c:v>
                </c:pt>
                <c:pt idx="47">
                  <c:v>6.7899967470287592E-2</c:v>
                </c:pt>
                <c:pt idx="48">
                  <c:v>6.5314125697884862E-2</c:v>
                </c:pt>
                <c:pt idx="49">
                  <c:v>6.7497922969308233E-2</c:v>
                </c:pt>
                <c:pt idx="50">
                  <c:v>7.2047840846281241E-2</c:v>
                </c:pt>
                <c:pt idx="51">
                  <c:v>7.2047840846281241E-2</c:v>
                </c:pt>
                <c:pt idx="52">
                  <c:v>9.2598994248547228E-2</c:v>
                </c:pt>
                <c:pt idx="53">
                  <c:v>7.8493461024362166E-2</c:v>
                </c:pt>
                <c:pt idx="54">
                  <c:v>0.10146296042185421</c:v>
                </c:pt>
                <c:pt idx="55">
                  <c:v>8.7862583795647042E-2</c:v>
                </c:pt>
                <c:pt idx="56">
                  <c:v>8.647794921923535E-2</c:v>
                </c:pt>
                <c:pt idx="57">
                  <c:v>8.9772932561707153E-2</c:v>
                </c:pt>
                <c:pt idx="58">
                  <c:v>9.0521213358614627E-2</c:v>
                </c:pt>
                <c:pt idx="59">
                  <c:v>8.7068532658443942E-2</c:v>
                </c:pt>
                <c:pt idx="60">
                  <c:v>8.5209039969855072E-2</c:v>
                </c:pt>
                <c:pt idx="61">
                  <c:v>8.5745179600434707E-2</c:v>
                </c:pt>
                <c:pt idx="62">
                  <c:v>8.2823700060650429E-2</c:v>
                </c:pt>
                <c:pt idx="63">
                  <c:v>8.0027290299421239E-2</c:v>
                </c:pt>
                <c:pt idx="64">
                  <c:v>8.0027290299421239E-2</c:v>
                </c:pt>
                <c:pt idx="65">
                  <c:v>4.6028510544006807E-2</c:v>
                </c:pt>
                <c:pt idx="66">
                  <c:v>3.2718651872744697E-2</c:v>
                </c:pt>
                <c:pt idx="67">
                  <c:v>2.97424838306799E-2</c:v>
                </c:pt>
                <c:pt idx="68">
                  <c:v>3.2882525131284313E-2</c:v>
                </c:pt>
                <c:pt idx="69">
                  <c:v>3.1457257701654529E-2</c:v>
                </c:pt>
                <c:pt idx="70">
                  <c:v>3.0406594910582285E-2</c:v>
                </c:pt>
                <c:pt idx="71">
                  <c:v>2.9724068261157033E-2</c:v>
                </c:pt>
                <c:pt idx="72">
                  <c:v>2.8956551510029849E-2</c:v>
                </c:pt>
                <c:pt idx="73">
                  <c:v>2.7303496041732656E-2</c:v>
                </c:pt>
                <c:pt idx="74">
                  <c:v>2.8714918169851611E-2</c:v>
                </c:pt>
                <c:pt idx="75">
                  <c:v>3.0104397697588992E-2</c:v>
                </c:pt>
                <c:pt idx="76">
                  <c:v>2.8042488962377599E-2</c:v>
                </c:pt>
                <c:pt idx="77">
                  <c:v>2.8042488962377606E-2</c:v>
                </c:pt>
                <c:pt idx="78">
                  <c:v>1.6218273886985379E-2</c:v>
                </c:pt>
                <c:pt idx="79">
                  <c:v>4.3498743375507853E-2</c:v>
                </c:pt>
                <c:pt idx="80">
                  <c:v>3.1096881117401054E-2</c:v>
                </c:pt>
                <c:pt idx="81">
                  <c:v>1.6318711963529964E-2</c:v>
                </c:pt>
                <c:pt idx="82">
                  <c:v>2.2836718877805584E-2</c:v>
                </c:pt>
                <c:pt idx="83">
                  <c:v>1.6210870710027248E-2</c:v>
                </c:pt>
                <c:pt idx="84">
                  <c:v>1.7107762869000176E-2</c:v>
                </c:pt>
                <c:pt idx="85">
                  <c:v>1.5343221199382917E-2</c:v>
                </c:pt>
                <c:pt idx="86">
                  <c:v>1.3915672977145244E-2</c:v>
                </c:pt>
                <c:pt idx="87">
                  <c:v>1.4141781770448114E-2</c:v>
                </c:pt>
                <c:pt idx="88">
                  <c:v>1.2981237795800071E-2</c:v>
                </c:pt>
                <c:pt idx="89">
                  <c:v>1.1087125087072547E-2</c:v>
                </c:pt>
                <c:pt idx="90">
                  <c:v>1.1087125087072547E-2</c:v>
                </c:pt>
                <c:pt idx="91">
                  <c:v>-1.5792261795868123E-2</c:v>
                </c:pt>
                <c:pt idx="92">
                  <c:v>-1.2152849566947066E-2</c:v>
                </c:pt>
                <c:pt idx="93">
                  <c:v>-7.9112596507291966E-2</c:v>
                </c:pt>
                <c:pt idx="94">
                  <c:v>-0.12859177792939869</c:v>
                </c:pt>
                <c:pt idx="95">
                  <c:v>-9.8600876340504406E-2</c:v>
                </c:pt>
                <c:pt idx="96">
                  <c:v>-9.8600876340504406E-2</c:v>
                </c:pt>
                <c:pt idx="97">
                  <c:v>-8.9385338220906774E-2</c:v>
                </c:pt>
                <c:pt idx="98">
                  <c:v>-8.7232166501115982E-2</c:v>
                </c:pt>
                <c:pt idx="99">
                  <c:v>-8.2280676984505474E-2</c:v>
                </c:pt>
                <c:pt idx="100">
                  <c:v>-9.4507703629290285E-2</c:v>
                </c:pt>
                <c:pt idx="101">
                  <c:v>-0.10425277413182188</c:v>
                </c:pt>
                <c:pt idx="102">
                  <c:v>-0.10207222614065981</c:v>
                </c:pt>
                <c:pt idx="103">
                  <c:v>-0.10207222614065981</c:v>
                </c:pt>
                <c:pt idx="104">
                  <c:v>-6.4187483298504433E-2</c:v>
                </c:pt>
                <c:pt idx="105">
                  <c:v>-3.5014041031198095E-2</c:v>
                </c:pt>
                <c:pt idx="106">
                  <c:v>4.8620615917666976E-2</c:v>
                </c:pt>
                <c:pt idx="107">
                  <c:v>0.10402312265492086</c:v>
                </c:pt>
                <c:pt idx="108">
                  <c:v>9.8671066070454172E-2</c:v>
                </c:pt>
                <c:pt idx="109">
                  <c:v>8.0803790800816788E-2</c:v>
                </c:pt>
                <c:pt idx="110">
                  <c:v>6.3833197401355068E-2</c:v>
                </c:pt>
                <c:pt idx="111">
                  <c:v>6.304536736652766E-2</c:v>
                </c:pt>
                <c:pt idx="112">
                  <c:v>6.2634340909827113E-2</c:v>
                </c:pt>
                <c:pt idx="113">
                  <c:v>7.9942084140375957E-2</c:v>
                </c:pt>
                <c:pt idx="114">
                  <c:v>9.2336714872945258E-2</c:v>
                </c:pt>
                <c:pt idx="115">
                  <c:v>9.3659019351192141E-2</c:v>
                </c:pt>
                <c:pt idx="116">
                  <c:v>9.3659019351192141E-2</c:v>
                </c:pt>
                <c:pt idx="117">
                  <c:v>-2.186596176249167E-2</c:v>
                </c:pt>
                <c:pt idx="118">
                  <c:v>-5.8957022088763411E-2</c:v>
                </c:pt>
                <c:pt idx="119">
                  <c:v>-3.7367075710315278E-2</c:v>
                </c:pt>
                <c:pt idx="120">
                  <c:v>-6.9644603520551129E-3</c:v>
                </c:pt>
                <c:pt idx="121">
                  <c:v>5.5870617572149062E-3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49-4D7F-A3CF-8B2FA84D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 meðaluferð</a:t>
            </a:r>
          </a:p>
        </c:rich>
      </c:tx>
      <c:layout>
        <c:manualLayout>
          <c:xMode val="edge"/>
          <c:yMode val="edge"/>
          <c:x val="0.35596096858860388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7657035814071628"/>
          <c:y val="7.9120370370370396E-2"/>
          <c:w val="0.76934362035390735"/>
          <c:h val="0.8134802420530765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Götuumferð!$P$102:$P$244</c:f>
              <c:numCache>
                <c:formatCode>General</c:formatCode>
                <c:ptCount val="143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  <c:pt idx="123">
                  <c:v>2021.4615384615404</c:v>
                </c:pt>
                <c:pt idx="124">
                  <c:v>2021.5384615384635</c:v>
                </c:pt>
                <c:pt idx="125">
                  <c:v>2021.6153846153866</c:v>
                </c:pt>
                <c:pt idx="126">
                  <c:v>2021.6923076923097</c:v>
                </c:pt>
                <c:pt idx="127">
                  <c:v>2021.7692307692328</c:v>
                </c:pt>
                <c:pt idx="128">
                  <c:v>2021.8461538461559</c:v>
                </c:pt>
                <c:pt idx="129">
                  <c:v>2021.923076923079</c:v>
                </c:pt>
                <c:pt idx="130">
                  <c:v>2022.000000000002</c:v>
                </c:pt>
                <c:pt idx="131">
                  <c:v>2022.0769230769251</c:v>
                </c:pt>
                <c:pt idx="132">
                  <c:v>2022.1538461538482</c:v>
                </c:pt>
                <c:pt idx="133">
                  <c:v>2022.2307692307713</c:v>
                </c:pt>
                <c:pt idx="134">
                  <c:v>2022.3076923076944</c:v>
                </c:pt>
                <c:pt idx="135">
                  <c:v>2022.3846153846175</c:v>
                </c:pt>
                <c:pt idx="136">
                  <c:v>2022.4615384615406</c:v>
                </c:pt>
                <c:pt idx="137">
                  <c:v>2022.5384615384637</c:v>
                </c:pt>
                <c:pt idx="138">
                  <c:v>2022.6153846153868</c:v>
                </c:pt>
                <c:pt idx="139">
                  <c:v>2022.6923076923099</c:v>
                </c:pt>
                <c:pt idx="140">
                  <c:v>2022.769230769233</c:v>
                </c:pt>
                <c:pt idx="141">
                  <c:v>2022.8461538461561</c:v>
                </c:pt>
                <c:pt idx="142">
                  <c:v>2022.9230769230792</c:v>
                </c:pt>
              </c:numCache>
            </c:numRef>
          </c:xVal>
          <c:yVal>
            <c:numRef>
              <c:f>Götuumferð!$F$102:$F$243</c:f>
              <c:numCache>
                <c:formatCode>#,##0</c:formatCode>
                <c:ptCount val="142"/>
                <c:pt idx="0">
                  <c:v>114920</c:v>
                </c:pt>
                <c:pt idx="1">
                  <c:v>124655</c:v>
                </c:pt>
                <c:pt idx="2">
                  <c:v>126787.12982251594</c:v>
                </c:pt>
                <c:pt idx="3">
                  <c:v>121114</c:v>
                </c:pt>
                <c:pt idx="4">
                  <c:v>131363</c:v>
                </c:pt>
                <c:pt idx="5">
                  <c:v>133039</c:v>
                </c:pt>
                <c:pt idx="6">
                  <c:v>123314</c:v>
                </c:pt>
                <c:pt idx="7">
                  <c:v>129130</c:v>
                </c:pt>
                <c:pt idx="8">
                  <c:v>131660</c:v>
                </c:pt>
                <c:pt idx="9">
                  <c:v>131336</c:v>
                </c:pt>
                <c:pt idx="10">
                  <c:v>129557</c:v>
                </c:pt>
                <c:pt idx="11">
                  <c:v>127619</c:v>
                </c:pt>
                <c:pt idx="12">
                  <c:v>127041.17748520966</c:v>
                </c:pt>
                <c:pt idx="13">
                  <c:v>122677</c:v>
                </c:pt>
                <c:pt idx="14">
                  <c:v>128607</c:v>
                </c:pt>
                <c:pt idx="15">
                  <c:v>125049</c:v>
                </c:pt>
                <c:pt idx="16">
                  <c:v>131324.99245461533</c:v>
                </c:pt>
                <c:pt idx="17">
                  <c:v>135079.0724319641</c:v>
                </c:pt>
                <c:pt idx="18">
                  <c:v>133437.10595147865</c:v>
                </c:pt>
                <c:pt idx="19">
                  <c:v>126985.05661823777</c:v>
                </c:pt>
                <c:pt idx="20">
                  <c:v>133973.6944587281</c:v>
                </c:pt>
                <c:pt idx="21">
                  <c:v>132580.02396977026</c:v>
                </c:pt>
                <c:pt idx="22">
                  <c:v>135505.00832229911</c:v>
                </c:pt>
                <c:pt idx="23">
                  <c:v>131994.91955089409</c:v>
                </c:pt>
                <c:pt idx="24">
                  <c:v>130278.68986201713</c:v>
                </c:pt>
                <c:pt idx="25">
                  <c:v>130624.29696833367</c:v>
                </c:pt>
                <c:pt idx="26">
                  <c:v>127582.85506425255</c:v>
                </c:pt>
                <c:pt idx="27">
                  <c:v>133320</c:v>
                </c:pt>
                <c:pt idx="28">
                  <c:v>133176</c:v>
                </c:pt>
                <c:pt idx="29">
                  <c:v>131191</c:v>
                </c:pt>
                <c:pt idx="30">
                  <c:v>140104</c:v>
                </c:pt>
                <c:pt idx="31">
                  <c:v>135952</c:v>
                </c:pt>
                <c:pt idx="32">
                  <c:v>130910.96730033901</c:v>
                </c:pt>
                <c:pt idx="33">
                  <c:v>135183</c:v>
                </c:pt>
                <c:pt idx="34">
                  <c:v>140169.33990517911</c:v>
                </c:pt>
                <c:pt idx="35">
                  <c:v>140238</c:v>
                </c:pt>
                <c:pt idx="36">
                  <c:v>135830</c:v>
                </c:pt>
                <c:pt idx="37">
                  <c:v>130689</c:v>
                </c:pt>
                <c:pt idx="38">
                  <c:v>134528.84685581422</c:v>
                </c:pt>
                <c:pt idx="39">
                  <c:v>127784.35483870967</c:v>
                </c:pt>
                <c:pt idx="40">
                  <c:v>132240.03571428571</c:v>
                </c:pt>
                <c:pt idx="41">
                  <c:v>137544.35483870967</c:v>
                </c:pt>
                <c:pt idx="42">
                  <c:v>135038.46666666667</c:v>
                </c:pt>
                <c:pt idx="43">
                  <c:v>142690.25806451612</c:v>
                </c:pt>
                <c:pt idx="44">
                  <c:v>146647.33129889841</c:v>
                </c:pt>
                <c:pt idx="45">
                  <c:v>140560.91989411411</c:v>
                </c:pt>
                <c:pt idx="46">
                  <c:v>144492.2774284608</c:v>
                </c:pt>
                <c:pt idx="47">
                  <c:v>148973.64979378763</c:v>
                </c:pt>
                <c:pt idx="48">
                  <c:v>146687.85798477835</c:v>
                </c:pt>
                <c:pt idx="49">
                  <c:v>143355.16666666666</c:v>
                </c:pt>
                <c:pt idx="50">
                  <c:v>136569.90322580645</c:v>
                </c:pt>
                <c:pt idx="51">
                  <c:v>140215</c:v>
                </c:pt>
                <c:pt idx="52">
                  <c:v>133907.25806451612</c:v>
                </c:pt>
                <c:pt idx="53">
                  <c:v>141893.41379310345</c:v>
                </c:pt>
                <c:pt idx="54">
                  <c:v>142175.16129032261</c:v>
                </c:pt>
                <c:pt idx="55">
                  <c:v>152501.53333333333</c:v>
                </c:pt>
                <c:pt idx="56">
                  <c:v>153574.46559858267</c:v>
                </c:pt>
                <c:pt idx="57">
                  <c:v>152870.06666666668</c:v>
                </c:pt>
                <c:pt idx="58">
                  <c:v>145544.09677419355</c:v>
                </c:pt>
                <c:pt idx="59">
                  <c:v>157784.38709677418</c:v>
                </c:pt>
                <c:pt idx="60">
                  <c:v>161001.70000000001</c:v>
                </c:pt>
                <c:pt idx="61">
                  <c:v>153020.90322580645</c:v>
                </c:pt>
                <c:pt idx="62">
                  <c:v>156094.46666666667</c:v>
                </c:pt>
                <c:pt idx="63">
                  <c:v>153443.70967741936</c:v>
                </c:pt>
                <c:pt idx="64">
                  <c:v>150300</c:v>
                </c:pt>
                <c:pt idx="65">
                  <c:v>146306.93548387097</c:v>
                </c:pt>
                <c:pt idx="66">
                  <c:v>151142.28566069758</c:v>
                </c:pt>
                <c:pt idx="67">
                  <c:v>162935.67741935485</c:v>
                </c:pt>
                <c:pt idx="68">
                  <c:v>160216.08333333334</c:v>
                </c:pt>
                <c:pt idx="69">
                  <c:v>166065.36774929776</c:v>
                </c:pt>
                <c:pt idx="70">
                  <c:v>168979.39957802644</c:v>
                </c:pt>
                <c:pt idx="71">
                  <c:v>159375.10882859671</c:v>
                </c:pt>
                <c:pt idx="72">
                  <c:v>167992.19354838709</c:v>
                </c:pt>
                <c:pt idx="73">
                  <c:v>172525.83333333331</c:v>
                </c:pt>
                <c:pt idx="74">
                  <c:v>166860.80645161291</c:v>
                </c:pt>
                <c:pt idx="75">
                  <c:v>164657.29999999999</c:v>
                </c:pt>
                <c:pt idx="76">
                  <c:v>161108.29032258064</c:v>
                </c:pt>
                <c:pt idx="77">
                  <c:v>162347.10680909097</c:v>
                </c:pt>
                <c:pt idx="78">
                  <c:v>153041.22580645164</c:v>
                </c:pt>
                <c:pt idx="79">
                  <c:v>154140.13285456505</c:v>
                </c:pt>
                <c:pt idx="80">
                  <c:v>166896.53030433343</c:v>
                </c:pt>
                <c:pt idx="81">
                  <c:v>166930.02031564282</c:v>
                </c:pt>
                <c:pt idx="82">
                  <c:v>170404.80645161291</c:v>
                </c:pt>
                <c:pt idx="83">
                  <c:v>173290.96666666667</c:v>
                </c:pt>
                <c:pt idx="84">
                  <c:v>163460.13175129151</c:v>
                </c:pt>
                <c:pt idx="85">
                  <c:v>172000.87096774194</c:v>
                </c:pt>
                <c:pt idx="86">
                  <c:v>175115.5</c:v>
                </c:pt>
                <c:pt idx="87">
                  <c:v>173706.58064516127</c:v>
                </c:pt>
                <c:pt idx="88">
                  <c:v>171868.5</c:v>
                </c:pt>
                <c:pt idx="89">
                  <c:v>161941.41935483873</c:v>
                </c:pt>
                <c:pt idx="90">
                  <c:v>166899.72375985884</c:v>
                </c:pt>
                <c:pt idx="91">
                  <c:v>155523.29032258064</c:v>
                </c:pt>
                <c:pt idx="92">
                  <c:v>165020.07142857142</c:v>
                </c:pt>
                <c:pt idx="93">
                  <c:v>168276.87096774194</c:v>
                </c:pt>
                <c:pt idx="94">
                  <c:v>162648.09999999998</c:v>
                </c:pt>
                <c:pt idx="95">
                  <c:v>178474.38709677418</c:v>
                </c:pt>
                <c:pt idx="96">
                  <c:v>170723.86666666667</c:v>
                </c:pt>
                <c:pt idx="97">
                  <c:v>167139.74193548388</c:v>
                </c:pt>
                <c:pt idx="98">
                  <c:v>172613.93548387097</c:v>
                </c:pt>
                <c:pt idx="99">
                  <c:v>175667.75128192778</c:v>
                </c:pt>
                <c:pt idx="100">
                  <c:v>176501.19719904271</c:v>
                </c:pt>
                <c:pt idx="101">
                  <c:v>172162.63333333333</c:v>
                </c:pt>
                <c:pt idx="102">
                  <c:v>160250.09677419355</c:v>
                </c:pt>
                <c:pt idx="103">
                  <c:v>168750</c:v>
                </c:pt>
                <c:pt idx="104">
                  <c:v>153067.22580645164</c:v>
                </c:pt>
                <c:pt idx="105">
                  <c:v>163580.62068965519</c:v>
                </c:pt>
                <c:pt idx="106">
                  <c:v>133500.54838709679</c:v>
                </c:pt>
                <c:pt idx="107">
                  <c:v>117546.46666666667</c:v>
                </c:pt>
                <c:pt idx="108">
                  <c:v>161461.32258064515</c:v>
                </c:pt>
                <c:pt idx="109">
                  <c:v>172843.8</c:v>
                </c:pt>
                <c:pt idx="110">
                  <c:v>161421.5806451613</c:v>
                </c:pt>
                <c:pt idx="111">
                  <c:v>160070.93548387097</c:v>
                </c:pt>
                <c:pt idx="112">
                  <c:v>167850.76666666666</c:v>
                </c:pt>
                <c:pt idx="113">
                  <c:v>141283.22580645161</c:v>
                </c:pt>
                <c:pt idx="114">
                  <c:v>137719.79999999999</c:v>
                </c:pt>
                <c:pt idx="115">
                  <c:v>147959.19354838709</c:v>
                </c:pt>
                <c:pt idx="117">
                  <c:v>143242.22580645161</c:v>
                </c:pt>
                <c:pt idx="118">
                  <c:v>162318.5</c:v>
                </c:pt>
                <c:pt idx="119">
                  <c:v>166474.16129032258</c:v>
                </c:pt>
                <c:pt idx="120">
                  <c:v>154713.36666666667</c:v>
                </c:pt>
                <c:pt idx="121">
                  <c:v>174354.54838709679</c:v>
                </c:pt>
                <c:pt idx="122">
                  <c:v>173782.2</c:v>
                </c:pt>
                <c:pt idx="123">
                  <c:v>156418.16129032258</c:v>
                </c:pt>
                <c:pt idx="124">
                  <c:v>169324.87096774194</c:v>
                </c:pt>
                <c:pt idx="125">
                  <c:v>177861.10102086107</c:v>
                </c:pt>
                <c:pt idx="126">
                  <c:v>176658.71334100649</c:v>
                </c:pt>
                <c:pt idx="127">
                  <c:v>169432.73333333334</c:v>
                </c:pt>
                <c:pt idx="128">
                  <c:v>164025.61290322582</c:v>
                </c:pt>
                <c:pt idx="130">
                  <c:v>140110.09677419355</c:v>
                </c:pt>
                <c:pt idx="131">
                  <c:v>147435.67857142858</c:v>
                </c:pt>
                <c:pt idx="132">
                  <c:v>166850.54838709679</c:v>
                </c:pt>
                <c:pt idx="133">
                  <c:v>167986.96666666667</c:v>
                </c:pt>
                <c:pt idx="134">
                  <c:v>183195.32258064515</c:v>
                </c:pt>
                <c:pt idx="135">
                  <c:v>178089.16056937104</c:v>
                </c:pt>
                <c:pt idx="136">
                  <c:v>160492.98399286374</c:v>
                </c:pt>
                <c:pt idx="137">
                  <c:v>178046.83071694971</c:v>
                </c:pt>
                <c:pt idx="138">
                  <c:v>182454.18232348384</c:v>
                </c:pt>
                <c:pt idx="139">
                  <c:v>176850.30939513227</c:v>
                </c:pt>
                <c:pt idx="140">
                  <c:v>177588.9015305292</c:v>
                </c:pt>
                <c:pt idx="141">
                  <c:v>160673.20440313619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9-456F-8071-AB704300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2"/>
          <c:min val="2012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Meðalumferð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Götuumferð!$P$180:$P$236</c:f>
              <c:numCache>
                <c:formatCode>General</c:formatCode>
                <c:ptCount val="57"/>
                <c:pt idx="0">
                  <c:v>2018.0000000000011</c:v>
                </c:pt>
                <c:pt idx="1">
                  <c:v>2018.0769230769242</c:v>
                </c:pt>
                <c:pt idx="2">
                  <c:v>2018.1538461538473</c:v>
                </c:pt>
                <c:pt idx="3">
                  <c:v>2018.2307692307704</c:v>
                </c:pt>
                <c:pt idx="4">
                  <c:v>2018.3076923076935</c:v>
                </c:pt>
                <c:pt idx="5">
                  <c:v>2018.3846153846166</c:v>
                </c:pt>
                <c:pt idx="6">
                  <c:v>2018.4615384615397</c:v>
                </c:pt>
                <c:pt idx="7">
                  <c:v>2018.5384615384628</c:v>
                </c:pt>
                <c:pt idx="8">
                  <c:v>2018.6153846153859</c:v>
                </c:pt>
                <c:pt idx="9">
                  <c:v>2018.692307692309</c:v>
                </c:pt>
                <c:pt idx="10">
                  <c:v>2018.7692307692321</c:v>
                </c:pt>
                <c:pt idx="11">
                  <c:v>2018.8461538461552</c:v>
                </c:pt>
                <c:pt idx="12">
                  <c:v>2018.9230769230783</c:v>
                </c:pt>
                <c:pt idx="13">
                  <c:v>2019.0000000000014</c:v>
                </c:pt>
                <c:pt idx="14">
                  <c:v>2019.0769230769245</c:v>
                </c:pt>
                <c:pt idx="15">
                  <c:v>2019.1538461538476</c:v>
                </c:pt>
                <c:pt idx="16">
                  <c:v>2019.2307692307706</c:v>
                </c:pt>
                <c:pt idx="17">
                  <c:v>2019.3076923076937</c:v>
                </c:pt>
                <c:pt idx="18">
                  <c:v>2019.3846153846168</c:v>
                </c:pt>
                <c:pt idx="19">
                  <c:v>2019.4615384615399</c:v>
                </c:pt>
                <c:pt idx="20">
                  <c:v>2019.538461538463</c:v>
                </c:pt>
                <c:pt idx="21">
                  <c:v>2019.6153846153861</c:v>
                </c:pt>
                <c:pt idx="22">
                  <c:v>2019.6923076923092</c:v>
                </c:pt>
                <c:pt idx="23">
                  <c:v>2019.7692307692323</c:v>
                </c:pt>
                <c:pt idx="24">
                  <c:v>2019.8461538461554</c:v>
                </c:pt>
                <c:pt idx="25">
                  <c:v>2019.9230769230785</c:v>
                </c:pt>
                <c:pt idx="26">
                  <c:v>2020.0000000000016</c:v>
                </c:pt>
                <c:pt idx="27">
                  <c:v>2020.0769230769247</c:v>
                </c:pt>
                <c:pt idx="28">
                  <c:v>2020.1538461538478</c:v>
                </c:pt>
                <c:pt idx="29">
                  <c:v>2020.2307692307709</c:v>
                </c:pt>
                <c:pt idx="30">
                  <c:v>2020.307692307694</c:v>
                </c:pt>
                <c:pt idx="31">
                  <c:v>2020.3846153846171</c:v>
                </c:pt>
                <c:pt idx="32">
                  <c:v>2020.4615384615402</c:v>
                </c:pt>
                <c:pt idx="33">
                  <c:v>2020.5384615384633</c:v>
                </c:pt>
                <c:pt idx="34">
                  <c:v>2020.6153846153863</c:v>
                </c:pt>
                <c:pt idx="35">
                  <c:v>2020.6923076923094</c:v>
                </c:pt>
                <c:pt idx="36">
                  <c:v>2020.7692307692325</c:v>
                </c:pt>
                <c:pt idx="37">
                  <c:v>2020.8461538461556</c:v>
                </c:pt>
                <c:pt idx="38">
                  <c:v>2020.9230769230787</c:v>
                </c:pt>
                <c:pt idx="39">
                  <c:v>2021.0000000000018</c:v>
                </c:pt>
                <c:pt idx="40">
                  <c:v>2021.0769230769249</c:v>
                </c:pt>
                <c:pt idx="41">
                  <c:v>2021.153846153848</c:v>
                </c:pt>
                <c:pt idx="42">
                  <c:v>2021.2307692307711</c:v>
                </c:pt>
                <c:pt idx="43">
                  <c:v>2021.3076923076942</c:v>
                </c:pt>
                <c:pt idx="44">
                  <c:v>2021.3846153846173</c:v>
                </c:pt>
                <c:pt idx="45">
                  <c:v>2021.4615384615404</c:v>
                </c:pt>
                <c:pt idx="46">
                  <c:v>2021.5384615384635</c:v>
                </c:pt>
                <c:pt idx="47">
                  <c:v>2021.6153846153866</c:v>
                </c:pt>
                <c:pt idx="48">
                  <c:v>2021.6923076923097</c:v>
                </c:pt>
                <c:pt idx="49">
                  <c:v>2021.7692307692328</c:v>
                </c:pt>
                <c:pt idx="50">
                  <c:v>2021.8461538461559</c:v>
                </c:pt>
                <c:pt idx="51">
                  <c:v>2021.923076923079</c:v>
                </c:pt>
                <c:pt idx="52">
                  <c:v>2022.000000000002</c:v>
                </c:pt>
                <c:pt idx="53">
                  <c:v>2022.0769230769251</c:v>
                </c:pt>
                <c:pt idx="54">
                  <c:v>2022.1538461538482</c:v>
                </c:pt>
                <c:pt idx="55">
                  <c:v>2022.2307692307713</c:v>
                </c:pt>
                <c:pt idx="56">
                  <c:v>2022.3076923076944</c:v>
                </c:pt>
              </c:numCache>
            </c:numRef>
          </c:xVal>
          <c:yVal>
            <c:numRef>
              <c:f>Götuumferð!$L$180:$L$236</c:f>
              <c:numCache>
                <c:formatCode>0.0%</c:formatCode>
                <c:ptCount val="57"/>
                <c:pt idx="0">
                  <c:v>4.6028510544006807E-2</c:v>
                </c:pt>
                <c:pt idx="1">
                  <c:v>1.9834602743784124E-2</c:v>
                </c:pt>
                <c:pt idx="2">
                  <c:v>2.4309303816771655E-2</c:v>
                </c:pt>
                <c:pt idx="3">
                  <c:v>4.1905511872618817E-2</c:v>
                </c:pt>
                <c:pt idx="4">
                  <c:v>2.6130907130897052E-2</c:v>
                </c:pt>
                <c:pt idx="5">
                  <c:v>2.5515341511492151E-2</c:v>
                </c:pt>
                <c:pt idx="6">
                  <c:v>2.5631498875323899E-2</c:v>
                </c:pt>
                <c:pt idx="7">
                  <c:v>2.386228392333134E-2</c:v>
                </c:pt>
                <c:pt idx="8">
                  <c:v>1.5010312465283171E-2</c:v>
                </c:pt>
                <c:pt idx="9">
                  <c:v>4.1026855491876901E-2</c:v>
                </c:pt>
                <c:pt idx="10">
                  <c:v>4.3795203735273347E-2</c:v>
                </c:pt>
                <c:pt idx="11">
                  <c:v>5.1712362572400306E-3</c:v>
                </c:pt>
                <c:pt idx="12">
                  <c:v>1.5241885439683404E-2</c:v>
                </c:pt>
                <c:pt idx="13">
                  <c:v>1.6218273886985379E-2</c:v>
                </c:pt>
                <c:pt idx="14">
                  <c:v>7.058472295642737E-2</c:v>
                </c:pt>
                <c:pt idx="15">
                  <c:v>8.2706372678418294E-3</c:v>
                </c:pt>
                <c:pt idx="16">
                  <c:v>-2.5650990202638724E-2</c:v>
                </c:pt>
                <c:pt idx="17">
                  <c:v>4.7355358180302565E-2</c:v>
                </c:pt>
                <c:pt idx="18">
                  <c:v>-1.4813813145482357E-2</c:v>
                </c:pt>
                <c:pt idx="19">
                  <c:v>2.2510750142982872E-2</c:v>
                </c:pt>
                <c:pt idx="20">
                  <c:v>3.564310533311188E-3</c:v>
                </c:pt>
                <c:pt idx="21">
                  <c:v>3.1536402084781923E-3</c:v>
                </c:pt>
                <c:pt idx="22">
                  <c:v>1.6088144407091498E-2</c:v>
                </c:pt>
                <c:pt idx="23">
                  <c:v>1.7113859336255199E-3</c:v>
                </c:pt>
                <c:pt idx="24">
                  <c:v>-1.0444039501341096E-2</c:v>
                </c:pt>
                <c:pt idx="26">
                  <c:v>-1.5792261795868123E-2</c:v>
                </c:pt>
                <c:pt idx="27">
                  <c:v>-8.7228827769554318E-3</c:v>
                </c:pt>
                <c:pt idx="28">
                  <c:v>-0.20666133367378603</c:v>
                </c:pt>
                <c:pt idx="29">
                  <c:v>-0.27729578970386559</c:v>
                </c:pt>
                <c:pt idx="30">
                  <c:v>1.2417322631711691E-2</c:v>
                </c:pt>
                <c:pt idx="31">
                  <c:v>1.2417322631711691E-2</c:v>
                </c:pt>
                <c:pt idx="32">
                  <c:v>-3.4211859035475745E-2</c:v>
                </c:pt>
                <c:pt idx="33">
                  <c:v>-7.2665048536431853E-2</c:v>
                </c:pt>
                <c:pt idx="34">
                  <c:v>-4.4498688906854045E-2</c:v>
                </c:pt>
                <c:pt idx="35">
                  <c:v>-0.19953389524534126</c:v>
                </c:pt>
                <c:pt idx="36">
                  <c:v>-0.20005986587488311</c:v>
                </c:pt>
                <c:pt idx="37">
                  <c:v>-7.6698257743490927E-2</c:v>
                </c:pt>
                <c:pt idx="39">
                  <c:v>-6.4187483298504433E-2</c:v>
                </c:pt>
                <c:pt idx="40">
                  <c:v>-7.7155880955463996E-3</c:v>
                </c:pt>
                <c:pt idx="41">
                  <c:v>0.24699234049298324</c:v>
                </c:pt>
                <c:pt idx="42">
                  <c:v>0.31618900213645995</c:v>
                </c:pt>
                <c:pt idx="43">
                  <c:v>7.9853339489473374E-2</c:v>
                </c:pt>
                <c:pt idx="44">
                  <c:v>5.4291794093859203E-3</c:v>
                </c:pt>
                <c:pt idx="45">
                  <c:v>-3.0995975475158422E-2</c:v>
                </c:pt>
                <c:pt idx="46">
                  <c:v>5.7811466247121412E-2</c:v>
                </c:pt>
                <c:pt idx="47">
                  <c:v>5.9638299859981148E-2</c:v>
                </c:pt>
                <c:pt idx="48">
                  <c:v>0.25038703167081477</c:v>
                </c:pt>
                <c:pt idx="49">
                  <c:v>0.23027141582643429</c:v>
                </c:pt>
                <c:pt idx="50">
                  <c:v>0.10858682701311517</c:v>
                </c:pt>
                <c:pt idx="52">
                  <c:v>-2.186596176249167E-2</c:v>
                </c:pt>
                <c:pt idx="53">
                  <c:v>-9.168900296991056E-2</c:v>
                </c:pt>
                <c:pt idx="54">
                  <c:v>2.2609340323860305E-3</c:v>
                </c:pt>
                <c:pt idx="55">
                  <c:v>8.5794784807432078E-2</c:v>
                </c:pt>
                <c:pt idx="56">
                  <c:v>5.0705727354587449E-2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6-4C7A-9AEC-EA5A2C3D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Skip!$F$9:$F$20</c15:sqref>
                  </c15:fullRef>
                </c:ext>
              </c:extLst>
              <c:f>(Skip!$F$13,Skip!$F$16,Skip!$F$18:$F$20)</c:f>
              <c:numCache>
                <c:formatCode>#,##0</c:formatCode>
                <c:ptCount val="5"/>
                <c:pt idx="0">
                  <c:v>10253.903232000001</c:v>
                </c:pt>
                <c:pt idx="1">
                  <c:v>12626.697</c:v>
                </c:pt>
                <c:pt idx="2">
                  <c:v>2064.4776000000002</c:v>
                </c:pt>
                <c:pt idx="3">
                  <c:v>0</c:v>
                </c:pt>
                <c:pt idx="4">
                  <c:v>788.88250000000005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F-43D6-AB67-90EF2798FF25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Skip!$F$22:$F$33</c15:sqref>
                  </c15:fullRef>
                </c:ext>
              </c:extLst>
              <c:f>(Skip!$F$26,Skip!$F$29,Skip!$F$31:$F$33)</c:f>
              <c:numCache>
                <c:formatCode>#,##0</c:formatCode>
                <c:ptCount val="5"/>
                <c:pt idx="0">
                  <c:v>12544.778778</c:v>
                </c:pt>
                <c:pt idx="1">
                  <c:v>10610.726000000001</c:v>
                </c:pt>
                <c:pt idx="2">
                  <c:v>2103.1581999999999</c:v>
                </c:pt>
                <c:pt idx="3">
                  <c:v>0</c:v>
                </c:pt>
                <c:pt idx="4">
                  <c:v>652.22568000000001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F-43D6-AB67-90EF2798FF25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Skip!$F$35:$F$46</c15:sqref>
                  </c15:fullRef>
                </c:ext>
              </c:extLst>
              <c:f>(Skip!$F$39,Skip!$F$42,Skip!$F$44:$F$46)</c:f>
              <c:numCache>
                <c:formatCode>#,##0</c:formatCode>
                <c:ptCount val="5"/>
                <c:pt idx="0">
                  <c:v>13457.445100000001</c:v>
                </c:pt>
                <c:pt idx="1">
                  <c:v>12441.867553</c:v>
                </c:pt>
                <c:pt idx="2">
                  <c:v>1992.0116</c:v>
                </c:pt>
                <c:pt idx="3">
                  <c:v>0</c:v>
                </c:pt>
                <c:pt idx="4">
                  <c:v>825.88745999999992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F-43D6-AB67-90EF2798FF25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Skip!$F$48:$F$59</c15:sqref>
                  </c15:fullRef>
                </c:ext>
              </c:extLst>
              <c:f>(Skip!$F$52,Skip!$F$55,Skip!$F$57:$F$59)</c:f>
              <c:numCache>
                <c:formatCode>#,##0</c:formatCode>
                <c:ptCount val="5"/>
                <c:pt idx="0">
                  <c:v>17861.026180000001</c:v>
                </c:pt>
                <c:pt idx="1">
                  <c:v>16966.674899999998</c:v>
                </c:pt>
                <c:pt idx="2">
                  <c:v>1880.8135</c:v>
                </c:pt>
                <c:pt idx="3">
                  <c:v>0</c:v>
                </c:pt>
                <c:pt idx="4">
                  <c:v>151.53954999999999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F-43D6-AB67-90EF2798FF25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Skip!$F$61:$F$72</c15:sqref>
                  </c15:fullRef>
                </c:ext>
              </c:extLst>
              <c:f>(Skip!$F$65,Skip!$F$68,Skip!$F$70:$F$72)</c:f>
              <c:numCache>
                <c:formatCode>#,##0</c:formatCode>
                <c:ptCount val="5"/>
                <c:pt idx="0">
                  <c:v>20502.696624</c:v>
                </c:pt>
                <c:pt idx="1">
                  <c:v>320.66964200000001</c:v>
                </c:pt>
                <c:pt idx="2">
                  <c:v>4792.3062</c:v>
                </c:pt>
                <c:pt idx="3">
                  <c:v>0</c:v>
                </c:pt>
                <c:pt idx="4">
                  <c:v>178.68713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EF-43D6-AB67-90EF2798FF25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Skip!$F$74:$F$85</c15:sqref>
                  </c15:fullRef>
                </c:ext>
              </c:extLst>
              <c:f>(Skip!$F$78,Skip!$F$81,Skip!$F$83:$F$85)</c:f>
              <c:numCache>
                <c:formatCode>#,##0</c:formatCode>
                <c:ptCount val="5"/>
                <c:pt idx="0">
                  <c:v>15998</c:v>
                </c:pt>
                <c:pt idx="1">
                  <c:v>4880</c:v>
                </c:pt>
                <c:pt idx="2">
                  <c:v>3720</c:v>
                </c:pt>
                <c:pt idx="3">
                  <c:v>0</c:v>
                </c:pt>
                <c:pt idx="4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F-4ECD-AC24-9D973925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210272468625674"/>
          <c:w val="9.3331287844683683E-2"/>
          <c:h val="0.49829562832971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Skip!$H$9:$H$20</c15:sqref>
                  </c15:fullRef>
                </c:ext>
              </c:extLst>
              <c:f>(Skip!$H$13,Skip!$H$16,Skip!$H$18,Skip!$H$20)</c:f>
              <c:numCache>
                <c:formatCode>#,##0</c:formatCode>
                <c:ptCount val="4"/>
                <c:pt idx="0">
                  <c:v>386</c:v>
                </c:pt>
                <c:pt idx="1">
                  <c:v>62</c:v>
                </c:pt>
                <c:pt idx="2">
                  <c:v>70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CF1-BFB7-1824A9F93CF1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Skip!$H$22:$H$33</c15:sqref>
                  </c15:fullRef>
                </c:ext>
              </c:extLst>
              <c:f>(Skip!$H$26,Skip!$H$29,Skip!$H$31,Skip!$H$33)</c:f>
              <c:numCache>
                <c:formatCode>#,##0</c:formatCode>
                <c:ptCount val="4"/>
                <c:pt idx="0">
                  <c:v>460</c:v>
                </c:pt>
                <c:pt idx="1">
                  <c:v>80</c:v>
                </c:pt>
                <c:pt idx="2">
                  <c:v>112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6-4CF1-BFB7-1824A9F93CF1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Skip!$H$35:$H$46</c15:sqref>
                  </c15:fullRef>
                </c:ext>
              </c:extLst>
              <c:f>(Skip!$H$39,Skip!$H$42,Skip!$H$44,Skip!$H$46)</c:f>
              <c:numCache>
                <c:formatCode>#,##0</c:formatCode>
                <c:ptCount val="4"/>
                <c:pt idx="0">
                  <c:v>435</c:v>
                </c:pt>
                <c:pt idx="1">
                  <c:v>84</c:v>
                </c:pt>
                <c:pt idx="2">
                  <c:v>78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6-4CF1-BFB7-1824A9F93CF1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Skip!$H$48:$H$59</c15:sqref>
                  </c15:fullRef>
                </c:ext>
              </c:extLst>
              <c:f>(Skip!$H$52,Skip!$H$55,Skip!$H$57,Skip!$H$59)</c:f>
              <c:numCache>
                <c:formatCode>#,##0</c:formatCode>
                <c:ptCount val="4"/>
                <c:pt idx="0">
                  <c:v>477</c:v>
                </c:pt>
                <c:pt idx="1">
                  <c:v>109</c:v>
                </c:pt>
                <c:pt idx="2">
                  <c:v>42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6-4CF1-BFB7-1824A9F93CF1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Skip!$H$61:$H$72</c15:sqref>
                  </c15:fullRef>
                </c:ext>
              </c:extLst>
              <c:f>(Skip!$H$65,Skip!$H$68,Skip!$H$70,Skip!$H$72)</c:f>
              <c:numCache>
                <c:formatCode>#,##0</c:formatCode>
                <c:ptCount val="4"/>
                <c:pt idx="0">
                  <c:v>369</c:v>
                </c:pt>
                <c:pt idx="1">
                  <c:v>2</c:v>
                </c:pt>
                <c:pt idx="2">
                  <c:v>53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6-4CF1-BFB7-1824A9F93CF1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Skip!$H$74:$H$85</c15:sqref>
                  </c15:fullRef>
                </c:ext>
              </c:extLst>
              <c:f>(Skip!$H$78,Skip!$H$81,Skip!$H$83,Skip!$H$85)</c:f>
              <c:numCache>
                <c:formatCode>#,##0</c:formatCode>
                <c:ptCount val="4"/>
                <c:pt idx="0">
                  <c:v>402</c:v>
                </c:pt>
                <c:pt idx="1">
                  <c:v>34</c:v>
                </c:pt>
                <c:pt idx="2">
                  <c:v>74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6-429E-8296-6E73C6FC4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Skip!$AN$30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Skip!$AP$32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Skip!$AP$33:$AP$38</c:f>
              <c:numCache>
                <c:formatCode>0.0%</c:formatCode>
                <c:ptCount val="6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  <c:pt idx="4">
                  <c:v>6.8136475758618289</c:v>
                </c:pt>
                <c:pt idx="5">
                  <c:v>2.2562225475841875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790-47E0-A63D-7C410AC8BFCA}"/>
            </c:ext>
          </c:extLst>
        </c:ser>
        <c:ser>
          <c:idx val="3"/>
          <c:order val="1"/>
          <c:tx>
            <c:strRef>
              <c:f>Skip!$AO$32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Skip!$AO$33:$AO$38</c:f>
              <c:numCache>
                <c:formatCode>0.0%</c:formatCode>
                <c:ptCount val="6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  <c:pt idx="4">
                  <c:v>-0.20700614341005955</c:v>
                </c:pt>
                <c:pt idx="5">
                  <c:v>1.1260623638643264E-2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790-47E0-A63D-7C410AC8BFCA}"/>
            </c:ext>
          </c:extLst>
        </c:ser>
        <c:ser>
          <c:idx val="0"/>
          <c:order val="2"/>
          <c:tx>
            <c:strRef>
              <c:f>Skip!$AQ$32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Skip!$AQ$33:$AQ$38</c:f>
              <c:numCache>
                <c:formatCode>0.0%</c:formatCode>
                <c:ptCount val="6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  <c:pt idx="4">
                  <c:v>6.3334430726805835E-2</c:v>
                </c:pt>
                <c:pt idx="5">
                  <c:v>0.64648418889639214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90-47E0-A63D-7C410AC8BFCA}"/>
            </c:ext>
          </c:extLst>
        </c:ser>
        <c:ser>
          <c:idx val="1"/>
          <c:order val="3"/>
          <c:tx>
            <c:strRef>
              <c:f>Skip!$AR$32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Skip!$AR$33:$AR$38</c:f>
              <c:numCache>
                <c:formatCode>0.0%</c:formatCode>
                <c:ptCount val="6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  <c:pt idx="4">
                  <c:v>-5.3555306185965657E-2</c:v>
                </c:pt>
                <c:pt idx="5">
                  <c:v>0.47870787764938799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790-47E0-A63D-7C410AC8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1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Breytingar á milli ára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Skip!$BG$17</c:f>
              <c:strCache>
                <c:ptCount val="1"/>
                <c:pt idx="0">
                  <c:v>Skipakomur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Skip!$BG$19:$BG$24</c:f>
              <c:numCache>
                <c:formatCode>0.0%</c:formatCode>
                <c:ptCount val="6"/>
                <c:pt idx="0">
                  <c:v>5.5555555555555552E-2</c:v>
                </c:pt>
                <c:pt idx="1">
                  <c:v>0.16666666666666666</c:v>
                </c:pt>
                <c:pt idx="2">
                  <c:v>0.24812030075187969</c:v>
                </c:pt>
                <c:pt idx="3">
                  <c:v>0.14457831325301204</c:v>
                </c:pt>
                <c:pt idx="4">
                  <c:v>-0.9631578947368421</c:v>
                </c:pt>
                <c:pt idx="5">
                  <c:v>8.7142857142857135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35-42C6-8120-845243B1B3E1}"/>
            </c:ext>
          </c:extLst>
        </c:ser>
        <c:ser>
          <c:idx val="3"/>
          <c:order val="1"/>
          <c:tx>
            <c:strRef>
              <c:f>Skip!$BD$17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Skip!$BD$19:$BD$24</c:f>
              <c:numCache>
                <c:formatCode>0.0%</c:formatCode>
                <c:ptCount val="6"/>
                <c:pt idx="0">
                  <c:v>-1.4629372584655636E-2</c:v>
                </c:pt>
                <c:pt idx="1">
                  <c:v>0.29996149012931211</c:v>
                </c:pt>
                <c:pt idx="2">
                  <c:v>0.12771779380237772</c:v>
                </c:pt>
                <c:pt idx="3">
                  <c:v>0.3039721273624687</c:v>
                </c:pt>
                <c:pt idx="4">
                  <c:v>-0.99286433759211157</c:v>
                </c:pt>
                <c:pt idx="5">
                  <c:v>13.078751857355126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C35-42C6-8120-845243B1B3E1}"/>
            </c:ext>
          </c:extLst>
        </c:ser>
        <c:ser>
          <c:idx val="1"/>
          <c:order val="2"/>
          <c:tx>
            <c:strRef>
              <c:f>Skip!$BE$17</c:f>
              <c:strCache>
                <c:ptCount val="1"/>
                <c:pt idx="0">
                  <c:v>Áhöfn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Skip!$BE$19:$BE$24</c:f>
              <c:numCache>
                <c:formatCode>0.0%</c:formatCode>
                <c:ptCount val="6"/>
                <c:pt idx="0">
                  <c:v>1.8341585884650253E-2</c:v>
                </c:pt>
                <c:pt idx="1">
                  <c:v>0.26466694060174406</c:v>
                </c:pt>
                <c:pt idx="2">
                  <c:v>8.0126353790613725E-2</c:v>
                </c:pt>
                <c:pt idx="3">
                  <c:v>0.27573990207055599</c:v>
                </c:pt>
                <c:pt idx="4">
                  <c:v>-0.98467362684866189</c:v>
                </c:pt>
                <c:pt idx="5">
                  <c:v>15.357264957264958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35-42C6-8120-845243B1B3E1}"/>
            </c:ext>
          </c:extLst>
        </c:ser>
        <c:ser>
          <c:idx val="0"/>
          <c:order val="3"/>
          <c:tx>
            <c:strRef>
              <c:f>Skip!$BC$17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Skip!$BC$19:$BC$24</c:f>
              <c:numCache>
                <c:formatCode>0.0%</c:formatCode>
                <c:ptCount val="6"/>
                <c:pt idx="0">
                  <c:v>-1.79864794838628E-2</c:v>
                </c:pt>
                <c:pt idx="1">
                  <c:v>0.24605771709619986</c:v>
                </c:pt>
                <c:pt idx="2">
                  <c:v>0.15168299483919431</c:v>
                </c:pt>
                <c:pt idx="3">
                  <c:v>0.2646516837059425</c:v>
                </c:pt>
                <c:pt idx="4">
                  <c:v>-0.98522678499739624</c:v>
                </c:pt>
                <c:pt idx="5">
                  <c:v>15.12994854266827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35-42C6-8120-845243B1B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1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6.2905976132339878E-2"/>
          <c:y val="0.91064691453227087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Mælaborð!$C$62</c:f>
          <c:strCache>
            <c:ptCount val="1"/>
            <c:pt idx="0">
              <c:v>BASIC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Reykjavík!$O$108:$U$108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Reykjavík!$O$109:$U$109</c:f>
              <c:numCache>
                <c:formatCode>#,##0</c:formatCode>
                <c:ptCount val="7"/>
                <c:pt idx="0">
                  <c:v>445809.26642263401</c:v>
                </c:pt>
                <c:pt idx="1">
                  <c:v>474946.1806873536</c:v>
                </c:pt>
                <c:pt idx="2">
                  <c:v>492141.41483634035</c:v>
                </c:pt>
                <c:pt idx="3">
                  <c:v>501633.68579835992</c:v>
                </c:pt>
                <c:pt idx="4">
                  <c:v>443979.50573866139</c:v>
                </c:pt>
                <c:pt idx="5">
                  <c:v>469799.41124534194</c:v>
                </c:pt>
                <c:pt idx="6">
                  <c:v>480092.4442298708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1811855"/>
        <c:axId val="1132602367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Reykjavík!$O$108:$U$108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Reykjavík!$O$110:$U$110</c:f>
              <c:numCache>
                <c:formatCode>#,##0.00</c:formatCode>
                <c:ptCount val="7"/>
                <c:pt idx="0">
                  <c:v>3.6404480354616529</c:v>
                </c:pt>
                <c:pt idx="1">
                  <c:v>3.8536437749489121</c:v>
                </c:pt>
                <c:pt idx="2">
                  <c:v>3.9046136958318352</c:v>
                </c:pt>
                <c:pt idx="3">
                  <c:v>3.8948831520219258</c:v>
                </c:pt>
                <c:pt idx="4">
                  <c:v>3.3856416677240526</c:v>
                </c:pt>
                <c:pt idx="5">
                  <c:v>3.525381663530053</c:v>
                </c:pt>
                <c:pt idx="6">
                  <c:v>3.5382085684059814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32623"/>
        <c:axId val="3597487"/>
      </c:lineChart>
      <c:catAx>
        <c:axId val="134181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2602367"/>
        <c:crosses val="autoZero"/>
        <c:auto val="1"/>
        <c:lblAlgn val="ctr"/>
        <c:lblOffset val="100"/>
        <c:noMultiLvlLbl val="0"/>
      </c:catAx>
      <c:valAx>
        <c:axId val="1132602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41811855"/>
        <c:crosses val="autoZero"/>
        <c:crossBetween val="between"/>
      </c:valAx>
      <c:valAx>
        <c:axId val="3597487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8432623"/>
        <c:crosses val="max"/>
        <c:crossBetween val="between"/>
      </c:valAx>
      <c:catAx>
        <c:axId val="1138432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Skip!$AS$17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Skip!$AN$18:$AN$24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xVal>
          <c:yVal>
            <c:numRef>
              <c:f>Skip!$AS$18:$AS$24</c:f>
              <c:numCache>
                <c:formatCode>General</c:formatCode>
                <c:ptCount val="7"/>
                <c:pt idx="0">
                  <c:v>4044816</c:v>
                </c:pt>
                <c:pt idx="1">
                  <c:v>3972064</c:v>
                </c:pt>
                <c:pt idx="2">
                  <c:v>4949421</c:v>
                </c:pt>
                <c:pt idx="3">
                  <c:v>5700164</c:v>
                </c:pt>
                <c:pt idx="4">
                  <c:v>7208722</c:v>
                </c:pt>
                <c:pt idx="5">
                  <c:v>106496</c:v>
                </c:pt>
                <c:pt idx="6">
                  <c:v>1717775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scatterChart>
        <c:scatterStyle val="lineMarker"/>
        <c:varyColors val="0"/>
        <c:ser>
          <c:idx val="1"/>
          <c:order val="1"/>
          <c:tx>
            <c:strRef>
              <c:f>Skip!$AT$17</c:f>
              <c:strCache>
                <c:ptCount val="1"/>
                <c:pt idx="0">
                  <c:v>Farþegar</c:v>
                </c:pt>
              </c:strCache>
            </c:strRef>
          </c:tx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Skip!$AN$18:$AN$24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xVal>
          <c:yVal>
            <c:numRef>
              <c:f>Skip!$AT$18:$AT$24</c:f>
              <c:numCache>
                <c:formatCode>General</c:formatCode>
                <c:ptCount val="7"/>
                <c:pt idx="0">
                  <c:v>100141</c:v>
                </c:pt>
                <c:pt idx="1">
                  <c:v>98676</c:v>
                </c:pt>
                <c:pt idx="2">
                  <c:v>128275</c:v>
                </c:pt>
                <c:pt idx="3">
                  <c:v>144658</c:v>
                </c:pt>
                <c:pt idx="4">
                  <c:v>188630</c:v>
                </c:pt>
                <c:pt idx="5">
                  <c:v>1346</c:v>
                </c:pt>
                <c:pt idx="6">
                  <c:v>18950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968847"/>
        <c:axId val="1047751135"/>
      </c:scatterChart>
      <c:valAx>
        <c:axId val="1040464111"/>
        <c:scaling>
          <c:orientation val="minMax"/>
          <c:max val="2020"/>
          <c:min val="20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Heildarþungi (GRT)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  <c:dispUnits>
          <c:builtInUnit val="hundredThousands"/>
          <c:dispUnitsLbl/>
        </c:dispUnits>
      </c:valAx>
      <c:valAx>
        <c:axId val="1047751135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Farþegar og áhöfn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8968847"/>
        <c:crosses val="max"/>
        <c:crossBetween val="midCat"/>
        <c:dispUnits>
          <c:builtInUnit val="hundredThousands"/>
          <c:dispUnitsLbl/>
        </c:dispUnits>
      </c:valAx>
      <c:valAx>
        <c:axId val="103896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775113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4103513797496843E-2"/>
          <c:y val="0.88477375812663273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Skip!$BM$3:$BM$64</c:f>
              <c:numCache>
                <c:formatCode>General</c:formatCode>
                <c:ptCount val="62"/>
                <c:pt idx="0">
                  <c:v>2015.5</c:v>
                </c:pt>
                <c:pt idx="1">
                  <c:v>2015.5833333333333</c:v>
                </c:pt>
                <c:pt idx="2">
                  <c:v>2015.6666666666665</c:v>
                </c:pt>
                <c:pt idx="3">
                  <c:v>2015.7499999999998</c:v>
                </c:pt>
                <c:pt idx="4">
                  <c:v>2015.833333333333</c:v>
                </c:pt>
                <c:pt idx="5">
                  <c:v>2015.9166666666663</c:v>
                </c:pt>
                <c:pt idx="6">
                  <c:v>2015.9999999999995</c:v>
                </c:pt>
                <c:pt idx="7">
                  <c:v>2016.0833333333328</c:v>
                </c:pt>
                <c:pt idx="8">
                  <c:v>2016.1666666666661</c:v>
                </c:pt>
                <c:pt idx="9">
                  <c:v>2016.2499999999993</c:v>
                </c:pt>
                <c:pt idx="10">
                  <c:v>2016.3333333333326</c:v>
                </c:pt>
                <c:pt idx="11">
                  <c:v>2016.4166666666658</c:v>
                </c:pt>
                <c:pt idx="12">
                  <c:v>2016.4999999999991</c:v>
                </c:pt>
                <c:pt idx="13">
                  <c:v>2016.5833333333323</c:v>
                </c:pt>
                <c:pt idx="14">
                  <c:v>2016.6666666666656</c:v>
                </c:pt>
                <c:pt idx="15">
                  <c:v>2016.7499999999989</c:v>
                </c:pt>
                <c:pt idx="16">
                  <c:v>2016.8333333333321</c:v>
                </c:pt>
                <c:pt idx="17">
                  <c:v>2016.9166666666654</c:v>
                </c:pt>
                <c:pt idx="18">
                  <c:v>2016.9999999999986</c:v>
                </c:pt>
                <c:pt idx="19">
                  <c:v>2017.0833333333319</c:v>
                </c:pt>
                <c:pt idx="20">
                  <c:v>2017.1666666666652</c:v>
                </c:pt>
                <c:pt idx="21">
                  <c:v>2017.2499999999984</c:v>
                </c:pt>
                <c:pt idx="22">
                  <c:v>2017.3333333333317</c:v>
                </c:pt>
                <c:pt idx="23">
                  <c:v>2017.4166666666649</c:v>
                </c:pt>
                <c:pt idx="24">
                  <c:v>2017.4999999999982</c:v>
                </c:pt>
                <c:pt idx="25">
                  <c:v>2017.5833333333314</c:v>
                </c:pt>
                <c:pt idx="26">
                  <c:v>2017.6666666666647</c:v>
                </c:pt>
                <c:pt idx="27">
                  <c:v>2017.749999999998</c:v>
                </c:pt>
                <c:pt idx="28">
                  <c:v>2017.8333333333312</c:v>
                </c:pt>
                <c:pt idx="29">
                  <c:v>2017.9166666666645</c:v>
                </c:pt>
                <c:pt idx="30">
                  <c:v>2017.9999999999977</c:v>
                </c:pt>
                <c:pt idx="31">
                  <c:v>2018.083333333331</c:v>
                </c:pt>
                <c:pt idx="32">
                  <c:v>2018.1666666666642</c:v>
                </c:pt>
                <c:pt idx="33">
                  <c:v>2018.2499999999975</c:v>
                </c:pt>
                <c:pt idx="34">
                  <c:v>2018.3333333333308</c:v>
                </c:pt>
                <c:pt idx="35">
                  <c:v>2018.416666666664</c:v>
                </c:pt>
                <c:pt idx="36">
                  <c:v>2018.4999999999973</c:v>
                </c:pt>
                <c:pt idx="37">
                  <c:v>2018.5833333333305</c:v>
                </c:pt>
                <c:pt idx="38">
                  <c:v>2018.6666666666638</c:v>
                </c:pt>
                <c:pt idx="39">
                  <c:v>2018.749999999997</c:v>
                </c:pt>
                <c:pt idx="40">
                  <c:v>2018.8333333333303</c:v>
                </c:pt>
                <c:pt idx="41">
                  <c:v>2018.9166666666636</c:v>
                </c:pt>
                <c:pt idx="42">
                  <c:v>2018.9999999999968</c:v>
                </c:pt>
                <c:pt idx="43">
                  <c:v>2019.0833333333301</c:v>
                </c:pt>
                <c:pt idx="44">
                  <c:v>2019.1666666666633</c:v>
                </c:pt>
                <c:pt idx="45">
                  <c:v>2019.2499999999966</c:v>
                </c:pt>
                <c:pt idx="46">
                  <c:v>2019.3333333333298</c:v>
                </c:pt>
                <c:pt idx="47">
                  <c:v>2019.4166666666631</c:v>
                </c:pt>
                <c:pt idx="48">
                  <c:v>2019.4999999999964</c:v>
                </c:pt>
                <c:pt idx="49">
                  <c:v>2019.5833333333296</c:v>
                </c:pt>
                <c:pt idx="50">
                  <c:v>2019.6666666666629</c:v>
                </c:pt>
                <c:pt idx="51">
                  <c:v>2019.7499999999961</c:v>
                </c:pt>
                <c:pt idx="52">
                  <c:v>2019.8333333333294</c:v>
                </c:pt>
                <c:pt idx="53">
                  <c:v>2019.9166666666626</c:v>
                </c:pt>
                <c:pt idx="54">
                  <c:v>2019.9999999999959</c:v>
                </c:pt>
                <c:pt idx="55">
                  <c:v>2020.0833333333292</c:v>
                </c:pt>
                <c:pt idx="56">
                  <c:v>2020.1666666666624</c:v>
                </c:pt>
                <c:pt idx="57">
                  <c:v>2020.2499999999957</c:v>
                </c:pt>
                <c:pt idx="58">
                  <c:v>2020.3333333333289</c:v>
                </c:pt>
                <c:pt idx="59">
                  <c:v>2020.4166666666622</c:v>
                </c:pt>
                <c:pt idx="60">
                  <c:v>2020.4999999999955</c:v>
                </c:pt>
                <c:pt idx="61">
                  <c:v>2020.5833333333287</c:v>
                </c:pt>
              </c:numCache>
            </c:numRef>
          </c:xVal>
          <c:yVal>
            <c:numRef>
              <c:f>Skip!$BN$3:$BN$64</c:f>
              <c:numCache>
                <c:formatCode>#,##0.00</c:formatCode>
                <c:ptCount val="62"/>
                <c:pt idx="0">
                  <c:v>54618.400000000001</c:v>
                </c:pt>
                <c:pt idx="1">
                  <c:v>48661</c:v>
                </c:pt>
                <c:pt idx="2">
                  <c:v>56252.4</c:v>
                </c:pt>
                <c:pt idx="3">
                  <c:v>50844.5</c:v>
                </c:pt>
                <c:pt idx="4">
                  <c:v>51994.1</c:v>
                </c:pt>
                <c:pt idx="5">
                  <c:v>57347.5</c:v>
                </c:pt>
                <c:pt idx="6">
                  <c:v>46533.1</c:v>
                </c:pt>
                <c:pt idx="7">
                  <c:v>45365.2</c:v>
                </c:pt>
                <c:pt idx="8">
                  <c:v>66309</c:v>
                </c:pt>
                <c:pt idx="9">
                  <c:v>53810.1</c:v>
                </c:pt>
                <c:pt idx="10">
                  <c:v>64035.6</c:v>
                </c:pt>
                <c:pt idx="11">
                  <c:v>63030.7</c:v>
                </c:pt>
                <c:pt idx="12">
                  <c:v>53653.5</c:v>
                </c:pt>
                <c:pt idx="13">
                  <c:v>53547.7</c:v>
                </c:pt>
                <c:pt idx="14">
                  <c:v>49609.9</c:v>
                </c:pt>
                <c:pt idx="15">
                  <c:v>47625.599999999999</c:v>
                </c:pt>
                <c:pt idx="16">
                  <c:v>52639.6</c:v>
                </c:pt>
                <c:pt idx="17">
                  <c:v>49451.6</c:v>
                </c:pt>
                <c:pt idx="18">
                  <c:v>46446.7</c:v>
                </c:pt>
                <c:pt idx="19">
                  <c:v>44502.9</c:v>
                </c:pt>
                <c:pt idx="20">
                  <c:v>55858.8</c:v>
                </c:pt>
                <c:pt idx="21">
                  <c:v>51902.9</c:v>
                </c:pt>
                <c:pt idx="22">
                  <c:v>73176.800000000003</c:v>
                </c:pt>
                <c:pt idx="23">
                  <c:v>59967.5</c:v>
                </c:pt>
                <c:pt idx="24">
                  <c:v>59997.599999999999</c:v>
                </c:pt>
                <c:pt idx="25">
                  <c:v>52056.800000000003</c:v>
                </c:pt>
                <c:pt idx="26">
                  <c:v>65984.7</c:v>
                </c:pt>
                <c:pt idx="27">
                  <c:v>62654.6</c:v>
                </c:pt>
                <c:pt idx="28">
                  <c:v>56669.9</c:v>
                </c:pt>
                <c:pt idx="29">
                  <c:v>66853.399999999994</c:v>
                </c:pt>
                <c:pt idx="30">
                  <c:v>51372.5</c:v>
                </c:pt>
                <c:pt idx="31">
                  <c:v>60322.400000000001</c:v>
                </c:pt>
                <c:pt idx="32">
                  <c:v>57062.7</c:v>
                </c:pt>
                <c:pt idx="33">
                  <c:v>62465.7</c:v>
                </c:pt>
                <c:pt idx="34">
                  <c:v>69336.2</c:v>
                </c:pt>
                <c:pt idx="35">
                  <c:v>70628.399999999994</c:v>
                </c:pt>
                <c:pt idx="36">
                  <c:v>68925.2</c:v>
                </c:pt>
                <c:pt idx="37">
                  <c:v>66549.600000000006</c:v>
                </c:pt>
                <c:pt idx="38">
                  <c:v>63039.9</c:v>
                </c:pt>
                <c:pt idx="39">
                  <c:v>73077.100000000006</c:v>
                </c:pt>
                <c:pt idx="40">
                  <c:v>72586.2</c:v>
                </c:pt>
                <c:pt idx="41">
                  <c:v>64250.3</c:v>
                </c:pt>
                <c:pt idx="42">
                  <c:v>52595.3</c:v>
                </c:pt>
                <c:pt idx="43">
                  <c:v>60429.1</c:v>
                </c:pt>
                <c:pt idx="44">
                  <c:v>61729.4</c:v>
                </c:pt>
                <c:pt idx="45">
                  <c:v>65567.8</c:v>
                </c:pt>
                <c:pt idx="46">
                  <c:v>66047.199999999997</c:v>
                </c:pt>
                <c:pt idx="47">
                  <c:v>74676.800000000003</c:v>
                </c:pt>
                <c:pt idx="48">
                  <c:v>71560.5</c:v>
                </c:pt>
                <c:pt idx="49">
                  <c:v>58093.4</c:v>
                </c:pt>
                <c:pt idx="50">
                  <c:v>69422.600000000006</c:v>
                </c:pt>
                <c:pt idx="51">
                  <c:v>64734.1</c:v>
                </c:pt>
                <c:pt idx="52">
                  <c:v>57174.6</c:v>
                </c:pt>
                <c:pt idx="53">
                  <c:v>53624.7</c:v>
                </c:pt>
                <c:pt idx="54">
                  <c:v>50798</c:v>
                </c:pt>
                <c:pt idx="55">
                  <c:v>49383.5</c:v>
                </c:pt>
                <c:pt idx="56">
                  <c:v>68943.5</c:v>
                </c:pt>
                <c:pt idx="57">
                  <c:v>47735.9</c:v>
                </c:pt>
                <c:pt idx="58">
                  <c:v>51382.8</c:v>
                </c:pt>
                <c:pt idx="59">
                  <c:v>59472</c:v>
                </c:pt>
                <c:pt idx="60">
                  <c:v>58235</c:v>
                </c:pt>
                <c:pt idx="61">
                  <c:v>55303.6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70-4373-9101-D3EE834511F3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Skip!$BM$5:$BM$64</c:f>
              <c:numCache>
                <c:formatCode>General</c:formatCode>
                <c:ptCount val="60"/>
                <c:pt idx="0">
                  <c:v>2015.6666666666665</c:v>
                </c:pt>
                <c:pt idx="1">
                  <c:v>2015.7499999999998</c:v>
                </c:pt>
                <c:pt idx="2">
                  <c:v>2015.833333333333</c:v>
                </c:pt>
                <c:pt idx="3">
                  <c:v>2015.9166666666663</c:v>
                </c:pt>
                <c:pt idx="4">
                  <c:v>2015.9999999999995</c:v>
                </c:pt>
                <c:pt idx="5">
                  <c:v>2016.0833333333328</c:v>
                </c:pt>
                <c:pt idx="6">
                  <c:v>2016.1666666666661</c:v>
                </c:pt>
                <c:pt idx="7">
                  <c:v>2016.2499999999993</c:v>
                </c:pt>
                <c:pt idx="8">
                  <c:v>2016.3333333333326</c:v>
                </c:pt>
                <c:pt idx="9">
                  <c:v>2016.4166666666658</c:v>
                </c:pt>
                <c:pt idx="10">
                  <c:v>2016.4999999999991</c:v>
                </c:pt>
                <c:pt idx="11">
                  <c:v>2016.5833333333323</c:v>
                </c:pt>
                <c:pt idx="12">
                  <c:v>2016.6666666666656</c:v>
                </c:pt>
                <c:pt idx="13">
                  <c:v>2016.7499999999989</c:v>
                </c:pt>
                <c:pt idx="14">
                  <c:v>2016.8333333333321</c:v>
                </c:pt>
                <c:pt idx="15">
                  <c:v>2016.9166666666654</c:v>
                </c:pt>
                <c:pt idx="16">
                  <c:v>2016.9999999999986</c:v>
                </c:pt>
                <c:pt idx="17">
                  <c:v>2017.0833333333319</c:v>
                </c:pt>
                <c:pt idx="18">
                  <c:v>2017.1666666666652</c:v>
                </c:pt>
                <c:pt idx="19">
                  <c:v>2017.2499999999984</c:v>
                </c:pt>
                <c:pt idx="20">
                  <c:v>2017.3333333333317</c:v>
                </c:pt>
                <c:pt idx="21">
                  <c:v>2017.4166666666649</c:v>
                </c:pt>
                <c:pt idx="22">
                  <c:v>2017.4999999999982</c:v>
                </c:pt>
                <c:pt idx="23">
                  <c:v>2017.5833333333314</c:v>
                </c:pt>
                <c:pt idx="24">
                  <c:v>2017.6666666666647</c:v>
                </c:pt>
                <c:pt idx="25">
                  <c:v>2017.749999999998</c:v>
                </c:pt>
                <c:pt idx="26">
                  <c:v>2017.8333333333312</c:v>
                </c:pt>
                <c:pt idx="27">
                  <c:v>2017.9166666666645</c:v>
                </c:pt>
                <c:pt idx="28">
                  <c:v>2017.9999999999977</c:v>
                </c:pt>
                <c:pt idx="29">
                  <c:v>2018.083333333331</c:v>
                </c:pt>
                <c:pt idx="30">
                  <c:v>2018.1666666666642</c:v>
                </c:pt>
                <c:pt idx="31">
                  <c:v>2018.2499999999975</c:v>
                </c:pt>
                <c:pt idx="32">
                  <c:v>2018.3333333333308</c:v>
                </c:pt>
                <c:pt idx="33">
                  <c:v>2018.416666666664</c:v>
                </c:pt>
                <c:pt idx="34">
                  <c:v>2018.4999999999973</c:v>
                </c:pt>
                <c:pt idx="35">
                  <c:v>2018.5833333333305</c:v>
                </c:pt>
                <c:pt idx="36">
                  <c:v>2018.6666666666638</c:v>
                </c:pt>
                <c:pt idx="37">
                  <c:v>2018.749999999997</c:v>
                </c:pt>
                <c:pt idx="38">
                  <c:v>2018.8333333333303</c:v>
                </c:pt>
                <c:pt idx="39">
                  <c:v>2018.9166666666636</c:v>
                </c:pt>
                <c:pt idx="40">
                  <c:v>2018.9999999999968</c:v>
                </c:pt>
                <c:pt idx="41">
                  <c:v>2019.0833333333301</c:v>
                </c:pt>
                <c:pt idx="42">
                  <c:v>2019.1666666666633</c:v>
                </c:pt>
                <c:pt idx="43">
                  <c:v>2019.2499999999966</c:v>
                </c:pt>
                <c:pt idx="44">
                  <c:v>2019.3333333333298</c:v>
                </c:pt>
                <c:pt idx="45">
                  <c:v>2019.4166666666631</c:v>
                </c:pt>
                <c:pt idx="46">
                  <c:v>2019.4999999999964</c:v>
                </c:pt>
                <c:pt idx="47">
                  <c:v>2019.5833333333296</c:v>
                </c:pt>
                <c:pt idx="48">
                  <c:v>2019.6666666666629</c:v>
                </c:pt>
                <c:pt idx="49">
                  <c:v>2019.7499999999961</c:v>
                </c:pt>
                <c:pt idx="50">
                  <c:v>2019.8333333333294</c:v>
                </c:pt>
                <c:pt idx="51">
                  <c:v>2019.9166666666626</c:v>
                </c:pt>
                <c:pt idx="52">
                  <c:v>2019.9999999999959</c:v>
                </c:pt>
                <c:pt idx="53">
                  <c:v>2020.0833333333292</c:v>
                </c:pt>
                <c:pt idx="54">
                  <c:v>2020.1666666666624</c:v>
                </c:pt>
                <c:pt idx="55">
                  <c:v>2020.2499999999957</c:v>
                </c:pt>
                <c:pt idx="56">
                  <c:v>2020.3333333333289</c:v>
                </c:pt>
                <c:pt idx="57">
                  <c:v>2020.4166666666622</c:v>
                </c:pt>
                <c:pt idx="58">
                  <c:v>2020.4999999999955</c:v>
                </c:pt>
                <c:pt idx="59">
                  <c:v>2020.5833333333287</c:v>
                </c:pt>
              </c:numCache>
            </c:numRef>
          </c:xVal>
          <c:yVal>
            <c:numRef>
              <c:f>Skip!$BX$5:$BX$64</c:f>
              <c:numCache>
                <c:formatCode>0.0</c:formatCode>
                <c:ptCount val="60"/>
                <c:pt idx="0">
                  <c:v>47830.5</c:v>
                </c:pt>
                <c:pt idx="1">
                  <c:v>46838</c:v>
                </c:pt>
                <c:pt idx="2">
                  <c:v>51495.7</c:v>
                </c:pt>
                <c:pt idx="3">
                  <c:v>48080.800000000003</c:v>
                </c:pt>
                <c:pt idx="4">
                  <c:v>45877.599999999999</c:v>
                </c:pt>
                <c:pt idx="5">
                  <c:v>42520.5</c:v>
                </c:pt>
                <c:pt idx="6">
                  <c:v>44203.1</c:v>
                </c:pt>
                <c:pt idx="7">
                  <c:v>47222.8</c:v>
                </c:pt>
                <c:pt idx="8">
                  <c:v>46768.7</c:v>
                </c:pt>
                <c:pt idx="9">
                  <c:v>48352.9</c:v>
                </c:pt>
                <c:pt idx="10">
                  <c:v>43861.5</c:v>
                </c:pt>
                <c:pt idx="11">
                  <c:v>40617.4</c:v>
                </c:pt>
                <c:pt idx="12">
                  <c:v>46332.4</c:v>
                </c:pt>
                <c:pt idx="13">
                  <c:v>49157</c:v>
                </c:pt>
                <c:pt idx="14">
                  <c:v>41015.199999999997</c:v>
                </c:pt>
                <c:pt idx="15">
                  <c:v>41515.699999999997</c:v>
                </c:pt>
                <c:pt idx="16">
                  <c:v>37693.599999999999</c:v>
                </c:pt>
                <c:pt idx="17">
                  <c:v>33443.599999999999</c:v>
                </c:pt>
                <c:pt idx="18">
                  <c:v>39625.699999999997</c:v>
                </c:pt>
                <c:pt idx="19">
                  <c:v>41323.5</c:v>
                </c:pt>
                <c:pt idx="20">
                  <c:v>49096.9</c:v>
                </c:pt>
                <c:pt idx="21">
                  <c:v>44976</c:v>
                </c:pt>
                <c:pt idx="22">
                  <c:v>38653.1</c:v>
                </c:pt>
                <c:pt idx="23">
                  <c:v>45161.4</c:v>
                </c:pt>
                <c:pt idx="24">
                  <c:v>44869.2</c:v>
                </c:pt>
                <c:pt idx="25">
                  <c:v>55768.6</c:v>
                </c:pt>
                <c:pt idx="26">
                  <c:v>45789.1</c:v>
                </c:pt>
                <c:pt idx="27">
                  <c:v>43211.7</c:v>
                </c:pt>
                <c:pt idx="28">
                  <c:v>48365.2</c:v>
                </c:pt>
                <c:pt idx="29">
                  <c:v>46196.800000000003</c:v>
                </c:pt>
                <c:pt idx="30">
                  <c:v>45685</c:v>
                </c:pt>
                <c:pt idx="31">
                  <c:v>44121.1</c:v>
                </c:pt>
                <c:pt idx="32">
                  <c:v>52417.3</c:v>
                </c:pt>
                <c:pt idx="33">
                  <c:v>50449.3</c:v>
                </c:pt>
                <c:pt idx="34">
                  <c:v>50469.8</c:v>
                </c:pt>
                <c:pt idx="35">
                  <c:v>47773</c:v>
                </c:pt>
                <c:pt idx="36">
                  <c:v>48786.8</c:v>
                </c:pt>
                <c:pt idx="37">
                  <c:v>60961.4</c:v>
                </c:pt>
                <c:pt idx="38">
                  <c:v>53795.5</c:v>
                </c:pt>
                <c:pt idx="39">
                  <c:v>53081.2</c:v>
                </c:pt>
                <c:pt idx="40">
                  <c:v>76557</c:v>
                </c:pt>
                <c:pt idx="41">
                  <c:v>44705</c:v>
                </c:pt>
                <c:pt idx="42">
                  <c:v>52704.9</c:v>
                </c:pt>
                <c:pt idx="43">
                  <c:v>50232.2</c:v>
                </c:pt>
                <c:pt idx="44">
                  <c:v>63230.5</c:v>
                </c:pt>
                <c:pt idx="45">
                  <c:v>45688.3</c:v>
                </c:pt>
                <c:pt idx="46">
                  <c:v>51508.800000000003</c:v>
                </c:pt>
                <c:pt idx="47">
                  <c:v>45886.400000000001</c:v>
                </c:pt>
                <c:pt idx="48">
                  <c:v>50404.6</c:v>
                </c:pt>
                <c:pt idx="49">
                  <c:v>65051.4</c:v>
                </c:pt>
                <c:pt idx="50">
                  <c:v>52114.1</c:v>
                </c:pt>
                <c:pt idx="51">
                  <c:v>42871.1</c:v>
                </c:pt>
                <c:pt idx="52">
                  <c:v>46755.4</c:v>
                </c:pt>
                <c:pt idx="53">
                  <c:v>46096.2</c:v>
                </c:pt>
                <c:pt idx="54">
                  <c:v>56167.5</c:v>
                </c:pt>
                <c:pt idx="55">
                  <c:v>47267.199999999997</c:v>
                </c:pt>
                <c:pt idx="56">
                  <c:v>52949.1</c:v>
                </c:pt>
                <c:pt idx="57">
                  <c:v>46495.1</c:v>
                </c:pt>
                <c:pt idx="58">
                  <c:v>46768.1</c:v>
                </c:pt>
                <c:pt idx="59">
                  <c:v>44056.6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70-4373-9101-D3EE834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985695"/>
        <c:axId val="1060000335"/>
      </c:scatterChart>
      <c:valAx>
        <c:axId val="1183985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0000335"/>
        <c:crosses val="autoZero"/>
        <c:crossBetween val="midCat"/>
      </c:valAx>
      <c:valAx>
        <c:axId val="106000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83985695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Skip!$R$9:$R$20</c15:sqref>
                  </c15:fullRef>
                </c:ext>
              </c:extLst>
              <c:f>(Skip!$R$13,Skip!$R$16,Skip!$R$18,Skip!$R$20)</c:f>
              <c:numCache>
                <c:formatCode>#,##0</c:formatCode>
                <c:ptCount val="4"/>
                <c:pt idx="0">
                  <c:v>113</c:v>
                </c:pt>
                <c:pt idx="1">
                  <c:v>48</c:v>
                </c:pt>
                <c:pt idx="2">
                  <c:v>513</c:v>
                </c:pt>
                <c:pt idx="3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B-43E0-8D8A-84C8D3DE9F4F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Skip!$R$22:$R$33</c15:sqref>
                  </c15:fullRef>
                </c:ext>
              </c:extLst>
              <c:f>(Skip!$R$26,Skip!$R$29,Skip!$R$31,Skip!$R$33)</c:f>
              <c:numCache>
                <c:formatCode>#,##0</c:formatCode>
                <c:ptCount val="4"/>
                <c:pt idx="0">
                  <c:v>122</c:v>
                </c:pt>
                <c:pt idx="1">
                  <c:v>55</c:v>
                </c:pt>
                <c:pt idx="2">
                  <c:v>356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B-43E0-8D8A-84C8D3DE9F4F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Skip!$R$35:$R$46</c15:sqref>
                  </c15:fullRef>
                </c:ext>
              </c:extLst>
              <c:f>(Skip!$R$39,Skip!$R$42,Skip!$R$44,Skip!$R$46)</c:f>
              <c:numCache>
                <c:formatCode>#,##0</c:formatCode>
                <c:ptCount val="4"/>
                <c:pt idx="0">
                  <c:v>123</c:v>
                </c:pt>
                <c:pt idx="1">
                  <c:v>66</c:v>
                </c:pt>
                <c:pt idx="2">
                  <c:v>368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3E0-8D8A-84C8D3DE9F4F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Skip!$R$48:$R$59</c15:sqref>
                  </c15:fullRef>
                </c:ext>
              </c:extLst>
              <c:f>(Skip!$R$52,Skip!$R$55,Skip!$R$57,Skip!$R$59)</c:f>
              <c:numCache>
                <c:formatCode>#,##0</c:formatCode>
                <c:ptCount val="4"/>
                <c:pt idx="0">
                  <c:v>143</c:v>
                </c:pt>
                <c:pt idx="1">
                  <c:v>66</c:v>
                </c:pt>
                <c:pt idx="2">
                  <c:v>294</c:v>
                </c:pt>
                <c:pt idx="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B-43E0-8D8A-84C8D3DE9F4F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Skip!$R$61:$R$72</c15:sqref>
                  </c15:fullRef>
                </c:ext>
              </c:extLst>
              <c:f>(Skip!$R$65,Skip!$R$68,Skip!$R$70,Skip!$R$72)</c:f>
              <c:numCache>
                <c:formatCode>#,##0</c:formatCode>
                <c:ptCount val="4"/>
                <c:pt idx="0">
                  <c:v>153</c:v>
                </c:pt>
                <c:pt idx="1">
                  <c:v>6</c:v>
                </c:pt>
                <c:pt idx="2">
                  <c:v>240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B-43E0-8D8A-84C8D3DE9F4F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Skip!$R$74:$R$85</c15:sqref>
                  </c15:fullRef>
                </c:ext>
              </c:extLst>
              <c:f>(Skip!$R$78,Skip!$R$81,Skip!$R$83,Skip!$R$85)</c:f>
              <c:numCache>
                <c:formatCode>#,##0</c:formatCode>
                <c:ptCount val="4"/>
                <c:pt idx="0">
                  <c:v>161</c:v>
                </c:pt>
                <c:pt idx="1">
                  <c:v>25</c:v>
                </c:pt>
                <c:pt idx="2">
                  <c:v>319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5-4CE6-A286-38444BB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Skip!$P$9:$P$20</c15:sqref>
                  </c15:fullRef>
                </c:ext>
              </c:extLst>
              <c:f>(Skip!$P$13,Skip!$P$16,Skip!$P$18:$P$20)</c:f>
              <c:numCache>
                <c:formatCode>#,##0</c:formatCode>
                <c:ptCount val="5"/>
                <c:pt idx="0">
                  <c:v>1152.226103</c:v>
                </c:pt>
                <c:pt idx="1">
                  <c:v>1457.8159599999999</c:v>
                </c:pt>
                <c:pt idx="2">
                  <c:v>6211.4049999999997</c:v>
                </c:pt>
                <c:pt idx="3">
                  <c:v>4283.5609999999997</c:v>
                </c:pt>
                <c:pt idx="4">
                  <c:v>1178.4461800000001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A-42F4-B81A-6DD957BF0B1E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Skip!$P$22:$P$33</c15:sqref>
                  </c15:fullRef>
                </c:ext>
              </c:extLst>
              <c:f>(Skip!$P$26,Skip!$P$29,Skip!$P$31:$P$33)</c:f>
              <c:numCache>
                <c:formatCode>#,##0</c:formatCode>
                <c:ptCount val="5"/>
                <c:pt idx="0">
                  <c:v>1079.9075969999999</c:v>
                </c:pt>
                <c:pt idx="1">
                  <c:v>1129.7352000000001</c:v>
                </c:pt>
                <c:pt idx="2">
                  <c:v>5805.1783999999998</c:v>
                </c:pt>
                <c:pt idx="3">
                  <c:v>846.87019999999995</c:v>
                </c:pt>
                <c:pt idx="4">
                  <c:v>1179.7946000000002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A-42F4-B81A-6DD957BF0B1E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Skip!$P$35:$P$46</c15:sqref>
                  </c15:fullRef>
                </c:ext>
              </c:extLst>
              <c:f>(Skip!$P$39,Skip!$P$42,Skip!$P$44:$P$46)</c:f>
              <c:numCache>
                <c:formatCode>#,##0</c:formatCode>
                <c:ptCount val="5"/>
                <c:pt idx="0">
                  <c:v>1068.4290959999998</c:v>
                </c:pt>
                <c:pt idx="1">
                  <c:v>2056.6404200000002</c:v>
                </c:pt>
                <c:pt idx="2">
                  <c:v>7564.3499999999995</c:v>
                </c:pt>
                <c:pt idx="3">
                  <c:v>820.54463999999996</c:v>
                </c:pt>
                <c:pt idx="4">
                  <c:v>1299.8464999999999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A-42F4-B81A-6DD957BF0B1E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Skip!$P$48:$P$59</c15:sqref>
                  </c15:fullRef>
                </c:ext>
              </c:extLst>
              <c:f>(Skip!$P$52,Skip!$P$55,Skip!$P$57:$P$59)</c:f>
              <c:numCache>
                <c:formatCode>#,##0</c:formatCode>
                <c:ptCount val="5"/>
                <c:pt idx="0">
                  <c:v>1830.6551888000001</c:v>
                </c:pt>
                <c:pt idx="1">
                  <c:v>2269.7289260000002</c:v>
                </c:pt>
                <c:pt idx="2">
                  <c:v>8151.4780000000001</c:v>
                </c:pt>
                <c:pt idx="3">
                  <c:v>894.36400000000003</c:v>
                </c:pt>
                <c:pt idx="4">
                  <c:v>1067.47156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FA-42F4-B81A-6DD957BF0B1E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Skip!$P$61:$P$72</c15:sqref>
                  </c15:fullRef>
                </c:ext>
              </c:extLst>
              <c:f>(Skip!$P$65,Skip!$P$68,Skip!$P$70:$P$72)</c:f>
              <c:numCache>
                <c:formatCode>#,##0</c:formatCode>
                <c:ptCount val="5"/>
                <c:pt idx="0">
                  <c:v>1323.5758699999999</c:v>
                </c:pt>
                <c:pt idx="1">
                  <c:v>553.44195999999999</c:v>
                </c:pt>
                <c:pt idx="2">
                  <c:v>8868.3269999999993</c:v>
                </c:pt>
                <c:pt idx="3">
                  <c:v>350.09008</c:v>
                </c:pt>
                <c:pt idx="4">
                  <c:v>682.5012999999999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FA-42F4-B81A-6DD957BF0B1E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Skip!$P$74:$P$85</c15:sqref>
                  </c15:fullRef>
                </c:ext>
              </c:extLst>
              <c:f>(Skip!$P$78,Skip!$P$81,Skip!$P$83:$P$85)</c:f>
              <c:numCache>
                <c:formatCode>#,##0</c:formatCode>
                <c:ptCount val="5"/>
                <c:pt idx="0">
                  <c:v>1310.0999999999999</c:v>
                </c:pt>
                <c:pt idx="1">
                  <c:v>1950</c:v>
                </c:pt>
                <c:pt idx="2">
                  <c:v>6160</c:v>
                </c:pt>
                <c:pt idx="3">
                  <c:v>542</c:v>
                </c:pt>
                <c:pt idx="4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3-495E-92BC-95077561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3331287844683683E-2"/>
          <c:h val="0.5081227885850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Skip!$AG$9:$AG$20</c15:sqref>
                  </c15:fullRef>
                </c:ext>
              </c:extLst>
              <c:f>(Skip!$AG$13,Skip!$AG$16,Skip!$AG$18:$AG$20)</c:f>
              <c:numCache>
                <c:formatCode>#,##0</c:formatCode>
                <c:ptCount val="5"/>
                <c:pt idx="0">
                  <c:v>11406.129335000001</c:v>
                </c:pt>
                <c:pt idx="1">
                  <c:v>14084.51296</c:v>
                </c:pt>
                <c:pt idx="2">
                  <c:v>8275.8826000000008</c:v>
                </c:pt>
                <c:pt idx="3">
                  <c:v>4283.5609999999997</c:v>
                </c:pt>
                <c:pt idx="4">
                  <c:v>1967.3286800000001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5-403A-A177-DEA09BEA399D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Skip!$AG$22:$AG$33</c15:sqref>
                  </c15:fullRef>
                </c:ext>
              </c:extLst>
              <c:f>(Skip!$AG$26,Skip!$AG$29,Skip!$AG$31:$AG$33)</c:f>
              <c:numCache>
                <c:formatCode>#,##0</c:formatCode>
                <c:ptCount val="5"/>
                <c:pt idx="0">
                  <c:v>13624.686374999999</c:v>
                </c:pt>
                <c:pt idx="1">
                  <c:v>11740.4612</c:v>
                </c:pt>
                <c:pt idx="2">
                  <c:v>7908.3365999999996</c:v>
                </c:pt>
                <c:pt idx="3">
                  <c:v>846.87019999999995</c:v>
                </c:pt>
                <c:pt idx="4">
                  <c:v>1832.02028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5-403A-A177-DEA09BEA399D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Skip!$AG$35:$AG$46</c15:sqref>
                  </c15:fullRef>
                </c:ext>
              </c:extLst>
              <c:f>(Skip!$AG$39,Skip!$AG$42,Skip!$AG$44:$AG$46)</c:f>
              <c:numCache>
                <c:formatCode>#,##0</c:formatCode>
                <c:ptCount val="5"/>
                <c:pt idx="0">
                  <c:v>14525.874195999999</c:v>
                </c:pt>
                <c:pt idx="1">
                  <c:v>14498.507973</c:v>
                </c:pt>
                <c:pt idx="2">
                  <c:v>9556.3616000000002</c:v>
                </c:pt>
                <c:pt idx="3">
                  <c:v>820.54463999999996</c:v>
                </c:pt>
                <c:pt idx="4">
                  <c:v>2125.73396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5-403A-A177-DEA09BEA399D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Skip!$AG$48:$AG$59</c15:sqref>
                  </c15:fullRef>
                </c:ext>
              </c:extLst>
              <c:f>(Skip!$AG$52,Skip!$AG$55,Skip!$AG$57:$AG$59)</c:f>
              <c:numCache>
                <c:formatCode>#,##0</c:formatCode>
                <c:ptCount val="5"/>
                <c:pt idx="0">
                  <c:v>19691.6813688</c:v>
                </c:pt>
                <c:pt idx="1">
                  <c:v>19236.403826000002</c:v>
                </c:pt>
                <c:pt idx="2">
                  <c:v>10032.291499999999</c:v>
                </c:pt>
                <c:pt idx="3">
                  <c:v>894.36400000000003</c:v>
                </c:pt>
                <c:pt idx="4">
                  <c:v>1219.0111100000001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5-403A-A177-DEA09BEA399D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Skip!$AG$61:$AG$72</c15:sqref>
                  </c15:fullRef>
                </c:ext>
              </c:extLst>
              <c:f>(Skip!$AG$65,Skip!$AG$68,Skip!$AG$70:$AG$72)</c:f>
              <c:numCache>
                <c:formatCode>#,##0</c:formatCode>
                <c:ptCount val="5"/>
                <c:pt idx="0">
                  <c:v>21826.272494000001</c:v>
                </c:pt>
                <c:pt idx="1">
                  <c:v>874.11160200000006</c:v>
                </c:pt>
                <c:pt idx="2">
                  <c:v>13660.6332</c:v>
                </c:pt>
                <c:pt idx="3">
                  <c:v>350.09008</c:v>
                </c:pt>
                <c:pt idx="4">
                  <c:v>861.18843000000004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C5-403A-A177-DEA09BEA399D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Skip!$AG$74:$AG$85</c15:sqref>
                  </c15:fullRef>
                </c:ext>
              </c:extLst>
              <c:f>(Skip!$AG$78,Skip!$AG$81,Skip!$AG$83:$AG$85)</c:f>
              <c:numCache>
                <c:formatCode>#,##0</c:formatCode>
                <c:ptCount val="5"/>
                <c:pt idx="0">
                  <c:v>17308.099999999999</c:v>
                </c:pt>
                <c:pt idx="1">
                  <c:v>6830</c:v>
                </c:pt>
                <c:pt idx="2">
                  <c:v>9880</c:v>
                </c:pt>
                <c:pt idx="3">
                  <c:v>542</c:v>
                </c:pt>
                <c:pt idx="4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AC4-9EC8-A972232B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345566098357104E-2"/>
          <c:h val="0.467953555565138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Skip!$AI$9:$AI$20</c15:sqref>
                  </c15:fullRef>
                </c:ext>
              </c:extLst>
              <c:f>(Skip!$AI$13,Skip!$AI$16,Skip!$AI$18,Skip!$AI$20)</c:f>
              <c:numCache>
                <c:formatCode>#,##0</c:formatCode>
                <c:ptCount val="4"/>
                <c:pt idx="0">
                  <c:v>499</c:v>
                </c:pt>
                <c:pt idx="1">
                  <c:v>110</c:v>
                </c:pt>
                <c:pt idx="2">
                  <c:v>583</c:v>
                </c:pt>
                <c:pt idx="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14-4D49-BD6C-6E3C80B0D331}"/>
            </c:ext>
          </c:extLst>
        </c:ser>
        <c:ser>
          <c:idx val="7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Skip!$AI$22:$AI$33</c15:sqref>
                  </c15:fullRef>
                </c:ext>
              </c:extLst>
              <c:f>(Skip!$AI$26,Skip!$AI$29,Skip!$AI$31,Skip!$AI$33)</c:f>
              <c:numCache>
                <c:formatCode>#,##0</c:formatCode>
                <c:ptCount val="4"/>
                <c:pt idx="0">
                  <c:v>582</c:v>
                </c:pt>
                <c:pt idx="1">
                  <c:v>135</c:v>
                </c:pt>
                <c:pt idx="2">
                  <c:v>468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114-4D49-BD6C-6E3C80B0D331}"/>
            </c:ext>
          </c:extLst>
        </c:ser>
        <c:ser>
          <c:idx val="8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Skip!$AI$35:$AI$46</c15:sqref>
                  </c15:fullRef>
                </c:ext>
              </c:extLst>
              <c:f>(Skip!$AI$39,Skip!$AI$42,Skip!$AI$44,Skip!$AI$46)</c:f>
              <c:numCache>
                <c:formatCode>#,##0</c:formatCode>
                <c:ptCount val="4"/>
                <c:pt idx="0">
                  <c:v>558</c:v>
                </c:pt>
                <c:pt idx="1">
                  <c:v>150</c:v>
                </c:pt>
                <c:pt idx="2">
                  <c:v>446</c:v>
                </c:pt>
                <c:pt idx="3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14-4D49-BD6C-6E3C80B0D331}"/>
            </c:ext>
          </c:extLst>
        </c:ser>
        <c:ser>
          <c:idx val="9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Skip!$AI$48:$AI$59</c15:sqref>
                  </c15:fullRef>
                </c:ext>
              </c:extLst>
              <c:f>(Skip!$AI$52,Skip!$AI$55,Skip!$AI$57,Skip!$AI$59)</c:f>
              <c:numCache>
                <c:formatCode>#,##0</c:formatCode>
                <c:ptCount val="4"/>
                <c:pt idx="0">
                  <c:v>620</c:v>
                </c:pt>
                <c:pt idx="1">
                  <c:v>175</c:v>
                </c:pt>
                <c:pt idx="2">
                  <c:v>336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14-4D49-BD6C-6E3C80B0D331}"/>
            </c:ext>
          </c:extLst>
        </c:ser>
        <c:ser>
          <c:idx val="10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Skip!$AI$61:$AI$72</c15:sqref>
                  </c15:fullRef>
                </c:ext>
              </c:extLst>
              <c:f>(Skip!$AI$65,Skip!$AI$68,Skip!$AI$70,Skip!$AI$72)</c:f>
              <c:numCache>
                <c:formatCode>#,##0</c:formatCode>
                <c:ptCount val="4"/>
                <c:pt idx="0">
                  <c:v>522</c:v>
                </c:pt>
                <c:pt idx="1">
                  <c:v>8</c:v>
                </c:pt>
                <c:pt idx="2">
                  <c:v>293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14-4D49-BD6C-6E3C80B0D331}"/>
            </c:ext>
          </c:extLst>
        </c:ser>
        <c:ser>
          <c:idx val="11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Skip!$AI$74:$AI$85</c15:sqref>
                  </c15:fullRef>
                </c:ext>
              </c:extLst>
              <c:f>(Skip!$AI$78,Skip!$AI$81,Skip!$AI$83,Skip!$AI$85)</c:f>
              <c:numCache>
                <c:formatCode>#,##0</c:formatCode>
                <c:ptCount val="4"/>
                <c:pt idx="0">
                  <c:v>563</c:v>
                </c:pt>
                <c:pt idx="1">
                  <c:v>59</c:v>
                </c:pt>
                <c:pt idx="2">
                  <c:v>393</c:v>
                </c:pt>
                <c:pt idx="3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14-4D49-BD6C-6E3C80B0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  <c:extLst>
          <c:ext xmlns:c15="http://schemas.microsoft.com/office/drawing/2012/chart" uri="{02D57815-91ED-43cb-92C2-25804820EDAC}">
            <c15:filteredBarSeries>
              <c15:ser>
                <c:idx val="0"/>
                <c:order val="6"/>
                <c:tx>
                  <c:strRef>
                    <c:extLst>
                      <c:ext uri="{02D57815-91ED-43cb-92C2-25804820EDAC}">
                        <c15:formulaRef>
                          <c15:sqref>Skip!$A$9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/>
                        </c15:formulaRef>
                      </c:ext>
                    </c:extLst>
                    <c:strCache>
                      <c:ptCount val="0"/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(Skip!$AI$13,Skip!$AI$16,Skip!$AI$18,Skip!$AI$20)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114-4D49-BD6C-6E3C80B0D331}"/>
                  </c:ext>
                </c:extLst>
              </c15:ser>
            </c15:filteredBarSeries>
            <c15:filteredBarSeries>
              <c15:ser>
                <c:idx val="1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Skip!$A$22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/>
                        </c15:formulaRef>
                      </c:ext>
                    </c:extLst>
                    <c:strCache>
                      <c:ptCount val="0"/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(Skip!$AI$26,Skip!$AI$29,Skip!$AI$31,Skip!$AI$33)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14-4D49-BD6C-6E3C80B0D331}"/>
                  </c:ext>
                </c:extLst>
              </c15:ser>
            </c15:filteredBarSeries>
            <c15:filteredBarSeries>
              <c15:ser>
                <c:idx val="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Skip!$A$35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/>
                        </c15:formulaRef>
                      </c:ext>
                    </c:extLst>
                    <c:strCache>
                      <c:ptCount val="0"/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(Skip!$AI$39,Skip!$AI$42,Skip!$AI$44,Skip!$AI$46)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114-4D49-BD6C-6E3C80B0D331}"/>
                  </c:ext>
                </c:extLst>
              </c15:ser>
            </c15:filteredBarSeries>
            <c15:filteredBarSeries>
              <c15:ser>
                <c:idx val="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Skip!$A$48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/>
                        </c15:formulaRef>
                      </c:ext>
                    </c:extLst>
                    <c:strCache>
                      <c:ptCount val="0"/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(Skip!$AI$52,Skip!$AI$55,Skip!$AI$57,Skip!$AI$59)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114-4D49-BD6C-6E3C80B0D331}"/>
                  </c:ext>
                </c:extLst>
              </c15:ser>
            </c15:filteredBarSeries>
            <c15:filteredBarSeries>
              <c15:ser>
                <c:idx val="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(Skip!$AI$65,Skip!$AI$68,Skip!$AI$70,Skip!$AI$72)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114-4D49-BD6C-6E3C80B0D331}"/>
                  </c:ext>
                </c:extLst>
              </c15:ser>
            </c15:filteredBarSeries>
            <c15:filteredBarSeries>
              <c15:ser>
                <c:idx val="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Skip!$A$74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(Skip!$AI$78,Skip!$AI$81,Skip!$AI$83,Skip!$AI$85)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#,##0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114-4D49-BD6C-6E3C80B0D331}"/>
                  </c:ext>
                </c:extLst>
              </c15:ser>
            </c15:filteredBarSeries>
          </c:ext>
        </c:extLst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Skip!$AN$30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Skip!$AP$32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Skip!$AP$33:$AP$38</c:f>
              <c:numCache>
                <c:formatCode>0.0%</c:formatCode>
                <c:ptCount val="6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  <c:pt idx="4">
                  <c:v>6.8136475758618289</c:v>
                </c:pt>
                <c:pt idx="5">
                  <c:v>2.2562225475841875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8F-4DC4-85AB-B83893BBE215}"/>
            </c:ext>
          </c:extLst>
        </c:ser>
        <c:ser>
          <c:idx val="3"/>
          <c:order val="1"/>
          <c:tx>
            <c:strRef>
              <c:f>Skip!$AO$32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Skip!$AO$33:$AO$38</c:f>
              <c:numCache>
                <c:formatCode>0.0%</c:formatCode>
                <c:ptCount val="6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  <c:pt idx="4">
                  <c:v>-0.20700614341005955</c:v>
                </c:pt>
                <c:pt idx="5">
                  <c:v>1.1260623638643264E-2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8F-4DC4-85AB-B83893BBE215}"/>
            </c:ext>
          </c:extLst>
        </c:ser>
        <c:ser>
          <c:idx val="0"/>
          <c:order val="2"/>
          <c:tx>
            <c:strRef>
              <c:f>Skip!$AQ$32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Skip!$AQ$33:$AQ$38</c:f>
              <c:numCache>
                <c:formatCode>0.0%</c:formatCode>
                <c:ptCount val="6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  <c:pt idx="4">
                  <c:v>6.3334430726805835E-2</c:v>
                </c:pt>
                <c:pt idx="5">
                  <c:v>0.64648418889639214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8F-4DC4-85AB-B83893BBE215}"/>
            </c:ext>
          </c:extLst>
        </c:ser>
        <c:ser>
          <c:idx val="1"/>
          <c:order val="3"/>
          <c:tx>
            <c:strRef>
              <c:f>Skip!$AR$32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Skip!$AR$33:$AR$38</c:f>
              <c:numCache>
                <c:formatCode>0.0%</c:formatCode>
                <c:ptCount val="6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  <c:pt idx="4">
                  <c:v>-5.3555306185965657E-2</c:v>
                </c:pt>
                <c:pt idx="5">
                  <c:v>0.47870787764938799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8F-4DC4-85AB-B83893BB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2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(Skip!$B$48:$B$51,Skip!$B$53:$B$54,Skip!$B$57:$B$59)</c:f>
              <c:strCache>
                <c:ptCount val="9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RoRo og ferjur</c:v>
                </c:pt>
                <c:pt idx="5">
                  <c:v>Skemmtiferðaskip</c:v>
                </c:pt>
                <c:pt idx="6">
                  <c:v>Fiskiskip</c:v>
                </c:pt>
                <c:pt idx="7">
                  <c:v>Hvalaskoðunarskip</c:v>
                </c:pt>
                <c:pt idx="8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Skip!$AI$9:$AI$20</c15:sqref>
                  </c15:fullRef>
                </c:ext>
              </c:extLst>
              <c:f>(Skip!$AI$9:$AI$12,Skip!$AI$14:$AI$15,Skip!$AI$18:$AI$20)</c:f>
              <c:numCache>
                <c:formatCode>#,##0</c:formatCode>
                <c:ptCount val="9"/>
                <c:pt idx="0">
                  <c:v>3</c:v>
                </c:pt>
                <c:pt idx="1">
                  <c:v>237</c:v>
                </c:pt>
                <c:pt idx="2">
                  <c:v>147</c:v>
                </c:pt>
                <c:pt idx="3">
                  <c:v>112</c:v>
                </c:pt>
                <c:pt idx="4">
                  <c:v>8</c:v>
                </c:pt>
                <c:pt idx="5">
                  <c:v>102</c:v>
                </c:pt>
                <c:pt idx="6">
                  <c:v>583</c:v>
                </c:pt>
                <c:pt idx="7">
                  <c:v>5607</c:v>
                </c:pt>
                <c:pt idx="8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8-44A2-BEFA-A0166DC6DF2B}"/>
            </c:ext>
          </c:extLst>
        </c:ser>
        <c:ser>
          <c:idx val="7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(Skip!$B$48:$B$51,Skip!$B$53:$B$54,Skip!$B$57:$B$59)</c:f>
              <c:strCache>
                <c:ptCount val="9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RoRo og ferjur</c:v>
                </c:pt>
                <c:pt idx="5">
                  <c:v>Skemmtiferðaskip</c:v>
                </c:pt>
                <c:pt idx="6">
                  <c:v>Fiskiskip</c:v>
                </c:pt>
                <c:pt idx="7">
                  <c:v>Hvalaskoðunarskip</c:v>
                </c:pt>
                <c:pt idx="8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Skip!$AI$22:$AI$33</c15:sqref>
                  </c15:fullRef>
                </c:ext>
              </c:extLst>
              <c:f>(Skip!$AI$22:$AI$25,Skip!$AI$27:$AI$28,Skip!$AI$31:$AI$33)</c:f>
              <c:numCache>
                <c:formatCode>#,##0</c:formatCode>
                <c:ptCount val="9"/>
                <c:pt idx="0">
                  <c:v>3</c:v>
                </c:pt>
                <c:pt idx="1">
                  <c:v>284</c:v>
                </c:pt>
                <c:pt idx="2">
                  <c:v>182</c:v>
                </c:pt>
                <c:pt idx="3">
                  <c:v>113</c:v>
                </c:pt>
                <c:pt idx="4">
                  <c:v>6</c:v>
                </c:pt>
                <c:pt idx="5">
                  <c:v>129</c:v>
                </c:pt>
                <c:pt idx="6">
                  <c:v>468</c:v>
                </c:pt>
                <c:pt idx="7">
                  <c:v>5375</c:v>
                </c:pt>
                <c:pt idx="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8-44A2-BEFA-A0166DC6DF2B}"/>
            </c:ext>
          </c:extLst>
        </c:ser>
        <c:ser>
          <c:idx val="8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(Skip!$B$48:$B$51,Skip!$B$53:$B$54,Skip!$B$57:$B$59)</c:f>
              <c:strCache>
                <c:ptCount val="9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RoRo og ferjur</c:v>
                </c:pt>
                <c:pt idx="5">
                  <c:v>Skemmtiferðaskip</c:v>
                </c:pt>
                <c:pt idx="6">
                  <c:v>Fiskiskip</c:v>
                </c:pt>
                <c:pt idx="7">
                  <c:v>Hvalaskoðunarskip</c:v>
                </c:pt>
                <c:pt idx="8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Skip!$AI$35:$AI$46</c15:sqref>
                  </c15:fullRef>
                </c:ext>
              </c:extLst>
              <c:f>(Skip!$AI$35:$AI$38,Skip!$AI$40:$AI$41,Skip!$AI$44:$AI$46)</c:f>
              <c:numCache>
                <c:formatCode>#,##0</c:formatCode>
                <c:ptCount val="9"/>
                <c:pt idx="0">
                  <c:v>2</c:v>
                </c:pt>
                <c:pt idx="1">
                  <c:v>269</c:v>
                </c:pt>
                <c:pt idx="2">
                  <c:v>166</c:v>
                </c:pt>
                <c:pt idx="3">
                  <c:v>121</c:v>
                </c:pt>
                <c:pt idx="4">
                  <c:v>5</c:v>
                </c:pt>
                <c:pt idx="5">
                  <c:v>145</c:v>
                </c:pt>
                <c:pt idx="6">
                  <c:v>446</c:v>
                </c:pt>
                <c:pt idx="7">
                  <c:v>4520</c:v>
                </c:pt>
                <c:pt idx="8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D8-44A2-BEFA-A0166DC6DF2B}"/>
            </c:ext>
          </c:extLst>
        </c:ser>
        <c:ser>
          <c:idx val="9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(Skip!$B$48:$B$51,Skip!$B$53:$B$54,Skip!$B$57:$B$59)</c:f>
              <c:strCache>
                <c:ptCount val="9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RoRo og ferjur</c:v>
                </c:pt>
                <c:pt idx="5">
                  <c:v>Skemmtiferðaskip</c:v>
                </c:pt>
                <c:pt idx="6">
                  <c:v>Fiskiskip</c:v>
                </c:pt>
                <c:pt idx="7">
                  <c:v>Hvalaskoðunarskip</c:v>
                </c:pt>
                <c:pt idx="8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Skip!$AI$48:$AI$59</c15:sqref>
                  </c15:fullRef>
                </c:ext>
              </c:extLst>
              <c:f>(Skip!$AI$48:$AI$51,Skip!$AI$53:$AI$54,Skip!$AI$57:$AI$59)</c:f>
              <c:numCache>
                <c:formatCode>#,##0</c:formatCode>
                <c:ptCount val="9"/>
                <c:pt idx="0">
                  <c:v>14</c:v>
                </c:pt>
                <c:pt idx="1">
                  <c:v>339</c:v>
                </c:pt>
                <c:pt idx="2">
                  <c:v>124</c:v>
                </c:pt>
                <c:pt idx="3">
                  <c:v>143</c:v>
                </c:pt>
                <c:pt idx="4">
                  <c:v>10</c:v>
                </c:pt>
                <c:pt idx="5">
                  <c:v>165</c:v>
                </c:pt>
                <c:pt idx="6">
                  <c:v>336</c:v>
                </c:pt>
                <c:pt idx="7">
                  <c:v>5542</c:v>
                </c:pt>
                <c:pt idx="8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D8-44A2-BEFA-A0166DC6DF2B}"/>
            </c:ext>
          </c:extLst>
        </c:ser>
        <c:ser>
          <c:idx val="10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Lit>
              <c:ptCount val="9"/>
              <c:pt idx="0">
                <c:v>Þurrflutningaskip</c:v>
              </c:pt>
              <c:pt idx="1">
                <c:v>Gámaskip</c:v>
              </c:pt>
              <c:pt idx="2">
                <c:v>Almenn flutningaskip</c:v>
              </c:pt>
              <c:pt idx="3">
                <c:v>Tankskip</c:v>
              </c:pt>
              <c:pt idx="4">
                <c:v>RoRo og ferjur</c:v>
              </c:pt>
              <c:pt idx="5">
                <c:v>Skemmtiferðaskip</c:v>
              </c:pt>
              <c:pt idx="6">
                <c:v>Fiskiskip</c:v>
              </c:pt>
              <c:pt idx="7">
                <c:v>Hvalaskoðunarskip</c:v>
              </c:pt>
              <c:pt idx="8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Skip!$AI$61:$AI$72</c15:sqref>
                  </c15:fullRef>
                </c:ext>
              </c:extLst>
              <c:f>(Skip!$AI$61:$AI$64,Skip!$AI$66:$AI$67,Skip!$AI$70:$AI$72)</c:f>
              <c:numCache>
                <c:formatCode>#,##0</c:formatCode>
                <c:ptCount val="9"/>
                <c:pt idx="0">
                  <c:v>0</c:v>
                </c:pt>
                <c:pt idx="1">
                  <c:v>270</c:v>
                </c:pt>
                <c:pt idx="2">
                  <c:v>100</c:v>
                </c:pt>
                <c:pt idx="3">
                  <c:v>152</c:v>
                </c:pt>
                <c:pt idx="4">
                  <c:v>1</c:v>
                </c:pt>
                <c:pt idx="5">
                  <c:v>7</c:v>
                </c:pt>
                <c:pt idx="6">
                  <c:v>293</c:v>
                </c:pt>
                <c:pt idx="7">
                  <c:v>1773</c:v>
                </c:pt>
                <c:pt idx="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D8-44A2-BEFA-A0166DC6DF2B}"/>
            </c:ext>
          </c:extLst>
        </c:ser>
        <c:ser>
          <c:idx val="11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Lit>
              <c:ptCount val="9"/>
              <c:pt idx="0">
                <c:v>Þurrflutningaskip</c:v>
              </c:pt>
              <c:pt idx="1">
                <c:v>Gámaskip</c:v>
              </c:pt>
              <c:pt idx="2">
                <c:v>Almenn flutningaskip</c:v>
              </c:pt>
              <c:pt idx="3">
                <c:v>Tankskip</c:v>
              </c:pt>
              <c:pt idx="4">
                <c:v>RoRo og ferjur</c:v>
              </c:pt>
              <c:pt idx="5">
                <c:v>Skemmtiferðaskip</c:v>
              </c:pt>
              <c:pt idx="6">
                <c:v>Fiskiskip</c:v>
              </c:pt>
              <c:pt idx="7">
                <c:v>Hvalaskoðunarskip</c:v>
              </c:pt>
              <c:pt idx="8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Skip!$AI$74:$AI$85</c15:sqref>
                  </c15:fullRef>
                </c:ext>
              </c:extLst>
              <c:f>(Skip!$AI$74:$AI$77,Skip!$AI$79:$AI$80,Skip!$AI$83:$AI$85)</c:f>
              <c:numCache>
                <c:formatCode>#,##0</c:formatCode>
                <c:ptCount val="9"/>
                <c:pt idx="0">
                  <c:v>6</c:v>
                </c:pt>
                <c:pt idx="1">
                  <c:v>298</c:v>
                </c:pt>
                <c:pt idx="2">
                  <c:v>109</c:v>
                </c:pt>
                <c:pt idx="3">
                  <c:v>150</c:v>
                </c:pt>
                <c:pt idx="4">
                  <c:v>1</c:v>
                </c:pt>
                <c:pt idx="5">
                  <c:v>58</c:v>
                </c:pt>
                <c:pt idx="6">
                  <c:v>393</c:v>
                </c:pt>
                <c:pt idx="7">
                  <c:v>2383</c:v>
                </c:pt>
                <c:pt idx="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D8-44A2-BEFA-A0166DC6D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  <c:extLst>
          <c:ext xmlns:c15="http://schemas.microsoft.com/office/drawing/2012/chart" uri="{02D57815-91ED-43cb-92C2-25804820EDAC}">
            <c15:filteredBarSeries>
              <c15:ser>
                <c:idx val="0"/>
                <c:order val="6"/>
                <c:tx>
                  <c:strRef>
                    <c:extLst>
                      <c:ext uri="{02D57815-91ED-43cb-92C2-25804820EDAC}">
                        <c15:formulaRef>
                          <c15:sqref>Skip!$A$9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(Skip!$AI$13,Skip!$AI$16,Skip!$AI$18,Skip!$AI$20)</c15:sqref>
                        </c15:fullRef>
                        <c15:formulaRef>
                          <c15:sqref>(Skip!$AI$13,Skip!$AI$16,Skip!$AI$18,Skip!$AI$20)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499</c:v>
                      </c:pt>
                      <c:pt idx="1">
                        <c:v>110</c:v>
                      </c:pt>
                      <c:pt idx="2">
                        <c:v>583</c:v>
                      </c:pt>
                      <c:pt idx="3">
                        <c:v>144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ED8-44A2-BEFA-A0166DC6DF2B}"/>
                  </c:ext>
                </c:extLst>
              </c15:ser>
            </c15:filteredBarSeries>
            <c15:filteredBarSeries>
              <c15:ser>
                <c:idx val="1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Skip!$A$22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(Skip!$AI$26,Skip!$AI$29,Skip!$AI$31,Skip!$AI$33)</c15:sqref>
                        </c15:fullRef>
                        <c15:formulaRef>
                          <c15:sqref>(Skip!$AI$26,Skip!$AI$29,Skip!$AI$31,Skip!$AI$33)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582</c:v>
                      </c:pt>
                      <c:pt idx="1">
                        <c:v>135</c:v>
                      </c:pt>
                      <c:pt idx="2">
                        <c:v>468</c:v>
                      </c:pt>
                      <c:pt idx="3">
                        <c:v>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ED8-44A2-BEFA-A0166DC6DF2B}"/>
                  </c:ext>
                </c:extLst>
              </c15:ser>
            </c15:filteredBarSeries>
            <c15:filteredBarSeries>
              <c15:ser>
                <c:idx val="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Skip!$A$35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(Skip!$AI$39,Skip!$AI$42,Skip!$AI$44,Skip!$AI$46)</c15:sqref>
                        </c15:fullRef>
                        <c15:formulaRef>
                          <c15:sqref>(Skip!$AI$39,Skip!$AI$42,Skip!$AI$44,Skip!$AI$46)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558</c:v>
                      </c:pt>
                      <c:pt idx="1">
                        <c:v>150</c:v>
                      </c:pt>
                      <c:pt idx="2">
                        <c:v>446</c:v>
                      </c:pt>
                      <c:pt idx="3">
                        <c:v>141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ED8-44A2-BEFA-A0166DC6DF2B}"/>
                  </c:ext>
                </c:extLst>
              </c15:ser>
            </c15:filteredBarSeries>
            <c15:filteredBarSeries>
              <c15:ser>
                <c:idx val="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Skip!$A$48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(Skip!$B$52,Skip!$B$55,Skip!$B$57,Skip!$B$59)</c15:sqref>
                        </c15:fullRef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(Skip!$AI$52,Skip!$AI$55,Skip!$AI$57,Skip!$AI$59)</c15:sqref>
                        </c15:fullRef>
                        <c15:formulaRef>
                          <c15:sqref>(Skip!$AI$52,Skip!$AI$55,Skip!$AI$57,Skip!$AI$59)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620</c:v>
                      </c:pt>
                      <c:pt idx="1">
                        <c:v>175</c:v>
                      </c:pt>
                      <c:pt idx="2">
                        <c:v>336</c:v>
                      </c:pt>
                      <c:pt idx="3">
                        <c:v>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ED8-44A2-BEFA-A0166DC6DF2B}"/>
                  </c:ext>
                </c:extLst>
              </c15:ser>
            </c15:filteredBarSeries>
            <c15:filteredBarSeries>
              <c15:ser>
                <c:idx val="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(Skip!$AI$65,Skip!$AI$68,Skip!$AI$70,Skip!$AI$72)</c15:sqref>
                        </c15:fullRef>
                        <c15:formulaRef>
                          <c15:sqref>(Skip!$AI$65,Skip!$AI$68,Skip!$AI$70,Skip!$AI$72)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522</c:v>
                      </c:pt>
                      <c:pt idx="1">
                        <c:v>8</c:v>
                      </c:pt>
                      <c:pt idx="2">
                        <c:v>293</c:v>
                      </c:pt>
                      <c:pt idx="3">
                        <c:v>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ED8-44A2-BEFA-A0166DC6DF2B}"/>
                  </c:ext>
                </c:extLst>
              </c15:ser>
            </c15:filteredBarSeries>
            <c15:filteredBarSeries>
              <c15:ser>
                <c:idx val="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Skip!$A$74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(Skip!$AI$78,Skip!$AI$81,Skip!$AI$83,Skip!$AI$85)</c15:sqref>
                        </c15:fullRef>
                        <c15:formulaRef>
                          <c15:sqref>(Skip!$AI$78,Skip!$AI$81,Skip!$AI$83,Skip!$AI$85)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563</c:v>
                      </c:pt>
                      <c:pt idx="1">
                        <c:v>59</c:v>
                      </c:pt>
                      <c:pt idx="2">
                        <c:v>393</c:v>
                      </c:pt>
                      <c:pt idx="3">
                        <c:v>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ED8-44A2-BEFA-A0166DC6DF2B}"/>
                  </c:ext>
                </c:extLst>
              </c15:ser>
            </c15:filteredBarSeries>
          </c:ext>
        </c:extLst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Flug!$V$7:$V$13</c:f>
              <c:numCache>
                <c:formatCode>#,##0</c:formatCode>
                <c:ptCount val="7"/>
                <c:pt idx="0">
                  <c:v>417309</c:v>
                </c:pt>
                <c:pt idx="1">
                  <c:v>425515</c:v>
                </c:pt>
                <c:pt idx="2">
                  <c:v>394445</c:v>
                </c:pt>
                <c:pt idx="3">
                  <c:v>356428</c:v>
                </c:pt>
                <c:pt idx="4">
                  <c:v>164214</c:v>
                </c:pt>
                <c:pt idx="5">
                  <c:v>296812</c:v>
                </c:pt>
                <c:pt idx="6">
                  <c:v>348813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Flug!$W$7:$W$13</c:f>
              <c:numCache>
                <c:formatCode>#,##0</c:formatCode>
                <c:ptCount val="7"/>
                <c:pt idx="0">
                  <c:v>63732</c:v>
                </c:pt>
                <c:pt idx="1">
                  <c:v>64656</c:v>
                </c:pt>
                <c:pt idx="2">
                  <c:v>61220</c:v>
                </c:pt>
                <c:pt idx="3">
                  <c:v>62658</c:v>
                </c:pt>
                <c:pt idx="4">
                  <c:v>40561</c:v>
                </c:pt>
                <c:pt idx="5">
                  <c:v>50616</c:v>
                </c:pt>
                <c:pt idx="6">
                  <c:v>42731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Flug!$V$17:$V$22</c:f>
              <c:numCache>
                <c:formatCode>0.0%</c:formatCode>
                <c:ptCount val="6"/>
                <c:pt idx="0">
                  <c:v>1.9664085845260946E-2</c:v>
                </c:pt>
                <c:pt idx="1">
                  <c:v>-7.3017402441747065E-2</c:v>
                </c:pt>
                <c:pt idx="2">
                  <c:v>-9.638099101268871E-2</c:v>
                </c:pt>
                <c:pt idx="3">
                  <c:v>-0.53927862008596406</c:v>
                </c:pt>
                <c:pt idx="4">
                  <c:v>0.80747073940102554</c:v>
                </c:pt>
                <c:pt idx="5">
                  <c:v>0.17519844211150493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Flug!$U$17:$U$20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Flug!$W$17:$W$20</c:f>
              <c:numCache>
                <c:formatCode>0.0%</c:formatCode>
                <c:ptCount val="4"/>
                <c:pt idx="0">
                  <c:v>1.4498211259649783E-2</c:v>
                </c:pt>
                <c:pt idx="1">
                  <c:v>-5.314278643900025E-2</c:v>
                </c:pt>
                <c:pt idx="2">
                  <c:v>2.3489055864096699E-2</c:v>
                </c:pt>
                <c:pt idx="3">
                  <c:v>-0.35266047432091674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15000000000000002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Mælaborð!$D$10:$F$10</c:f>
              <c:strCache>
                <c:ptCount val="3"/>
                <c:pt idx="0">
                  <c:v>Umfang 1</c:v>
                </c:pt>
                <c:pt idx="1">
                  <c:v>Umfang 2</c:v>
                </c:pt>
                <c:pt idx="2">
                  <c:v>Umfang 3</c:v>
                </c:pt>
              </c:strCache>
            </c:strRef>
          </c:cat>
          <c:val>
            <c:numRef>
              <c:f>Mælaborð!$D$34:$F$34</c:f>
              <c:numCache>
                <c:formatCode>0</c:formatCode>
                <c:ptCount val="3"/>
                <c:pt idx="0">
                  <c:v>539251.6332797067</c:v>
                </c:pt>
                <c:pt idx="1">
                  <c:v>25309.562992000006</c:v>
                </c:pt>
                <c:pt idx="2">
                  <c:v>78135.673626459771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2-41A2-A5BD-5FF2A07A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5119551"/>
        <c:axId val="946072575"/>
      </c:barChart>
      <c:catAx>
        <c:axId val="1805119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6072575"/>
        <c:crosses val="autoZero"/>
        <c:auto val="1"/>
        <c:lblAlgn val="ctr"/>
        <c:lblOffset val="100"/>
        <c:noMultiLvlLbl val="0"/>
      </c:catAx>
      <c:valAx>
        <c:axId val="94607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rgbClr val="000000">
                        <a:lumMod val="65000"/>
                        <a:lumOff val="35000"/>
                      </a:srgbClr>
                    </a:solidFill>
                  </a:defRPr>
                </a:pPr>
                <a:endParaRPr lang="is-IS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1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Flug!$P$89:$P$100</c:f>
              <c:numCache>
                <c:formatCode>0.0%</c:formatCode>
                <c:ptCount val="12"/>
                <c:pt idx="0">
                  <c:v>7.2158967292769605E-2</c:v>
                </c:pt>
                <c:pt idx="1">
                  <c:v>0.12324210387642855</c:v>
                </c:pt>
                <c:pt idx="2">
                  <c:v>0.20780829188700387</c:v>
                </c:pt>
                <c:pt idx="3">
                  <c:v>0.31592573415193431</c:v>
                </c:pt>
                <c:pt idx="4">
                  <c:v>0.31726542367742916</c:v>
                </c:pt>
                <c:pt idx="5">
                  <c:v>0.25722943581890162</c:v>
                </c:pt>
                <c:pt idx="6">
                  <c:v>0.20778749570331895</c:v>
                </c:pt>
                <c:pt idx="7">
                  <c:v>0.22131734383390012</c:v>
                </c:pt>
                <c:pt idx="8">
                  <c:v>0.21533657214288004</c:v>
                </c:pt>
                <c:pt idx="9">
                  <c:v>0.18613707165109034</c:v>
                </c:pt>
                <c:pt idx="10">
                  <c:v>0.18465790838122639</c:v>
                </c:pt>
                <c:pt idx="11">
                  <c:v>0.17519844211150493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9F-42B3-84BD-9A2E899813FE}"/>
            </c:ext>
          </c:extLst>
        </c:ser>
        <c:ser>
          <c:idx val="1"/>
          <c:order val="1"/>
          <c:tx>
            <c:strRef>
              <c:f>Flug!$Q$9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Flug!$Q$89:$Q$100</c:f>
              <c:numCache>
                <c:formatCode>0.0%</c:formatCode>
                <c:ptCount val="12"/>
                <c:pt idx="0">
                  <c:v>-0.24252355591970504</c:v>
                </c:pt>
                <c:pt idx="1">
                  <c:v>-0.15402476780185759</c:v>
                </c:pt>
                <c:pt idx="2">
                  <c:v>-0.28226495726495726</c:v>
                </c:pt>
                <c:pt idx="3">
                  <c:v>-0.26989864625416399</c:v>
                </c:pt>
                <c:pt idx="4">
                  <c:v>-0.37197827071072881</c:v>
                </c:pt>
                <c:pt idx="5">
                  <c:v>-0.35533145484205841</c:v>
                </c:pt>
                <c:pt idx="6">
                  <c:v>-0.31042925278219397</c:v>
                </c:pt>
                <c:pt idx="7">
                  <c:v>-0.23687329456189191</c:v>
                </c:pt>
                <c:pt idx="8">
                  <c:v>-0.18240701527116912</c:v>
                </c:pt>
                <c:pt idx="9">
                  <c:v>-0.16889930788122348</c:v>
                </c:pt>
                <c:pt idx="10">
                  <c:v>-0.16699394192604972</c:v>
                </c:pt>
                <c:pt idx="11">
                  <c:v>-0.15578078078078078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9F-42B3-84BD-9A2E8998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463231"/>
        <c:axId val="1214367119"/>
      </c:scatterChart>
      <c:valAx>
        <c:axId val="1307463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7119"/>
        <c:crosses val="autoZero"/>
        <c:crossBetween val="midCat"/>
      </c:valAx>
      <c:valAx>
        <c:axId val="121436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74632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Flug!$AP$22:$AP$94</c:f>
              <c:numCache>
                <c:formatCode>0.0%</c:formatCode>
                <c:ptCount val="73"/>
                <c:pt idx="0">
                  <c:v>-5.2820589555588805E-2</c:v>
                </c:pt>
                <c:pt idx="1">
                  <c:v>-5.219985085756898E-2</c:v>
                </c:pt>
                <c:pt idx="2">
                  <c:v>0.1015451849539566</c:v>
                </c:pt>
                <c:pt idx="3">
                  <c:v>-4.3893485970260687E-2</c:v>
                </c:pt>
                <c:pt idx="4">
                  <c:v>9.0703823643007817E-2</c:v>
                </c:pt>
                <c:pt idx="5">
                  <c:v>6.3871033568003263E-2</c:v>
                </c:pt>
                <c:pt idx="6">
                  <c:v>-4.6558746736292428E-2</c:v>
                </c:pt>
                <c:pt idx="7">
                  <c:v>1.3588634959851761E-2</c:v>
                </c:pt>
                <c:pt idx="8">
                  <c:v>-2.7555813840863964E-2</c:v>
                </c:pt>
                <c:pt idx="9">
                  <c:v>8.1580662361514303E-2</c:v>
                </c:pt>
                <c:pt idx="10">
                  <c:v>5.0229877170109107E-2</c:v>
                </c:pt>
                <c:pt idx="11">
                  <c:v>9.0789105307363116E-2</c:v>
                </c:pt>
                <c:pt idx="12">
                  <c:v>6.0703001579778829E-2</c:v>
                </c:pt>
                <c:pt idx="13">
                  <c:v>-8.9979257563836637E-2</c:v>
                </c:pt>
                <c:pt idx="14">
                  <c:v>-0.21806279755157559</c:v>
                </c:pt>
                <c:pt idx="15">
                  <c:v>-1.8122661460875225E-2</c:v>
                </c:pt>
                <c:pt idx="16">
                  <c:v>-6.3793854870342129E-2</c:v>
                </c:pt>
                <c:pt idx="17">
                  <c:v>-7.8042581758895183E-2</c:v>
                </c:pt>
                <c:pt idx="18">
                  <c:v>-4.927047276869824E-2</c:v>
                </c:pt>
                <c:pt idx="19">
                  <c:v>-3.6899283447855598E-2</c:v>
                </c:pt>
                <c:pt idx="20">
                  <c:v>-8.2470119521912355E-2</c:v>
                </c:pt>
                <c:pt idx="21">
                  <c:v>-4.4944127957931637E-2</c:v>
                </c:pt>
                <c:pt idx="22">
                  <c:v>-0.12113688337144723</c:v>
                </c:pt>
                <c:pt idx="23">
                  <c:v>-0.13111868881311187</c:v>
                </c:pt>
                <c:pt idx="24">
                  <c:v>-0.12153256134341141</c:v>
                </c:pt>
                <c:pt idx="25">
                  <c:v>-3.0574550027509237E-2</c:v>
                </c:pt>
                <c:pt idx="26">
                  <c:v>0.20291378248106404</c:v>
                </c:pt>
                <c:pt idx="27">
                  <c:v>-0.13440254490025846</c:v>
                </c:pt>
                <c:pt idx="28">
                  <c:v>-9.7556008146639506E-2</c:v>
                </c:pt>
                <c:pt idx="29">
                  <c:v>-0.13777858684627989</c:v>
                </c:pt>
                <c:pt idx="30">
                  <c:v>-0.14761389036108485</c:v>
                </c:pt>
                <c:pt idx="31">
                  <c:v>-0.15543385770078327</c:v>
                </c:pt>
                <c:pt idx="32">
                  <c:v>-0.13365718627876683</c:v>
                </c:pt>
                <c:pt idx="33">
                  <c:v>-0.15456969975050902</c:v>
                </c:pt>
                <c:pt idx="34">
                  <c:v>-4.1335216712512078E-2</c:v>
                </c:pt>
                <c:pt idx="35">
                  <c:v>-8.0600919947672697E-2</c:v>
                </c:pt>
                <c:pt idx="36">
                  <c:v>-0.13431950154706904</c:v>
                </c:pt>
                <c:pt idx="37">
                  <c:v>-0.10738608723852765</c:v>
                </c:pt>
                <c:pt idx="38">
                  <c:v>-0.58902747650036158</c:v>
                </c:pt>
                <c:pt idx="39">
                  <c:v>-0.88588163234055584</c:v>
                </c:pt>
                <c:pt idx="40">
                  <c:v>-0.75645613695715253</c:v>
                </c:pt>
                <c:pt idx="41">
                  <c:v>-0.50502186698838791</c:v>
                </c:pt>
                <c:pt idx="42">
                  <c:v>-0.44959584763861482</c:v>
                </c:pt>
                <c:pt idx="43">
                  <c:v>-0.56351236146632566</c:v>
                </c:pt>
                <c:pt idx="44">
                  <c:v>-0.51708799298311559</c:v>
                </c:pt>
                <c:pt idx="45">
                  <c:v>-0.70960957905091415</c:v>
                </c:pt>
                <c:pt idx="46">
                  <c:v>-0.70383869716944547</c:v>
                </c:pt>
                <c:pt idx="47">
                  <c:v>-0.43484646807729382</c:v>
                </c:pt>
                <c:pt idx="48">
                  <c:v>-0.53927862008596406</c:v>
                </c:pt>
                <c:pt idx="49">
                  <c:v>-0.32486290638464549</c:v>
                </c:pt>
                <c:pt idx="50">
                  <c:v>-0.24728643444298107</c:v>
                </c:pt>
                <c:pt idx="51">
                  <c:v>0.50326222417711308</c:v>
                </c:pt>
                <c:pt idx="52">
                  <c:v>4.610868835961087</c:v>
                </c:pt>
                <c:pt idx="53">
                  <c:v>2.2781307916335716</c:v>
                </c:pt>
                <c:pt idx="54">
                  <c:v>0.85265980135275121</c:v>
                </c:pt>
                <c:pt idx="55">
                  <c:v>0.6864440078585462</c:v>
                </c:pt>
                <c:pt idx="56">
                  <c:v>0.94483901515151514</c:v>
                </c:pt>
                <c:pt idx="57">
                  <c:v>0.84451219512195119</c:v>
                </c:pt>
                <c:pt idx="58">
                  <c:v>2.7363625744655997</c:v>
                </c:pt>
                <c:pt idx="59">
                  <c:v>2.0759361089290391</c:v>
                </c:pt>
                <c:pt idx="60">
                  <c:v>0.86290912044180945</c:v>
                </c:pt>
                <c:pt idx="61">
                  <c:v>0.80747073940102554</c:v>
                </c:pt>
                <c:pt idx="62">
                  <c:v>7.2158967292769605E-2</c:v>
                </c:pt>
                <c:pt idx="63">
                  <c:v>0.16574152286714131</c:v>
                </c:pt>
                <c:pt idx="64">
                  <c:v>0.33302448063981271</c:v>
                </c:pt>
                <c:pt idx="65">
                  <c:v>0.64474470883654189</c:v>
                </c:pt>
                <c:pt idx="66">
                  <c:v>0.32092234381940798</c:v>
                </c:pt>
                <c:pt idx="67">
                  <c:v>7.485857124062624E-2</c:v>
                </c:pt>
                <c:pt idx="68">
                  <c:v>3.1017008387698042E-2</c:v>
                </c:pt>
                <c:pt idx="69">
                  <c:v>0.28600121728545341</c:v>
                </c:pt>
                <c:pt idx="70">
                  <c:v>0.17538245120450149</c:v>
                </c:pt>
                <c:pt idx="71">
                  <c:v>-1.3224122299684248E-2</c:v>
                </c:pt>
                <c:pt idx="72">
                  <c:v>0.16889418574955309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scatterChart>
        <c:scatterStyle val="lineMarker"/>
        <c:varyColors val="0"/>
        <c:ser>
          <c:idx val="1"/>
          <c:order val="1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Flug!$AQ$22:$AQ$94</c:f>
              <c:numCache>
                <c:formatCode>0.0%</c:formatCode>
                <c:ptCount val="73"/>
                <c:pt idx="0">
                  <c:v>-0.45719082260772242</c:v>
                </c:pt>
                <c:pt idx="1">
                  <c:v>-0.39149383829275625</c:v>
                </c:pt>
                <c:pt idx="2">
                  <c:v>1.0741744701823559</c:v>
                </c:pt>
                <c:pt idx="3">
                  <c:v>-0.41833577593225857</c:v>
                </c:pt>
                <c:pt idx="4">
                  <c:v>-0.10846245530393325</c:v>
                </c:pt>
                <c:pt idx="5">
                  <c:v>0.3007531106745252</c:v>
                </c:pt>
                <c:pt idx="6">
                  <c:v>-1.1626217119604709E-2</c:v>
                </c:pt>
                <c:pt idx="7">
                  <c:v>-0.26066802999318339</c:v>
                </c:pt>
                <c:pt idx="8">
                  <c:v>-7.7912665337923539E-3</c:v>
                </c:pt>
                <c:pt idx="9">
                  <c:v>0.55373172608361121</c:v>
                </c:pt>
                <c:pt idx="10">
                  <c:v>0.11669128508124077</c:v>
                </c:pt>
                <c:pt idx="11">
                  <c:v>1.2992938620315047</c:v>
                </c:pt>
                <c:pt idx="12">
                  <c:v>0.53608247422680411</c:v>
                </c:pt>
                <c:pt idx="13">
                  <c:v>-0.45714991355890344</c:v>
                </c:pt>
                <c:pt idx="14">
                  <c:v>-0.46619935844124988</c:v>
                </c:pt>
                <c:pt idx="15">
                  <c:v>0.55207166853303469</c:v>
                </c:pt>
                <c:pt idx="16">
                  <c:v>-2.1199388846447668E-2</c:v>
                </c:pt>
                <c:pt idx="17">
                  <c:v>-0.2303335431088735</c:v>
                </c:pt>
                <c:pt idx="18">
                  <c:v>2.6466696074106751E-3</c:v>
                </c:pt>
                <c:pt idx="19">
                  <c:v>0.25705329153605017</c:v>
                </c:pt>
                <c:pt idx="20">
                  <c:v>6.2089116143170198E-2</c:v>
                </c:pt>
                <c:pt idx="21">
                  <c:v>-0.1236381644106966</c:v>
                </c:pt>
                <c:pt idx="22">
                  <c:v>0.1917989417989418</c:v>
                </c:pt>
                <c:pt idx="23">
                  <c:v>-0.26576895818568391</c:v>
                </c:pt>
                <c:pt idx="24">
                  <c:v>-2.2371364653243847E-3</c:v>
                </c:pt>
                <c:pt idx="25">
                  <c:v>0.8298453139217471</c:v>
                </c:pt>
                <c:pt idx="26">
                  <c:v>0.66102826619185395</c:v>
                </c:pt>
                <c:pt idx="27">
                  <c:v>-0.22402597402597402</c:v>
                </c:pt>
                <c:pt idx="28">
                  <c:v>0.3135609756097561</c:v>
                </c:pt>
                <c:pt idx="29">
                  <c:v>1.6680294358135731E-2</c:v>
                </c:pt>
                <c:pt idx="30">
                  <c:v>-8.5789705235371758E-2</c:v>
                </c:pt>
                <c:pt idx="31">
                  <c:v>-8.4347953645298512E-2</c:v>
                </c:pt>
                <c:pt idx="32">
                  <c:v>-0.22025447042640992</c:v>
                </c:pt>
                <c:pt idx="33">
                  <c:v>-0.15031079299303071</c:v>
                </c:pt>
                <c:pt idx="34">
                  <c:v>-2.8671846096929337E-2</c:v>
                </c:pt>
                <c:pt idx="35">
                  <c:v>-0.13481338481338481</c:v>
                </c:pt>
                <c:pt idx="36">
                  <c:v>-0.41278026905829596</c:v>
                </c:pt>
                <c:pt idx="37">
                  <c:v>-0.15116857284932869</c:v>
                </c:pt>
                <c:pt idx="38">
                  <c:v>-0.49175934610746347</c:v>
                </c:pt>
                <c:pt idx="39">
                  <c:v>-0.63319386331938632</c:v>
                </c:pt>
                <c:pt idx="40">
                  <c:v>-0.42498514557338085</c:v>
                </c:pt>
                <c:pt idx="41">
                  <c:v>-0.34775615248512143</c:v>
                </c:pt>
                <c:pt idx="42">
                  <c:v>-8.2451074751363485E-2</c:v>
                </c:pt>
                <c:pt idx="43">
                  <c:v>-0.26497917334187759</c:v>
                </c:pt>
                <c:pt idx="44">
                  <c:v>-0.22183020948180815</c:v>
                </c:pt>
                <c:pt idx="45">
                  <c:v>-0.39414763910441142</c:v>
                </c:pt>
                <c:pt idx="46">
                  <c:v>-0.56636831079794325</c:v>
                </c:pt>
                <c:pt idx="47">
                  <c:v>-0.11342506507995537</c:v>
                </c:pt>
                <c:pt idx="48">
                  <c:v>-0.35266047432091674</c:v>
                </c:pt>
                <c:pt idx="49">
                  <c:v>-6.7964872088583428E-2</c:v>
                </c:pt>
                <c:pt idx="50">
                  <c:v>-0.20123022847100175</c:v>
                </c:pt>
                <c:pt idx="51">
                  <c:v>0.10519377801212761</c:v>
                </c:pt>
                <c:pt idx="52">
                  <c:v>2.0095057034220534</c:v>
                </c:pt>
                <c:pt idx="53">
                  <c:v>1.0617411521570654</c:v>
                </c:pt>
                <c:pt idx="54">
                  <c:v>0.20394574599260173</c:v>
                </c:pt>
                <c:pt idx="55">
                  <c:v>-0.21713286713286714</c:v>
                </c:pt>
                <c:pt idx="56">
                  <c:v>5.2964254577157803E-2</c:v>
                </c:pt>
                <c:pt idx="57">
                  <c:v>9.3794275998866528E-2</c:v>
                </c:pt>
                <c:pt idx="58">
                  <c:v>0.70106110501280638</c:v>
                </c:pt>
                <c:pt idx="59">
                  <c:v>0.35265700483091789</c:v>
                </c:pt>
                <c:pt idx="60">
                  <c:v>0.24789822736125836</c:v>
                </c:pt>
                <c:pt idx="61">
                  <c:v>-0.24252355591970504</c:v>
                </c:pt>
                <c:pt idx="62">
                  <c:v>-7.4807480748074806E-2</c:v>
                </c:pt>
                <c:pt idx="63">
                  <c:v>-0.44036259541984735</c:v>
                </c:pt>
                <c:pt idx="64">
                  <c:v>-0.24552537376289746</c:v>
                </c:pt>
                <c:pt idx="65">
                  <c:v>-0.5524370379651673</c:v>
                </c:pt>
                <c:pt idx="66">
                  <c:v>-0.28000819336337568</c:v>
                </c:pt>
                <c:pt idx="67">
                  <c:v>-3.9973202322465387E-2</c:v>
                </c:pt>
                <c:pt idx="68">
                  <c:v>0.24197888635893189</c:v>
                </c:pt>
                <c:pt idx="69">
                  <c:v>0.32953367875647671</c:v>
                </c:pt>
                <c:pt idx="70">
                  <c:v>-5.2269305226930525E-2</c:v>
                </c:pt>
                <c:pt idx="71">
                  <c:v>-0.13928571428571429</c:v>
                </c:pt>
                <c:pt idx="72">
                  <c:v>3.9694100509832485E-2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525167"/>
        <c:axId val="1064521007"/>
      </c:scatterChart>
      <c:valAx>
        <c:axId val="120765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valAx>
        <c:axId val="106452100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4525167"/>
        <c:crosses val="max"/>
        <c:crossBetween val="midCat"/>
      </c:valAx>
      <c:valAx>
        <c:axId val="106452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4521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58136482939633"/>
          <c:y val="5.0925925925925923E-2"/>
          <c:w val="0.76152974628171477"/>
          <c:h val="0.81539297171186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Flug!$AI$9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Flug!$AP$22:$AP$94</c:f>
              <c:numCache>
                <c:formatCode>0.0%</c:formatCode>
                <c:ptCount val="73"/>
                <c:pt idx="0">
                  <c:v>-5.2820589555588805E-2</c:v>
                </c:pt>
                <c:pt idx="1">
                  <c:v>-5.219985085756898E-2</c:v>
                </c:pt>
                <c:pt idx="2">
                  <c:v>0.1015451849539566</c:v>
                </c:pt>
                <c:pt idx="3">
                  <c:v>-4.3893485970260687E-2</c:v>
                </c:pt>
                <c:pt idx="4">
                  <c:v>9.0703823643007817E-2</c:v>
                </c:pt>
                <c:pt idx="5">
                  <c:v>6.3871033568003263E-2</c:v>
                </c:pt>
                <c:pt idx="6">
                  <c:v>-4.6558746736292428E-2</c:v>
                </c:pt>
                <c:pt idx="7">
                  <c:v>1.3588634959851761E-2</c:v>
                </c:pt>
                <c:pt idx="8">
                  <c:v>-2.7555813840863964E-2</c:v>
                </c:pt>
                <c:pt idx="9">
                  <c:v>8.1580662361514303E-2</c:v>
                </c:pt>
                <c:pt idx="10">
                  <c:v>5.0229877170109107E-2</c:v>
                </c:pt>
                <c:pt idx="11">
                  <c:v>9.0789105307363116E-2</c:v>
                </c:pt>
                <c:pt idx="12">
                  <c:v>6.0703001579778829E-2</c:v>
                </c:pt>
                <c:pt idx="13">
                  <c:v>-8.9979257563836637E-2</c:v>
                </c:pt>
                <c:pt idx="14">
                  <c:v>-0.21806279755157559</c:v>
                </c:pt>
                <c:pt idx="15">
                  <c:v>-1.8122661460875225E-2</c:v>
                </c:pt>
                <c:pt idx="16">
                  <c:v>-6.3793854870342129E-2</c:v>
                </c:pt>
                <c:pt idx="17">
                  <c:v>-7.8042581758895183E-2</c:v>
                </c:pt>
                <c:pt idx="18">
                  <c:v>-4.927047276869824E-2</c:v>
                </c:pt>
                <c:pt idx="19">
                  <c:v>-3.6899283447855598E-2</c:v>
                </c:pt>
                <c:pt idx="20">
                  <c:v>-8.2470119521912355E-2</c:v>
                </c:pt>
                <c:pt idx="21">
                  <c:v>-4.4944127957931637E-2</c:v>
                </c:pt>
                <c:pt idx="22">
                  <c:v>-0.12113688337144723</c:v>
                </c:pt>
                <c:pt idx="23">
                  <c:v>-0.13111868881311187</c:v>
                </c:pt>
                <c:pt idx="24">
                  <c:v>-0.12153256134341141</c:v>
                </c:pt>
                <c:pt idx="25">
                  <c:v>-3.0574550027509237E-2</c:v>
                </c:pt>
                <c:pt idx="26">
                  <c:v>0.20291378248106404</c:v>
                </c:pt>
                <c:pt idx="27">
                  <c:v>-0.13440254490025846</c:v>
                </c:pt>
                <c:pt idx="28">
                  <c:v>-9.7556008146639506E-2</c:v>
                </c:pt>
                <c:pt idx="29">
                  <c:v>-0.13777858684627989</c:v>
                </c:pt>
                <c:pt idx="30">
                  <c:v>-0.14761389036108485</c:v>
                </c:pt>
                <c:pt idx="31">
                  <c:v>-0.15543385770078327</c:v>
                </c:pt>
                <c:pt idx="32">
                  <c:v>-0.13365718627876683</c:v>
                </c:pt>
                <c:pt idx="33">
                  <c:v>-0.15456969975050902</c:v>
                </c:pt>
                <c:pt idx="34">
                  <c:v>-4.1335216712512078E-2</c:v>
                </c:pt>
                <c:pt idx="35">
                  <c:v>-8.0600919947672697E-2</c:v>
                </c:pt>
                <c:pt idx="36">
                  <c:v>-0.13431950154706904</c:v>
                </c:pt>
                <c:pt idx="37">
                  <c:v>-0.10738608723852765</c:v>
                </c:pt>
                <c:pt idx="38">
                  <c:v>-0.58902747650036158</c:v>
                </c:pt>
                <c:pt idx="39">
                  <c:v>-0.88588163234055584</c:v>
                </c:pt>
                <c:pt idx="40">
                  <c:v>-0.75645613695715253</c:v>
                </c:pt>
                <c:pt idx="41">
                  <c:v>-0.50502186698838791</c:v>
                </c:pt>
                <c:pt idx="42">
                  <c:v>-0.44959584763861482</c:v>
                </c:pt>
                <c:pt idx="43">
                  <c:v>-0.56351236146632566</c:v>
                </c:pt>
                <c:pt idx="44">
                  <c:v>-0.51708799298311559</c:v>
                </c:pt>
                <c:pt idx="45">
                  <c:v>-0.70960957905091415</c:v>
                </c:pt>
                <c:pt idx="46">
                  <c:v>-0.70383869716944547</c:v>
                </c:pt>
                <c:pt idx="47">
                  <c:v>-0.43484646807729382</c:v>
                </c:pt>
                <c:pt idx="48">
                  <c:v>-0.53927862008596406</c:v>
                </c:pt>
                <c:pt idx="49">
                  <c:v>-0.32486290638464549</c:v>
                </c:pt>
                <c:pt idx="50">
                  <c:v>-0.24728643444298107</c:v>
                </c:pt>
                <c:pt idx="51">
                  <c:v>0.50326222417711308</c:v>
                </c:pt>
                <c:pt idx="52">
                  <c:v>4.610868835961087</c:v>
                </c:pt>
                <c:pt idx="53">
                  <c:v>2.2781307916335716</c:v>
                </c:pt>
                <c:pt idx="54">
                  <c:v>0.85265980135275121</c:v>
                </c:pt>
                <c:pt idx="55">
                  <c:v>0.6864440078585462</c:v>
                </c:pt>
                <c:pt idx="56">
                  <c:v>0.94483901515151514</c:v>
                </c:pt>
                <c:pt idx="57">
                  <c:v>0.84451219512195119</c:v>
                </c:pt>
                <c:pt idx="58">
                  <c:v>2.7363625744655997</c:v>
                </c:pt>
                <c:pt idx="59">
                  <c:v>2.0759361089290391</c:v>
                </c:pt>
                <c:pt idx="60">
                  <c:v>0.86290912044180945</c:v>
                </c:pt>
                <c:pt idx="61">
                  <c:v>0.80747073940102554</c:v>
                </c:pt>
                <c:pt idx="62">
                  <c:v>7.2158967292769605E-2</c:v>
                </c:pt>
                <c:pt idx="63">
                  <c:v>0.16574152286714131</c:v>
                </c:pt>
                <c:pt idx="64">
                  <c:v>0.33302448063981271</c:v>
                </c:pt>
                <c:pt idx="65">
                  <c:v>0.64474470883654189</c:v>
                </c:pt>
                <c:pt idx="66">
                  <c:v>0.32092234381940798</c:v>
                </c:pt>
                <c:pt idx="67">
                  <c:v>7.485857124062624E-2</c:v>
                </c:pt>
                <c:pt idx="68">
                  <c:v>3.1017008387698042E-2</c:v>
                </c:pt>
                <c:pt idx="69">
                  <c:v>0.28600121728545341</c:v>
                </c:pt>
                <c:pt idx="70">
                  <c:v>0.17538245120450149</c:v>
                </c:pt>
                <c:pt idx="71">
                  <c:v>-1.3224122299684248E-2</c:v>
                </c:pt>
                <c:pt idx="72">
                  <c:v>0.16889418574955309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3-4FF1-944A-8E1E6A84D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Flug!$AO$43:$AO$94</c:f>
              <c:numCache>
                <c:formatCode>General</c:formatCode>
                <c:ptCount val="52"/>
                <c:pt idx="0">
                  <c:v>2018.7499999999975</c:v>
                </c:pt>
                <c:pt idx="1">
                  <c:v>2018.8333333333308</c:v>
                </c:pt>
                <c:pt idx="2">
                  <c:v>2018.916666666664</c:v>
                </c:pt>
                <c:pt idx="3">
                  <c:v>2018.9999999999973</c:v>
                </c:pt>
                <c:pt idx="4">
                  <c:v>2019.0833333333305</c:v>
                </c:pt>
                <c:pt idx="5">
                  <c:v>2019.1666666666638</c:v>
                </c:pt>
                <c:pt idx="6">
                  <c:v>2019.249999999997</c:v>
                </c:pt>
                <c:pt idx="7">
                  <c:v>2019.3333333333303</c:v>
                </c:pt>
                <c:pt idx="8">
                  <c:v>2019.4166666666636</c:v>
                </c:pt>
                <c:pt idx="9">
                  <c:v>2019.4999999999968</c:v>
                </c:pt>
                <c:pt idx="10">
                  <c:v>2019.5833333333301</c:v>
                </c:pt>
                <c:pt idx="11">
                  <c:v>2019.6666666666633</c:v>
                </c:pt>
                <c:pt idx="12">
                  <c:v>2019.7499999999966</c:v>
                </c:pt>
                <c:pt idx="13">
                  <c:v>2019.8333333333298</c:v>
                </c:pt>
                <c:pt idx="14">
                  <c:v>2019.9166666666631</c:v>
                </c:pt>
                <c:pt idx="15">
                  <c:v>2019.9999999999964</c:v>
                </c:pt>
                <c:pt idx="16">
                  <c:v>2020.0833333333296</c:v>
                </c:pt>
                <c:pt idx="17">
                  <c:v>2020.1666666666629</c:v>
                </c:pt>
                <c:pt idx="18">
                  <c:v>2020.2499999999961</c:v>
                </c:pt>
                <c:pt idx="19">
                  <c:v>2020.3333333333294</c:v>
                </c:pt>
                <c:pt idx="20">
                  <c:v>2020.4166666666626</c:v>
                </c:pt>
                <c:pt idx="21">
                  <c:v>2020.4999999999959</c:v>
                </c:pt>
                <c:pt idx="22">
                  <c:v>2020.5833333333292</c:v>
                </c:pt>
                <c:pt idx="23">
                  <c:v>2020.6666666666624</c:v>
                </c:pt>
                <c:pt idx="24">
                  <c:v>2020.7499999999957</c:v>
                </c:pt>
                <c:pt idx="25">
                  <c:v>2020.8333333333289</c:v>
                </c:pt>
                <c:pt idx="26">
                  <c:v>2020.9166666666622</c:v>
                </c:pt>
                <c:pt idx="27">
                  <c:v>2020.9999999999955</c:v>
                </c:pt>
                <c:pt idx="28">
                  <c:v>2021.0833333333287</c:v>
                </c:pt>
                <c:pt idx="29">
                  <c:v>2021.166666666662</c:v>
                </c:pt>
                <c:pt idx="30">
                  <c:v>2021.2499999999952</c:v>
                </c:pt>
                <c:pt idx="31">
                  <c:v>2021.3333333333285</c:v>
                </c:pt>
                <c:pt idx="32">
                  <c:v>2021.4166666666617</c:v>
                </c:pt>
                <c:pt idx="33">
                  <c:v>2021.499999999995</c:v>
                </c:pt>
                <c:pt idx="34">
                  <c:v>2021.5833333333283</c:v>
                </c:pt>
                <c:pt idx="35">
                  <c:v>2021.6666666666615</c:v>
                </c:pt>
                <c:pt idx="36">
                  <c:v>2021.7499999999948</c:v>
                </c:pt>
                <c:pt idx="37">
                  <c:v>2021.833333333328</c:v>
                </c:pt>
                <c:pt idx="38">
                  <c:v>2021.9166666666613</c:v>
                </c:pt>
                <c:pt idx="39">
                  <c:v>2021.9999999999945</c:v>
                </c:pt>
                <c:pt idx="40">
                  <c:v>2022.0833333333278</c:v>
                </c:pt>
                <c:pt idx="41">
                  <c:v>2022.1666666666611</c:v>
                </c:pt>
                <c:pt idx="42">
                  <c:v>2022.2499999999943</c:v>
                </c:pt>
                <c:pt idx="43">
                  <c:v>2022.3333333333276</c:v>
                </c:pt>
                <c:pt idx="44">
                  <c:v>2022.4166666666608</c:v>
                </c:pt>
                <c:pt idx="45">
                  <c:v>2022.4999999999941</c:v>
                </c:pt>
                <c:pt idx="46">
                  <c:v>2022.5833333333273</c:v>
                </c:pt>
                <c:pt idx="47">
                  <c:v>2022.6666666666606</c:v>
                </c:pt>
                <c:pt idx="48">
                  <c:v>2022.7499999999939</c:v>
                </c:pt>
                <c:pt idx="49">
                  <c:v>2022.8333333333271</c:v>
                </c:pt>
                <c:pt idx="50">
                  <c:v>2022.9166666666604</c:v>
                </c:pt>
                <c:pt idx="51">
                  <c:v>2022.9999999999936</c:v>
                </c:pt>
              </c:numCache>
            </c:numRef>
          </c:xVal>
          <c:yVal>
            <c:numRef>
              <c:f>Flug!$AQ$43:$AQ$94</c:f>
              <c:numCache>
                <c:formatCode>0.0%</c:formatCode>
                <c:ptCount val="52"/>
                <c:pt idx="0">
                  <c:v>-0.1236381644106966</c:v>
                </c:pt>
                <c:pt idx="1">
                  <c:v>0.1917989417989418</c:v>
                </c:pt>
                <c:pt idx="2">
                  <c:v>-0.26576895818568391</c:v>
                </c:pt>
                <c:pt idx="3">
                  <c:v>-2.2371364653243847E-3</c:v>
                </c:pt>
                <c:pt idx="4">
                  <c:v>0.8298453139217471</c:v>
                </c:pt>
                <c:pt idx="5">
                  <c:v>0.66102826619185395</c:v>
                </c:pt>
                <c:pt idx="6">
                  <c:v>-0.22402597402597402</c:v>
                </c:pt>
                <c:pt idx="7">
                  <c:v>0.3135609756097561</c:v>
                </c:pt>
                <c:pt idx="8">
                  <c:v>1.6680294358135731E-2</c:v>
                </c:pt>
                <c:pt idx="9">
                  <c:v>-8.5789705235371758E-2</c:v>
                </c:pt>
                <c:pt idx="10">
                  <c:v>-8.4347953645298512E-2</c:v>
                </c:pt>
                <c:pt idx="11">
                  <c:v>-0.22025447042640992</c:v>
                </c:pt>
                <c:pt idx="12">
                  <c:v>-0.15031079299303071</c:v>
                </c:pt>
                <c:pt idx="13">
                  <c:v>-2.8671846096929337E-2</c:v>
                </c:pt>
                <c:pt idx="14">
                  <c:v>-0.13481338481338481</c:v>
                </c:pt>
                <c:pt idx="15">
                  <c:v>-0.41278026905829596</c:v>
                </c:pt>
                <c:pt idx="16">
                  <c:v>-0.15116857284932869</c:v>
                </c:pt>
                <c:pt idx="17">
                  <c:v>-0.49175934610746347</c:v>
                </c:pt>
                <c:pt idx="18">
                  <c:v>-0.63319386331938632</c:v>
                </c:pt>
                <c:pt idx="19">
                  <c:v>-0.42498514557338085</c:v>
                </c:pt>
                <c:pt idx="20">
                  <c:v>-0.34775615248512143</c:v>
                </c:pt>
                <c:pt idx="21">
                  <c:v>-8.2451074751363485E-2</c:v>
                </c:pt>
                <c:pt idx="22">
                  <c:v>-0.26497917334187759</c:v>
                </c:pt>
                <c:pt idx="23">
                  <c:v>-0.22183020948180815</c:v>
                </c:pt>
                <c:pt idx="24">
                  <c:v>-0.39414763910441142</c:v>
                </c:pt>
                <c:pt idx="25">
                  <c:v>-0.56636831079794325</c:v>
                </c:pt>
                <c:pt idx="26">
                  <c:v>-0.11342506507995537</c:v>
                </c:pt>
                <c:pt idx="27">
                  <c:v>-0.35266047432091674</c:v>
                </c:pt>
                <c:pt idx="28">
                  <c:v>-6.7964872088583428E-2</c:v>
                </c:pt>
                <c:pt idx="29">
                  <c:v>-0.20123022847100175</c:v>
                </c:pt>
                <c:pt idx="30">
                  <c:v>0.10519377801212761</c:v>
                </c:pt>
                <c:pt idx="31">
                  <c:v>2.0095057034220534</c:v>
                </c:pt>
                <c:pt idx="32">
                  <c:v>1.0617411521570654</c:v>
                </c:pt>
                <c:pt idx="33">
                  <c:v>0.20394574599260173</c:v>
                </c:pt>
                <c:pt idx="34">
                  <c:v>-0.21713286713286714</c:v>
                </c:pt>
                <c:pt idx="35">
                  <c:v>5.2964254577157803E-2</c:v>
                </c:pt>
                <c:pt idx="36">
                  <c:v>9.3794275998866528E-2</c:v>
                </c:pt>
                <c:pt idx="37">
                  <c:v>0.70106110501280638</c:v>
                </c:pt>
                <c:pt idx="38">
                  <c:v>0.35265700483091789</c:v>
                </c:pt>
                <c:pt idx="39">
                  <c:v>0.24789822736125836</c:v>
                </c:pt>
                <c:pt idx="40">
                  <c:v>-0.24252355591970504</c:v>
                </c:pt>
                <c:pt idx="41">
                  <c:v>-7.4807480748074806E-2</c:v>
                </c:pt>
                <c:pt idx="42">
                  <c:v>-0.44036259541984735</c:v>
                </c:pt>
                <c:pt idx="43">
                  <c:v>-0.24552537376289746</c:v>
                </c:pt>
                <c:pt idx="44">
                  <c:v>-0.5524370379651673</c:v>
                </c:pt>
                <c:pt idx="45">
                  <c:v>-0.28000819336337568</c:v>
                </c:pt>
                <c:pt idx="46">
                  <c:v>-3.9973202322465387E-2</c:v>
                </c:pt>
                <c:pt idx="47">
                  <c:v>0.24197888635893189</c:v>
                </c:pt>
                <c:pt idx="48">
                  <c:v>0.32953367875647671</c:v>
                </c:pt>
                <c:pt idx="49">
                  <c:v>-5.2269305226930525E-2</c:v>
                </c:pt>
                <c:pt idx="50">
                  <c:v>-0.13928571428571429</c:v>
                </c:pt>
                <c:pt idx="51">
                  <c:v>3.9694100509832485E-2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0-4C4A-BDC6-697C15415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Flug!$AE$7:$AE$13</c:f>
              <c:numCache>
                <c:formatCode>#,##0</c:formatCode>
                <c:ptCount val="7"/>
                <c:pt idx="0">
                  <c:v>154074</c:v>
                </c:pt>
                <c:pt idx="1">
                  <c:v>156017</c:v>
                </c:pt>
                <c:pt idx="2">
                  <c:v>144444</c:v>
                </c:pt>
                <c:pt idx="3">
                  <c:v>138592</c:v>
                </c:pt>
                <c:pt idx="4">
                  <c:v>66619</c:v>
                </c:pt>
                <c:pt idx="5">
                  <c:v>92358</c:v>
                </c:pt>
                <c:pt idx="6">
                  <c:v>121660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Flug!$AB$7:$AB$13</c:f>
              <c:numCache>
                <c:formatCode>#,##0</c:formatCode>
                <c:ptCount val="7"/>
                <c:pt idx="0">
                  <c:v>28087</c:v>
                </c:pt>
                <c:pt idx="1">
                  <c:v>24184</c:v>
                </c:pt>
                <c:pt idx="2">
                  <c:v>21830</c:v>
                </c:pt>
                <c:pt idx="3">
                  <c:v>26979</c:v>
                </c:pt>
                <c:pt idx="4">
                  <c:v>15275</c:v>
                </c:pt>
                <c:pt idx="5">
                  <c:v>22090</c:v>
                </c:pt>
                <c:pt idx="6">
                  <c:v>13873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layout>
            <c:manualLayout>
              <c:xMode val="edge"/>
              <c:yMode val="edge"/>
              <c:x val="0.93371911937238805"/>
              <c:y val="0.251170406613934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Flug!$AE$17:$AE$22</c:f>
              <c:numCache>
                <c:formatCode>0.0%</c:formatCode>
                <c:ptCount val="6"/>
                <c:pt idx="0">
                  <c:v>1.2610823370588159E-2</c:v>
                </c:pt>
                <c:pt idx="1">
                  <c:v>-7.4177813956171443E-2</c:v>
                </c:pt>
                <c:pt idx="2">
                  <c:v>-4.0513970812217887E-2</c:v>
                </c:pt>
                <c:pt idx="3">
                  <c:v>-0.51931568921727089</c:v>
                </c:pt>
                <c:pt idx="4">
                  <c:v>0.38636124829252916</c:v>
                </c:pt>
                <c:pt idx="5">
                  <c:v>0.31726542367742916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Flug!$AB$17:$AB$22</c:f>
              <c:numCache>
                <c:formatCode>0.0%</c:formatCode>
                <c:ptCount val="6"/>
                <c:pt idx="0">
                  <c:v>-0.13896108519955852</c:v>
                </c:pt>
                <c:pt idx="1">
                  <c:v>-9.7337082368508104E-2</c:v>
                </c:pt>
                <c:pt idx="2">
                  <c:v>0.2358680714612918</c:v>
                </c:pt>
                <c:pt idx="3">
                  <c:v>-0.43381889617850922</c:v>
                </c:pt>
                <c:pt idx="4">
                  <c:v>0.44615384615384618</c:v>
                </c:pt>
                <c:pt idx="5">
                  <c:v>-0.37197827071072881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  <c:max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5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Úrgangur!$L$11:$P$11</c:f>
              <c:numCache>
                <c:formatCode>General</c:formatCode>
                <c:ptCount val="5"/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</c:numCache>
            </c:numRef>
          </c:xVal>
          <c:yVal>
            <c:numRef>
              <c:f>Úrgangur!$L$25:$P$25</c:f>
              <c:numCache>
                <c:formatCode>#,##0.000</c:formatCode>
                <c:ptCount val="5"/>
                <c:pt idx="1">
                  <c:v>73573.146873003629</c:v>
                </c:pt>
                <c:pt idx="2">
                  <c:v>107068.79000000001</c:v>
                </c:pt>
                <c:pt idx="3">
                  <c:v>119865.34999999999</c:v>
                </c:pt>
                <c:pt idx="4">
                  <c:v>119197.95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4-49C2-A6F4-8B4ACF5F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444944"/>
        <c:axId val="1846947280"/>
      </c:scatterChart>
      <c:valAx>
        <c:axId val="185944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947280"/>
        <c:crosses val="autoZero"/>
        <c:crossBetween val="midCat"/>
      </c:valAx>
      <c:valAx>
        <c:axId val="18469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944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Úrgangur!$R$11:$R$55</c:f>
              <c:numCache>
                <c:formatCode>General</c:formatCode>
                <c:ptCount val="45"/>
                <c:pt idx="0">
                  <c:v>2017</c:v>
                </c:pt>
                <c:pt idx="1">
                  <c:v>2017.0833333333333</c:v>
                </c:pt>
                <c:pt idx="2">
                  <c:v>2017.1666666666665</c:v>
                </c:pt>
                <c:pt idx="3">
                  <c:v>2017.2499999999998</c:v>
                </c:pt>
                <c:pt idx="4">
                  <c:v>2017.333333333333</c:v>
                </c:pt>
                <c:pt idx="5">
                  <c:v>2017.4166666666663</c:v>
                </c:pt>
                <c:pt idx="6">
                  <c:v>2017.4999999999995</c:v>
                </c:pt>
                <c:pt idx="7">
                  <c:v>2017.5833333333328</c:v>
                </c:pt>
                <c:pt idx="8">
                  <c:v>2017.6666666666661</c:v>
                </c:pt>
                <c:pt idx="9">
                  <c:v>2017.7499999999993</c:v>
                </c:pt>
                <c:pt idx="10">
                  <c:v>2017.8333333333326</c:v>
                </c:pt>
                <c:pt idx="11">
                  <c:v>2017.9166666666658</c:v>
                </c:pt>
                <c:pt idx="12">
                  <c:v>2017.9999999999991</c:v>
                </c:pt>
                <c:pt idx="13">
                  <c:v>2018.0833333333323</c:v>
                </c:pt>
                <c:pt idx="14">
                  <c:v>2018.1666666666656</c:v>
                </c:pt>
                <c:pt idx="15">
                  <c:v>2018.2499999999989</c:v>
                </c:pt>
                <c:pt idx="16">
                  <c:v>2018.3333333333321</c:v>
                </c:pt>
                <c:pt idx="17">
                  <c:v>2018.4166666666654</c:v>
                </c:pt>
                <c:pt idx="18">
                  <c:v>2018.4999999999986</c:v>
                </c:pt>
                <c:pt idx="19">
                  <c:v>2018.5833333333319</c:v>
                </c:pt>
                <c:pt idx="20">
                  <c:v>2018.6666666666652</c:v>
                </c:pt>
                <c:pt idx="21">
                  <c:v>2018.7499999999984</c:v>
                </c:pt>
                <c:pt idx="22">
                  <c:v>2018.8333333333317</c:v>
                </c:pt>
                <c:pt idx="23">
                  <c:v>2018.9166666666649</c:v>
                </c:pt>
                <c:pt idx="24">
                  <c:v>2018.9999999999982</c:v>
                </c:pt>
                <c:pt idx="25">
                  <c:v>2019.0833333333314</c:v>
                </c:pt>
                <c:pt idx="26">
                  <c:v>2019.1666666666647</c:v>
                </c:pt>
                <c:pt idx="27">
                  <c:v>2019.249999999998</c:v>
                </c:pt>
                <c:pt idx="28">
                  <c:v>2019.3333333333312</c:v>
                </c:pt>
                <c:pt idx="29">
                  <c:v>2019.4166666666645</c:v>
                </c:pt>
                <c:pt idx="30">
                  <c:v>2019.4999999999977</c:v>
                </c:pt>
                <c:pt idx="31">
                  <c:v>2019.583333333331</c:v>
                </c:pt>
                <c:pt idx="32">
                  <c:v>2019.6666666666642</c:v>
                </c:pt>
                <c:pt idx="33">
                  <c:v>2019.7499999999975</c:v>
                </c:pt>
                <c:pt idx="34">
                  <c:v>2019.8333333333308</c:v>
                </c:pt>
                <c:pt idx="35">
                  <c:v>2019.916666666664</c:v>
                </c:pt>
                <c:pt idx="36">
                  <c:v>2019.9999999999973</c:v>
                </c:pt>
                <c:pt idx="37">
                  <c:v>2020.0833333333305</c:v>
                </c:pt>
                <c:pt idx="38">
                  <c:v>2020.1666666666638</c:v>
                </c:pt>
                <c:pt idx="39">
                  <c:v>2020.249999999997</c:v>
                </c:pt>
                <c:pt idx="40">
                  <c:v>2020.3333333333303</c:v>
                </c:pt>
                <c:pt idx="41">
                  <c:v>2020.4166666666636</c:v>
                </c:pt>
                <c:pt idx="42">
                  <c:v>2020.4999999999968</c:v>
                </c:pt>
                <c:pt idx="43">
                  <c:v>2020.5833333333301</c:v>
                </c:pt>
                <c:pt idx="44">
                  <c:v>2020.6666666666633</c:v>
                </c:pt>
              </c:numCache>
            </c:numRef>
          </c:xVal>
          <c:yVal>
            <c:numRef>
              <c:f>Úrgangur!$S$11:$S$55</c:f>
              <c:numCache>
                <c:formatCode>#,##0</c:formatCode>
                <c:ptCount val="45"/>
                <c:pt idx="0">
                  <c:v>9458.02</c:v>
                </c:pt>
                <c:pt idx="1">
                  <c:v>8619.6</c:v>
                </c:pt>
                <c:pt idx="2">
                  <c:v>9934</c:v>
                </c:pt>
                <c:pt idx="3">
                  <c:v>8256.6</c:v>
                </c:pt>
                <c:pt idx="4">
                  <c:v>10593.52</c:v>
                </c:pt>
                <c:pt idx="5">
                  <c:v>10734.64</c:v>
                </c:pt>
                <c:pt idx="6">
                  <c:v>10589.06</c:v>
                </c:pt>
                <c:pt idx="7">
                  <c:v>11116.02</c:v>
                </c:pt>
                <c:pt idx="8">
                  <c:v>10037.959999999999</c:v>
                </c:pt>
                <c:pt idx="9">
                  <c:v>10419.18</c:v>
                </c:pt>
                <c:pt idx="10">
                  <c:v>10267.51</c:v>
                </c:pt>
                <c:pt idx="11">
                  <c:v>9171.84</c:v>
                </c:pt>
                <c:pt idx="12">
                  <c:v>10796.84</c:v>
                </c:pt>
                <c:pt idx="13">
                  <c:v>9341.42</c:v>
                </c:pt>
                <c:pt idx="14">
                  <c:v>9466.7000000000007</c:v>
                </c:pt>
                <c:pt idx="15">
                  <c:v>9656.73</c:v>
                </c:pt>
                <c:pt idx="16">
                  <c:v>10785.22</c:v>
                </c:pt>
                <c:pt idx="17">
                  <c:v>10218.74</c:v>
                </c:pt>
                <c:pt idx="18">
                  <c:v>10590.94</c:v>
                </c:pt>
                <c:pt idx="19">
                  <c:v>10329.120000000001</c:v>
                </c:pt>
                <c:pt idx="20">
                  <c:v>9486.02</c:v>
                </c:pt>
                <c:pt idx="21">
                  <c:v>10851.76</c:v>
                </c:pt>
                <c:pt idx="22">
                  <c:v>9454.1200000000008</c:v>
                </c:pt>
                <c:pt idx="23">
                  <c:v>8887.74</c:v>
                </c:pt>
                <c:pt idx="24">
                  <c:v>10359.98</c:v>
                </c:pt>
                <c:pt idx="25">
                  <c:v>8657.68</c:v>
                </c:pt>
                <c:pt idx="26">
                  <c:v>8700.56</c:v>
                </c:pt>
                <c:pt idx="27">
                  <c:v>8838.84</c:v>
                </c:pt>
                <c:pt idx="28">
                  <c:v>10672.39</c:v>
                </c:pt>
                <c:pt idx="29">
                  <c:v>8821.0400000000009</c:v>
                </c:pt>
                <c:pt idx="30">
                  <c:v>9611.26</c:v>
                </c:pt>
                <c:pt idx="31">
                  <c:v>8938.94</c:v>
                </c:pt>
                <c:pt idx="32">
                  <c:v>9020.64</c:v>
                </c:pt>
                <c:pt idx="33">
                  <c:v>8615.68</c:v>
                </c:pt>
                <c:pt idx="34">
                  <c:v>7421.58</c:v>
                </c:pt>
                <c:pt idx="35">
                  <c:v>7410.2</c:v>
                </c:pt>
                <c:pt idx="36">
                  <c:v>8379.56</c:v>
                </c:pt>
                <c:pt idx="37">
                  <c:v>6154.64</c:v>
                </c:pt>
                <c:pt idx="38">
                  <c:v>7204.3</c:v>
                </c:pt>
                <c:pt idx="39">
                  <c:v>7158.26</c:v>
                </c:pt>
                <c:pt idx="40">
                  <c:v>6950.12</c:v>
                </c:pt>
                <c:pt idx="41">
                  <c:v>7245.1</c:v>
                </c:pt>
                <c:pt idx="42">
                  <c:v>7600.9</c:v>
                </c:pt>
                <c:pt idx="43">
                  <c:v>6408.64</c:v>
                </c:pt>
                <c:pt idx="44">
                  <c:v>7314.64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9-493B-AB4F-5A9A1E66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717600"/>
        <c:axId val="1846400352"/>
      </c:scatterChart>
      <c:valAx>
        <c:axId val="1850717600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400352"/>
        <c:crosses val="autoZero"/>
        <c:crossBetween val="midCat"/>
      </c:valAx>
      <c:valAx>
        <c:axId val="18464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Magn</a:t>
                </a:r>
                <a:r>
                  <a:rPr lang="is-IS" baseline="0"/>
                  <a:t> (tonn)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071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Úrgangur!$K$64</c:f>
              <c:strCache>
                <c:ptCount val="1"/>
                <c:pt idx="0">
                  <c:v>2017-18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Úrgangur!$H$23:$H$34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9-4EA3-BBD5-007A7648BD7E}"/>
            </c:ext>
          </c:extLst>
        </c:ser>
        <c:ser>
          <c:idx val="0"/>
          <c:order val="1"/>
          <c:tx>
            <c:strRef>
              <c:f>Úrgangur!$K$65</c:f>
              <c:strCache>
                <c:ptCount val="1"/>
                <c:pt idx="0">
                  <c:v>2018-19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Úrgangur!$H$36:$H$47</c:f>
              <c:numCache>
                <c:formatCode>0.0%</c:formatCode>
                <c:ptCount val="12"/>
                <c:pt idx="0">
                  <c:v>0.14155394046534048</c:v>
                </c:pt>
                <c:pt idx="1">
                  <c:v>8.3741704951505833E-2</c:v>
                </c:pt>
                <c:pt idx="2">
                  <c:v>-4.7040467082746049E-2</c:v>
                </c:pt>
                <c:pt idx="3">
                  <c:v>0.16957706562023098</c:v>
                </c:pt>
                <c:pt idx="4">
                  <c:v>1.8095968101254249E-2</c:v>
                </c:pt>
                <c:pt idx="5">
                  <c:v>-4.805936668579474E-2</c:v>
                </c:pt>
                <c:pt idx="6">
                  <c:v>1.7754172702780216E-4</c:v>
                </c:pt>
                <c:pt idx="7">
                  <c:v>-7.0789725099451029E-2</c:v>
                </c:pt>
                <c:pt idx="8">
                  <c:v>-5.4985275892711141E-2</c:v>
                </c:pt>
                <c:pt idx="9">
                  <c:v>4.1517662618363434E-2</c:v>
                </c:pt>
                <c:pt idx="10">
                  <c:v>-7.9219791361293965E-2</c:v>
                </c:pt>
                <c:pt idx="11">
                  <c:v>-3.0975245970274269E-2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29-4EA3-BBD5-007A7648BD7E}"/>
            </c:ext>
          </c:extLst>
        </c:ser>
        <c:ser>
          <c:idx val="2"/>
          <c:order val="2"/>
          <c:tx>
            <c:strRef>
              <c:f>Úrgangur!$K$66</c:f>
              <c:strCache>
                <c:ptCount val="1"/>
                <c:pt idx="0">
                  <c:v>2019-20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noFill/>
              </a:ln>
            </c:spPr>
          </c:marker>
          <c:yVal>
            <c:numRef>
              <c:f>Úrgangur!$H$49:$H$60</c:f>
              <c:numCache>
                <c:formatCode>0.0%</c:formatCode>
                <c:ptCount val="12"/>
                <c:pt idx="0">
                  <c:v>-4.046183883432565E-2</c:v>
                </c:pt>
                <c:pt idx="1">
                  <c:v>-7.3194439389300536E-2</c:v>
                </c:pt>
                <c:pt idx="2">
                  <c:v>-8.0929996725363773E-2</c:v>
                </c:pt>
                <c:pt idx="3">
                  <c:v>-8.4696372374499382E-2</c:v>
                </c:pt>
                <c:pt idx="4">
                  <c:v>-1.0461539032119877E-2</c:v>
                </c:pt>
                <c:pt idx="5">
                  <c:v>-0.13677811550151966</c:v>
                </c:pt>
                <c:pt idx="6">
                  <c:v>-9.2501704286871628E-2</c:v>
                </c:pt>
                <c:pt idx="7">
                  <c:v>-0.13458842573229859</c:v>
                </c:pt>
                <c:pt idx="8">
                  <c:v>-4.9059563441780744E-2</c:v>
                </c:pt>
                <c:pt idx="9">
                  <c:v>-0.20605689768295649</c:v>
                </c:pt>
                <c:pt idx="10">
                  <c:v>-0.21498986685170071</c:v>
                </c:pt>
                <c:pt idx="11">
                  <c:v>-0.16624473713227433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29-4EA3-BBD5-007A7648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632112"/>
        <c:axId val="1844889088"/>
      </c:scatterChart>
      <c:valAx>
        <c:axId val="1855632112"/>
        <c:scaling>
          <c:orientation val="minMax"/>
          <c:max val="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Mánuður</a:t>
                </a:r>
              </a:p>
            </c:rich>
          </c:tx>
          <c:overlay val="0"/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4889088"/>
        <c:crosses val="autoZero"/>
        <c:crossBetween val="midCat"/>
      </c:valAx>
      <c:valAx>
        <c:axId val="18448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Breyting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5632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Mælaborð!$C$86</c:f>
          <c:strCache>
            <c:ptCount val="1"/>
            <c:pt idx="0">
              <c:v>BASIC+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Reykjavík!$O$113:$U$113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Reykjavík!$O$114:$U$114</c:f>
              <c:numCache>
                <c:formatCode>#,##0</c:formatCode>
                <c:ptCount val="7"/>
                <c:pt idx="0">
                  <c:v>536654.57954993937</c:v>
                </c:pt>
                <c:pt idx="1">
                  <c:v>552848.22032957047</c:v>
                </c:pt>
                <c:pt idx="2">
                  <c:v>582651.88895607367</c:v>
                </c:pt>
                <c:pt idx="3">
                  <c:v>590906.80148961942</c:v>
                </c:pt>
                <c:pt idx="4">
                  <c:v>533155.79896761081</c:v>
                </c:pt>
                <c:pt idx="5">
                  <c:v>563153.80336953374</c:v>
                </c:pt>
                <c:pt idx="6">
                  <c:v>567822.35193919088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5015567"/>
        <c:axId val="1764603839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Reykjavík!$O$113:$U$113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Reykjavík!$O$115:$U$115</c:f>
              <c:numCache>
                <c:formatCode>#,##0.00</c:formatCode>
                <c:ptCount val="7"/>
                <c:pt idx="0">
                  <c:v>4.3822846607050412</c:v>
                </c:pt>
                <c:pt idx="1">
                  <c:v>4.4857295192506896</c:v>
                </c:pt>
                <c:pt idx="2">
                  <c:v>4.6227171234445432</c:v>
                </c:pt>
                <c:pt idx="3">
                  <c:v>4.5880350755834511</c:v>
                </c:pt>
                <c:pt idx="4">
                  <c:v>4.0656707461536943</c:v>
                </c:pt>
                <c:pt idx="5">
                  <c:v>4.2259143894698692</c:v>
                </c:pt>
                <c:pt idx="6">
                  <c:v>4.184764695029707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127151"/>
        <c:axId val="946072991"/>
      </c:lineChart>
      <c:catAx>
        <c:axId val="9450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764603839"/>
        <c:crosses val="autoZero"/>
        <c:auto val="1"/>
        <c:lblAlgn val="ctr"/>
        <c:lblOffset val="100"/>
        <c:noMultiLvlLbl val="0"/>
      </c:catAx>
      <c:valAx>
        <c:axId val="176460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5015567"/>
        <c:crosses val="autoZero"/>
        <c:crossBetween val="between"/>
      </c:valAx>
      <c:valAx>
        <c:axId val="946072991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27151"/>
        <c:crosses val="max"/>
        <c:crossBetween val="between"/>
      </c:valAx>
      <c:catAx>
        <c:axId val="180512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072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</a:t>
            </a:r>
          </a:p>
        </c:rich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A-47D1-B26F-D0B2E6CD2E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A-47D1-B26F-D0B2E6CD2E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A-47D1-B26F-D0B2E6CD2E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97-4555-A96C-09D75E5135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115-4838-8F32-906866A114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Mælaborð!$B$11:$B$20</c15:sqref>
                  </c15:fullRef>
                </c:ext>
              </c:extLst>
              <c:f>(Mælaborð!$B$11,Mælaborð!$B$17:$B$20)</c:f>
              <c:strCache>
                <c:ptCount val="5"/>
                <c:pt idx="0">
                  <c:v>Orkunotkun</c:v>
                </c:pt>
                <c:pt idx="1">
                  <c:v>Götuumferð</c:v>
                </c:pt>
                <c:pt idx="2">
                  <c:v>Skipaumferð</c:v>
                </c:pt>
                <c:pt idx="3">
                  <c:v>Flugumferð</c:v>
                </c:pt>
                <c:pt idx="4">
                  <c:v>Úrgangur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Mælaborð!$C$11:$C$20</c15:sqref>
                  </c15:fullRef>
                </c:ext>
              </c:extLst>
              <c:f>(Mælaborð!$C$11,Mælaborð!$C$17:$C$20)</c:f>
              <c:numCache>
                <c:formatCode>0</c:formatCode>
                <c:ptCount val="5"/>
                <c:pt idx="0">
                  <c:v>35958.291891643195</c:v>
                </c:pt>
                <c:pt idx="1">
                  <c:v>339943.74539936369</c:v>
                </c:pt>
                <c:pt idx="2">
                  <c:v>52583</c:v>
                </c:pt>
                <c:pt idx="3">
                  <c:v>5939.1766057704244</c:v>
                </c:pt>
                <c:pt idx="4">
                  <c:v>45958.8191730935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Mælaborð!$C$15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Mælaborð!$C$16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9FB8-4ADA-AAC4-11CAA372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23684948840968209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Basic+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4068773080374278"/>
          <c:y val="0.1551458940412086"/>
          <c:w val="0.46038847904175489"/>
          <c:h val="0.773089783277216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C-4015-B8EB-9B765B6EF88E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1C-4015-B8EB-9B765B6EF8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1C-4015-B8EB-9B765B6EF8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1C-4015-B8EB-9B765B6EF8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1C-4015-B8EB-9B765B6EF8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Dashboard!$B$11:$B$31</c15:sqref>
                  </c15:fullRef>
                </c:ext>
              </c:extLst>
              <c:f>(Dashboard!$B$11,Dashboard!$B$16,Dashboard!$B$20,Dashboard!$B$27,Dashboard!$B$31)</c:f>
              <c:strCache>
                <c:ptCount val="5"/>
                <c:pt idx="0">
                  <c:v>Energy</c:v>
                </c:pt>
                <c:pt idx="1">
                  <c:v>Transport</c:v>
                </c:pt>
                <c:pt idx="2">
                  <c:v>Waste</c:v>
                </c:pt>
                <c:pt idx="3">
                  <c:v>AFOLU</c:v>
                </c:pt>
                <c:pt idx="4">
                  <c:v>Product use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Dashboard!$C$11:$C$31</c15:sqref>
                  </c15:fullRef>
                </c:ext>
              </c:extLst>
              <c:f>(Dashboard!$C$11,Dashboard!$C$16,Dashboard!$C$20,Dashboard!$C$27,Dashboard!$C$31)</c:f>
              <c:numCache>
                <c:formatCode>0</c:formatCode>
                <c:ptCount val="5"/>
                <c:pt idx="0">
                  <c:v>35958.291891643195</c:v>
                </c:pt>
                <c:pt idx="1">
                  <c:v>398465.92200513411</c:v>
                </c:pt>
                <c:pt idx="2">
                  <c:v>45958.8191730935</c:v>
                </c:pt>
                <c:pt idx="3">
                  <c:v>47987.31204702273</c:v>
                </c:pt>
                <c:pt idx="4">
                  <c:v>39452.00682229732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Dashboard!$C$18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Dashboard!$C$25</c15:sqref>
                  <c15:spPr xmlns:c15="http://schemas.microsoft.com/office/drawing/2012/chart"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Dashboard!$C$28</c15:sqref>
                  <c15:spPr xmlns:c15="http://schemas.microsoft.com/office/drawing/2012/chart"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Dashboard!$C$29</c15:sqref>
                  <c15:spPr xmlns:c15="http://schemas.microsoft.com/office/drawing/2012/chart">
                    <a:solidFill>
                      <a:schemeClr val="accent1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Dashboard!$C$30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791C-4015-B8EB-9B765B6E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10854023536039"/>
          <c:y val="0.20006871867035939"/>
          <c:w val="0.29133973203143787"/>
          <c:h val="0.72493455494995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Emissions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Reykjavík!$O$130:$U$130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Reykjavík!$O$131:$U$131</c:f>
              <c:numCache>
                <c:formatCode>#,##0</c:formatCode>
                <c:ptCount val="7"/>
                <c:pt idx="0">
                  <c:v>445809.26642263401</c:v>
                </c:pt>
                <c:pt idx="1">
                  <c:v>474946.1806873536</c:v>
                </c:pt>
                <c:pt idx="2">
                  <c:v>492141.41483634035</c:v>
                </c:pt>
                <c:pt idx="3">
                  <c:v>501633.68579835992</c:v>
                </c:pt>
                <c:pt idx="4">
                  <c:v>443979.50573866139</c:v>
                </c:pt>
                <c:pt idx="5">
                  <c:v>469799.41124534194</c:v>
                </c:pt>
                <c:pt idx="6">
                  <c:v>480092.4442298708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9-45E4-BE69-49243904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1811855"/>
        <c:axId val="1132602367"/>
      </c:barChart>
      <c:lineChart>
        <c:grouping val="standard"/>
        <c:varyColors val="0"/>
        <c:ser>
          <c:idx val="1"/>
          <c:order val="1"/>
          <c:tx>
            <c:v>Emissions per capita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Reykjavík!$O$130:$U$130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Reykjavík!$O$132:$U$132</c:f>
              <c:numCache>
                <c:formatCode>#,##0.00</c:formatCode>
                <c:ptCount val="7"/>
                <c:pt idx="0">
                  <c:v>3.6404480354616529</c:v>
                </c:pt>
                <c:pt idx="1">
                  <c:v>3.8536437749489121</c:v>
                </c:pt>
                <c:pt idx="2">
                  <c:v>3.9046136958318352</c:v>
                </c:pt>
                <c:pt idx="3">
                  <c:v>3.8948831520219258</c:v>
                </c:pt>
                <c:pt idx="4">
                  <c:v>3.3856416677240526</c:v>
                </c:pt>
                <c:pt idx="5">
                  <c:v>3.525381663530053</c:v>
                </c:pt>
                <c:pt idx="6">
                  <c:v>3.5382085684059814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9-45E4-BE69-49243904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32623"/>
        <c:axId val="3597487"/>
      </c:lineChart>
      <c:catAx>
        <c:axId val="134181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2602367"/>
        <c:crosses val="autoZero"/>
        <c:auto val="1"/>
        <c:lblAlgn val="ctr"/>
        <c:lblOffset val="100"/>
        <c:noMultiLvlLbl val="0"/>
      </c:catAx>
      <c:valAx>
        <c:axId val="1132602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41811855"/>
        <c:crosses val="autoZero"/>
        <c:crossBetween val="between"/>
      </c:valAx>
      <c:valAx>
        <c:axId val="3597487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8432623"/>
        <c:crosses val="max"/>
        <c:crossBetween val="between"/>
      </c:valAx>
      <c:catAx>
        <c:axId val="1138432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Dashboard!$D$10:$F$10</c:f>
              <c:strCache>
                <c:ptCount val="3"/>
                <c:pt idx="0">
                  <c:v>Scope 1</c:v>
                </c:pt>
                <c:pt idx="1">
                  <c:v>Scope 2</c:v>
                </c:pt>
                <c:pt idx="2">
                  <c:v>Scope 3</c:v>
                </c:pt>
              </c:strCache>
            </c:strRef>
          </c:cat>
          <c:val>
            <c:numRef>
              <c:f>Dashboard!$D$34:$F$34</c:f>
              <c:numCache>
                <c:formatCode>0</c:formatCode>
                <c:ptCount val="3"/>
                <c:pt idx="0">
                  <c:v>539251.6332797067</c:v>
                </c:pt>
                <c:pt idx="1">
                  <c:v>25309.562992000006</c:v>
                </c:pt>
                <c:pt idx="2">
                  <c:v>78135.673626459771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2-4882-986B-DDF8F6E8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5119551"/>
        <c:axId val="946072575"/>
      </c:barChart>
      <c:catAx>
        <c:axId val="1805119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6072575"/>
        <c:crosses val="autoZero"/>
        <c:auto val="1"/>
        <c:lblAlgn val="ctr"/>
        <c:lblOffset val="100"/>
        <c:noMultiLvlLbl val="0"/>
      </c:catAx>
      <c:valAx>
        <c:axId val="94607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rgbClr val="000000">
                        <a:lumMod val="65000"/>
                        <a:lumOff val="35000"/>
                      </a:srgbClr>
                    </a:solidFill>
                  </a:defRPr>
                </a:pPr>
                <a:endParaRPr lang="is-IS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1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Dashboard!$C$86</c:f>
          <c:strCache>
            <c:ptCount val="1"/>
            <c:pt idx="0">
              <c:v>BASIC+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Emissions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Reykjavík!$O$135:$U$135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Reykjavík!$O$136:$U$136</c:f>
              <c:numCache>
                <c:formatCode>#,##0</c:formatCode>
                <c:ptCount val="7"/>
                <c:pt idx="0">
                  <c:v>536654.57954993937</c:v>
                </c:pt>
                <c:pt idx="1">
                  <c:v>552848.22032957047</c:v>
                </c:pt>
                <c:pt idx="2">
                  <c:v>582651.88895607367</c:v>
                </c:pt>
                <c:pt idx="3">
                  <c:v>590906.80148961942</c:v>
                </c:pt>
                <c:pt idx="4">
                  <c:v>533155.79896761081</c:v>
                </c:pt>
                <c:pt idx="5">
                  <c:v>563153.80336953374</c:v>
                </c:pt>
                <c:pt idx="6">
                  <c:v>567822.35193919088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C-4A7A-AEF6-825362F16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5015567"/>
        <c:axId val="1764603839"/>
      </c:barChart>
      <c:lineChart>
        <c:grouping val="standard"/>
        <c:varyColors val="0"/>
        <c:ser>
          <c:idx val="1"/>
          <c:order val="1"/>
          <c:tx>
            <c:v>Emissions per capita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Reykjavík!$O$135:$U$135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Reykjavík!$O$137:$U$137</c:f>
              <c:numCache>
                <c:formatCode>#,##0.00</c:formatCode>
                <c:ptCount val="7"/>
                <c:pt idx="0">
                  <c:v>4.3822846607050412</c:v>
                </c:pt>
                <c:pt idx="1">
                  <c:v>4.4857295192506896</c:v>
                </c:pt>
                <c:pt idx="2">
                  <c:v>4.6227171234445432</c:v>
                </c:pt>
                <c:pt idx="3">
                  <c:v>4.5880350755834511</c:v>
                </c:pt>
                <c:pt idx="4">
                  <c:v>4.0656707461536943</c:v>
                </c:pt>
                <c:pt idx="5">
                  <c:v>4.2259143894698692</c:v>
                </c:pt>
                <c:pt idx="6">
                  <c:v>4.184764695029707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C-4A7A-AEF6-825362F16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127151"/>
        <c:axId val="946072991"/>
      </c:lineChart>
      <c:catAx>
        <c:axId val="9450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764603839"/>
        <c:crosses val="autoZero"/>
        <c:auto val="1"/>
        <c:lblAlgn val="ctr"/>
        <c:lblOffset val="100"/>
        <c:noMultiLvlLbl val="0"/>
      </c:catAx>
      <c:valAx>
        <c:axId val="176460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5015567"/>
        <c:crosses val="autoZero"/>
        <c:crossBetween val="between"/>
      </c:valAx>
      <c:valAx>
        <c:axId val="946072991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27151"/>
        <c:crosses val="max"/>
        <c:crossBetween val="between"/>
      </c:valAx>
      <c:catAx>
        <c:axId val="180512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072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FCE4B8D1-B7C9-451A-AC32-7F6795A66DEF}">
          <cx:dataLabels pos="outEnd">
            <cx:numFmt formatCode="#.##0" sourceLinked="0"/>
            <cx:visibility seriesName="0" categoryName="0" value="1"/>
            <cx:separator>, </cx:separator>
          </cx:dataLabels>
          <cx:dataId val="0"/>
          <cx:layoutPr>
            <cx:visibility connectorLines="0"/>
            <cx:subtotals>
              <cx:idx val="13"/>
              <cx:idx val="14"/>
              <cx:idx val="15"/>
            </cx:subtotals>
          </cx:layoutPr>
        </cx:series>
      </cx:plotAreaRegion>
      <cx:axis id="0">
        <cx:catScaling gapWidth="0.550000012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Losun (t CO</a:t>
                </a:r>
                <a:r>
                  <a:rPr lang="en-US" sz="900" b="0" i="0" u="none" strike="noStrike" baseline="-2500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2</a:t>
                </a: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 ígildi)</a:t>
                </a:r>
              </a:p>
            </cx:rich>
          </cx:tx>
        </cx:title>
        <cx:majorGridlines/>
        <cx:tickLabels/>
      </cx:axis>
    </cx:plotArea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landscape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plotArea>
      <cx:plotAreaRegion>
        <cx:series layoutId="waterfall" uniqueId="{FCE4B8D1-B7C9-451A-AC32-7F6795A66DEF}"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13"/>
              <cx:idx val="14"/>
              <cx:idx val="15"/>
            </cx:subtotals>
          </cx:layoutPr>
        </cx:series>
      </cx:plotAreaRegion>
      <cx:axis id="0">
        <cx:catScaling gapWidth="0.550000012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Emissions (t CO</a:t>
                </a:r>
                <a:r>
                  <a:rPr lang="en-US" sz="900" b="0" i="0" u="none" strike="noStrike" baseline="-2500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2</a:t>
                </a: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 eq)</a:t>
                </a:r>
              </a:p>
            </cx:rich>
          </cx:tx>
        </cx:title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7.xml"/><Relationship Id="rId7" Type="http://schemas.openxmlformats.org/officeDocument/2006/relationships/image" Target="../media/image3.png"/><Relationship Id="rId2" Type="http://schemas.microsoft.com/office/2014/relationships/chartEx" Target="../charts/chartEx2.xml"/><Relationship Id="rId1" Type="http://schemas.openxmlformats.org/officeDocument/2006/relationships/chart" Target="../charts/chart6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7</xdr:row>
      <xdr:rowOff>122465</xdr:rowOff>
    </xdr:from>
    <xdr:to>
      <xdr:col>33</xdr:col>
      <xdr:colOff>163448</xdr:colOff>
      <xdr:row>61</xdr:row>
      <xdr:rowOff>46464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217C-5C00-45FB-B6F7-AAB3ED4B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2927" y="1655758"/>
          <a:ext cx="9827838" cy="9797474"/>
        </a:xfrm>
        <a:prstGeom prst="rect">
          <a:avLst/>
        </a:prstGeom>
      </xdr:spPr>
    </xdr:pic>
    <xdr:clientData/>
  </xdr:twoCellAnchor>
  <xdr:twoCellAnchor editAs="oneCell">
    <xdr:from>
      <xdr:col>33</xdr:col>
      <xdr:colOff>427695</xdr:colOff>
      <xdr:row>8</xdr:row>
      <xdr:rowOff>23232</xdr:rowOff>
    </xdr:from>
    <xdr:to>
      <xdr:col>49</xdr:col>
      <xdr:colOff>190633</xdr:colOff>
      <xdr:row>60</xdr:row>
      <xdr:rowOff>46463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97903-1735-4787-8C5E-11D35EDF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73220" y="1756782"/>
          <a:ext cx="9513363" cy="9710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444053</xdr:colOff>
      <xdr:row>26</xdr:row>
      <xdr:rowOff>63857</xdr:rowOff>
    </xdr:from>
    <xdr:to>
      <xdr:col>16</xdr:col>
      <xdr:colOff>280384</xdr:colOff>
      <xdr:row>40</xdr:row>
      <xdr:rowOff>150789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97B76-3C06-47C7-8E2E-216C733C1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470884</xdr:colOff>
      <xdr:row>42</xdr:row>
      <xdr:rowOff>37027</xdr:rowOff>
    </xdr:from>
    <xdr:to>
      <xdr:col>16</xdr:col>
      <xdr:colOff>307215</xdr:colOff>
      <xdr:row>56</xdr:row>
      <xdr:rowOff>123959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E99071-0CB7-4832-B09B-AB379F36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524546</xdr:colOff>
      <xdr:row>57</xdr:row>
      <xdr:rowOff>90689</xdr:rowOff>
    </xdr:from>
    <xdr:to>
      <xdr:col>16</xdr:col>
      <xdr:colOff>360877</xdr:colOff>
      <xdr:row>71</xdr:row>
      <xdr:rowOff>177621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8C7510-1BEF-4137-A451-19EAF8E3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295275</xdr:colOff>
      <xdr:row>0</xdr:row>
      <xdr:rowOff>138112</xdr:rowOff>
    </xdr:from>
    <xdr:to>
      <xdr:col>29</xdr:col>
      <xdr:colOff>465535</xdr:colOff>
      <xdr:row>9</xdr:row>
      <xdr:rowOff>134735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CB341-83E7-46B1-9A51-AB00C660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8213" y="138112"/>
          <a:ext cx="9623823" cy="1666673"/>
        </a:xfrm>
        <a:prstGeom prst="rect">
          <a:avLst/>
        </a:prstGeom>
      </xdr:spPr>
    </xdr:pic>
    <xdr:clientData/>
  </xdr:twoCellAnchor>
  <xdr:twoCellAnchor editAs="oneCell">
    <xdr:from>
      <xdr:col>29</xdr:col>
      <xdr:colOff>404813</xdr:colOff>
      <xdr:row>0</xdr:row>
      <xdr:rowOff>138113</xdr:rowOff>
    </xdr:from>
    <xdr:to>
      <xdr:col>37</xdr:col>
      <xdr:colOff>370869</xdr:colOff>
      <xdr:row>9</xdr:row>
      <xdr:rowOff>10926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546227-1E19-4E86-8DDE-3F057EEB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21313" y="138113"/>
          <a:ext cx="4919056" cy="1542863"/>
        </a:xfrm>
        <a:prstGeom prst="rect">
          <a:avLst/>
        </a:prstGeom>
      </xdr:spPr>
    </xdr:pic>
    <xdr:clientData/>
  </xdr:twoCellAnchor>
  <xdr:twoCellAnchor editAs="oneCell">
    <xdr:from>
      <xdr:col>17</xdr:col>
      <xdr:colOff>309564</xdr:colOff>
      <xdr:row>10</xdr:row>
      <xdr:rowOff>161924</xdr:rowOff>
    </xdr:from>
    <xdr:to>
      <xdr:col>32</xdr:col>
      <xdr:colOff>256021</xdr:colOff>
      <xdr:row>49</xdr:row>
      <xdr:rowOff>123040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30C124-9F7F-4EBB-BE75-B9A348D4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1314" y="1995487"/>
          <a:ext cx="9328582" cy="6461928"/>
        </a:xfrm>
        <a:prstGeom prst="rect">
          <a:avLst/>
        </a:prstGeom>
      </xdr:spPr>
    </xdr:pic>
    <xdr:clientData/>
  </xdr:twoCellAnchor>
  <xdr:twoCellAnchor editAs="oneCell">
    <xdr:from>
      <xdr:col>17</xdr:col>
      <xdr:colOff>504825</xdr:colOff>
      <xdr:row>50</xdr:row>
      <xdr:rowOff>128587</xdr:rowOff>
    </xdr:from>
    <xdr:to>
      <xdr:col>32</xdr:col>
      <xdr:colOff>17953</xdr:colOff>
      <xdr:row>90</xdr:row>
      <xdr:rowOff>103967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0F304C-7492-4359-BD1E-14BEF100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6575" y="8629650"/>
          <a:ext cx="8895253" cy="66428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133351</xdr:colOff>
      <xdr:row>3</xdr:row>
      <xdr:rowOff>0</xdr:rowOff>
    </xdr:from>
    <xdr:to>
      <xdr:col>20</xdr:col>
      <xdr:colOff>592138</xdr:colOff>
      <xdr:row>18</xdr:row>
      <xdr:rowOff>33337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B4D37E-D6B3-44FB-9D94-4476D969BDBC}"/>
            </a:ext>
          </a:extLst>
        </xdr:cNvPr>
        <xdr:cNvSpPr txBox="1"/>
      </xdr:nvSpPr>
      <xdr:spPr>
        <a:xfrm>
          <a:off x="4600576" y="495300"/>
          <a:ext cx="8755062" cy="2509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Aðferðafræðin sem er notuð til að skilgreina eigin virðiskeðju og mengunarþætti hennar byggist á The Greenhouse Gas Protocol.</a:t>
          </a:r>
        </a:p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1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beinnar losunar frá samgöngum, meðhöndlun úrgangs, landnotkun, búfjárræktun, efnanotkunar og iðnaðar. 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2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óbeinnar losunar þeirrar orku sem notuð er innan borgarmarka.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3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 öll önnur óbein losun sem á sér stað utan borgarmarka vegna starfsemi innan hennar, til dæmis vegna vara og þjónustu til borgarinnar.</a:t>
          </a:r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s-IS" sz="10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535459</xdr:colOff>
      <xdr:row>79</xdr:row>
      <xdr:rowOff>122238</xdr:rowOff>
    </xdr:from>
    <xdr:to>
      <xdr:col>10</xdr:col>
      <xdr:colOff>393517</xdr:colOff>
      <xdr:row>96</xdr:row>
      <xdr:rowOff>8218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501AC6-619F-41A6-A3A6-3BB9EBFD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324596</xdr:colOff>
      <xdr:row>3</xdr:row>
      <xdr:rowOff>151582</xdr:rowOff>
    </xdr:from>
    <xdr:to>
      <xdr:col>20</xdr:col>
      <xdr:colOff>523875</xdr:colOff>
      <xdr:row>44</xdr:row>
      <xdr:rowOff>115732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83EF5AC-BCDA-4981-9461-3FD01F17D4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30121" y="637357"/>
              <a:ext cx="11000629" cy="699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s-I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615950</xdr:colOff>
      <xdr:row>62</xdr:row>
      <xdr:rowOff>63500</xdr:rowOff>
    </xdr:from>
    <xdr:to>
      <xdr:col>4</xdr:col>
      <xdr:colOff>1035050</xdr:colOff>
      <xdr:row>83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D4A4F-32FF-46C2-BFA9-ED3C995DE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186766</xdr:colOff>
      <xdr:row>60</xdr:row>
      <xdr:rowOff>31937</xdr:rowOff>
    </xdr:from>
    <xdr:to>
      <xdr:col>20</xdr:col>
      <xdr:colOff>236071</xdr:colOff>
      <xdr:row>72</xdr:row>
      <xdr:rowOff>139513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AAACB5-D1A9-46C6-8F74-5596E38451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87</xdr:row>
      <xdr:rowOff>25400</xdr:rowOff>
    </xdr:from>
    <xdr:to>
      <xdr:col>4</xdr:col>
      <xdr:colOff>1003300</xdr:colOff>
      <xdr:row>107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4C3791-3DF2-49EE-BC8E-B70DDEC5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436657</xdr:colOff>
      <xdr:row>59</xdr:row>
      <xdr:rowOff>9525</xdr:rowOff>
    </xdr:from>
    <xdr:to>
      <xdr:col>10</xdr:col>
      <xdr:colOff>266141</xdr:colOff>
      <xdr:row>75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8D1CEBC-1624-4505-BBFB-895A13BA7F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590743</xdr:colOff>
      <xdr:row>2</xdr:row>
      <xdr:rowOff>122431</xdr:rowOff>
    </xdr:from>
    <xdr:to>
      <xdr:col>1</xdr:col>
      <xdr:colOff>1457155</xdr:colOff>
      <xdr:row>4</xdr:row>
      <xdr:rowOff>152303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AE9AD22-E384-46EA-A7E3-FA46DCCC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43" y="449552"/>
          <a:ext cx="1454303" cy="450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1825626</xdr:colOff>
      <xdr:row>0</xdr:row>
      <xdr:rowOff>88515</xdr:rowOff>
    </xdr:from>
    <xdr:to>
      <xdr:col>2</xdr:col>
      <xdr:colOff>410414</xdr:colOff>
      <xdr:row>6</xdr:row>
      <xdr:rowOff>152401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C7DC62-0061-4FC7-B1CE-8A06A892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437" y="88515"/>
          <a:ext cx="841414" cy="11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535459</xdr:colOff>
      <xdr:row>79</xdr:row>
      <xdr:rowOff>122238</xdr:rowOff>
    </xdr:from>
    <xdr:to>
      <xdr:col>10</xdr:col>
      <xdr:colOff>393517</xdr:colOff>
      <xdr:row>96</xdr:row>
      <xdr:rowOff>8218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1AF498-9053-4B0F-8CAC-2537C365A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324595</xdr:colOff>
      <xdr:row>3</xdr:row>
      <xdr:rowOff>151582</xdr:rowOff>
    </xdr:from>
    <xdr:to>
      <xdr:col>20</xdr:col>
      <xdr:colOff>514350</xdr:colOff>
      <xdr:row>44</xdr:row>
      <xdr:rowOff>115732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BC9952B1-85FD-4D0F-ABC3-09B08A7DBF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30120" y="637357"/>
              <a:ext cx="10991105" cy="700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s-I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</xdr:col>
      <xdr:colOff>560</xdr:colOff>
      <xdr:row>62</xdr:row>
      <xdr:rowOff>55469</xdr:rowOff>
    </xdr:from>
    <xdr:to>
      <xdr:col>5</xdr:col>
      <xdr:colOff>4482</xdr:colOff>
      <xdr:row>83</xdr:row>
      <xdr:rowOff>17369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2D89A0-F26C-4668-800A-1EF33C7F4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186766</xdr:colOff>
      <xdr:row>60</xdr:row>
      <xdr:rowOff>31937</xdr:rowOff>
    </xdr:from>
    <xdr:to>
      <xdr:col>20</xdr:col>
      <xdr:colOff>236071</xdr:colOff>
      <xdr:row>72</xdr:row>
      <xdr:rowOff>139513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024E1-21C6-463E-9E56-F91EF3563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87</xdr:row>
      <xdr:rowOff>25400</xdr:rowOff>
    </xdr:from>
    <xdr:to>
      <xdr:col>4</xdr:col>
      <xdr:colOff>1003300</xdr:colOff>
      <xdr:row>107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62BB2-60B8-4B6A-A01C-82A9216CA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436657</xdr:colOff>
      <xdr:row>59</xdr:row>
      <xdr:rowOff>9525</xdr:rowOff>
    </xdr:from>
    <xdr:to>
      <xdr:col>10</xdr:col>
      <xdr:colOff>266141</xdr:colOff>
      <xdr:row>75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61D7E4-85B6-446E-9003-3C0D49D0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590743</xdr:colOff>
      <xdr:row>2</xdr:row>
      <xdr:rowOff>122431</xdr:rowOff>
    </xdr:from>
    <xdr:to>
      <xdr:col>1</xdr:col>
      <xdr:colOff>1457155</xdr:colOff>
      <xdr:row>5</xdr:row>
      <xdr:rowOff>8120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F22CDD-E5E0-4A91-BE39-9E7AFF72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43" y="452631"/>
          <a:ext cx="1456962" cy="45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1825626</xdr:colOff>
      <xdr:row>0</xdr:row>
      <xdr:rowOff>88515</xdr:rowOff>
    </xdr:from>
    <xdr:to>
      <xdr:col>2</xdr:col>
      <xdr:colOff>410414</xdr:colOff>
      <xdr:row>7</xdr:row>
      <xdr:rowOff>9526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95465A-475A-4C50-8C94-5D14C93A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276" y="88515"/>
          <a:ext cx="839038" cy="114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79</xdr:row>
      <xdr:rowOff>161925</xdr:rowOff>
    </xdr:from>
    <xdr:to>
      <xdr:col>35</xdr:col>
      <xdr:colOff>303363</xdr:colOff>
      <xdr:row>102</xdr:row>
      <xdr:rowOff>18246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4875C-408D-4E69-AB2B-3D5A48FD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06800" y="18611850"/>
          <a:ext cx="11495238" cy="64285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526256</xdr:colOff>
      <xdr:row>41</xdr:row>
      <xdr:rowOff>35718</xdr:rowOff>
    </xdr:from>
    <xdr:to>
      <xdr:col>29</xdr:col>
      <xdr:colOff>486107</xdr:colOff>
      <xdr:row>51</xdr:row>
      <xdr:rowOff>65650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9796D2-FCD3-403F-A2F0-A3B0F147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7406" y="9255918"/>
          <a:ext cx="10050001" cy="18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41274</xdr:colOff>
      <xdr:row>194</xdr:row>
      <xdr:rowOff>30162</xdr:rowOff>
    </xdr:from>
    <xdr:to>
      <xdr:col>24</xdr:col>
      <xdr:colOff>550333</xdr:colOff>
      <xdr:row>206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CC6E25-1E04-47BD-A455-8D9CABFC9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111125</xdr:colOff>
      <xdr:row>207</xdr:row>
      <xdr:rowOff>38100</xdr:rowOff>
    </xdr:from>
    <xdr:to>
      <xdr:col>24</xdr:col>
      <xdr:colOff>539750</xdr:colOff>
      <xdr:row>220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9B97E5-D7BE-40FB-A25E-C27A86E26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73025</xdr:colOff>
      <xdr:row>179</xdr:row>
      <xdr:rowOff>88900</xdr:rowOff>
    </xdr:from>
    <xdr:to>
      <xdr:col>24</xdr:col>
      <xdr:colOff>530225</xdr:colOff>
      <xdr:row>193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C65FE9-694A-4385-B2BB-D10D0EF4A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95250</xdr:colOff>
      <xdr:row>165</xdr:row>
      <xdr:rowOff>142875</xdr:rowOff>
    </xdr:from>
    <xdr:to>
      <xdr:col>24</xdr:col>
      <xdr:colOff>552450</xdr:colOff>
      <xdr:row>179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3E6323-709E-4CDC-9D24-BCD7DD46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104775</xdr:colOff>
      <xdr:row>220</xdr:row>
      <xdr:rowOff>123825</xdr:rowOff>
    </xdr:from>
    <xdr:to>
      <xdr:col>24</xdr:col>
      <xdr:colOff>561975</xdr:colOff>
      <xdr:row>234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9ECCE4-BAE3-4F29-A649-B272E164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523875</xdr:colOff>
      <xdr:row>27</xdr:row>
      <xdr:rowOff>166688</xdr:rowOff>
    </xdr:from>
    <xdr:to>
      <xdr:col>25</xdr:col>
      <xdr:colOff>219806</xdr:colOff>
      <xdr:row>57</xdr:row>
      <xdr:rowOff>95955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599BD3-5AE8-084D-9074-C40671E9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6469" y="5369719"/>
          <a:ext cx="10926700" cy="5048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61707</xdr:colOff>
      <xdr:row>11</xdr:row>
      <xdr:rowOff>3814</xdr:rowOff>
    </xdr:from>
    <xdr:to>
      <xdr:col>28</xdr:col>
      <xdr:colOff>350083</xdr:colOff>
      <xdr:row>23</xdr:row>
      <xdr:rowOff>82450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769AB-B59D-4C41-A973-EBAFB290C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83909</xdr:colOff>
      <xdr:row>1</xdr:row>
      <xdr:rowOff>117926</xdr:rowOff>
    </xdr:from>
    <xdr:to>
      <xdr:col>28</xdr:col>
      <xdr:colOff>285750</xdr:colOff>
      <xdr:row>10</xdr:row>
      <xdr:rowOff>155743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94E729-9CDF-41C3-A2BC-820C8159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603779</xdr:colOff>
      <xdr:row>26</xdr:row>
      <xdr:rowOff>169861</xdr:rowOff>
    </xdr:from>
    <xdr:to>
      <xdr:col>56</xdr:col>
      <xdr:colOff>190500</xdr:colOff>
      <xdr:row>47</xdr:row>
      <xdr:rowOff>68035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F821F0-9417-4420-9AC8-73FF58C2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343958</xdr:colOff>
      <xdr:row>1</xdr:row>
      <xdr:rowOff>34622</xdr:rowOff>
    </xdr:from>
    <xdr:to>
      <xdr:col>56</xdr:col>
      <xdr:colOff>161396</xdr:colOff>
      <xdr:row>13</xdr:row>
      <xdr:rowOff>71890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0A9A86-26EA-4E59-8313-86040345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417379</xdr:colOff>
      <xdr:row>1</xdr:row>
      <xdr:rowOff>117210</xdr:rowOff>
    </xdr:from>
    <xdr:to>
      <xdr:col>46</xdr:col>
      <xdr:colOff>234817</xdr:colOff>
      <xdr:row>11</xdr:row>
      <xdr:rowOff>31486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415486-8F37-4FBD-9AAE-704EBEC4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</xdr:colOff>
      <xdr:row>68</xdr:row>
      <xdr:rowOff>5159</xdr:rowOff>
    </xdr:from>
    <xdr:to>
      <xdr:col>56</xdr:col>
      <xdr:colOff>361950</xdr:colOff>
      <xdr:row>90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1642D6-8DB7-4763-B641-32E1B9504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149679</xdr:colOff>
      <xdr:row>24</xdr:row>
      <xdr:rowOff>27215</xdr:rowOff>
    </xdr:from>
    <xdr:to>
      <xdr:col>28</xdr:col>
      <xdr:colOff>351520</xdr:colOff>
      <xdr:row>36</xdr:row>
      <xdr:rowOff>105854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99926-C9BE-414D-A7F9-8EDFAA710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136072</xdr:colOff>
      <xdr:row>36</xdr:row>
      <xdr:rowOff>176893</xdr:rowOff>
    </xdr:from>
    <xdr:to>
      <xdr:col>28</xdr:col>
      <xdr:colOff>424448</xdr:colOff>
      <xdr:row>49</xdr:row>
      <xdr:rowOff>65029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72C129-6F71-45D4-8854-8D17389EE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116418</xdr:colOff>
      <xdr:row>77</xdr:row>
      <xdr:rowOff>74083</xdr:rowOff>
    </xdr:from>
    <xdr:to>
      <xdr:col>28</xdr:col>
      <xdr:colOff>404794</xdr:colOff>
      <xdr:row>92</xdr:row>
      <xdr:rowOff>78636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90578D2-3898-4A6C-B991-EEF65C21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242359</xdr:colOff>
      <xdr:row>49</xdr:row>
      <xdr:rowOff>146050</xdr:rowOff>
    </xdr:from>
    <xdr:to>
      <xdr:col>28</xdr:col>
      <xdr:colOff>450550</xdr:colOff>
      <xdr:row>62</xdr:row>
      <xdr:rowOff>31013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3C2A3E2-C16A-45A0-8542-96AAAFDD2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1</xdr:colOff>
      <xdr:row>48</xdr:row>
      <xdr:rowOff>0</xdr:rowOff>
    </xdr:from>
    <xdr:to>
      <xdr:col>55</xdr:col>
      <xdr:colOff>585108</xdr:colOff>
      <xdr:row>67</xdr:row>
      <xdr:rowOff>54429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887FC-7BA2-4882-8194-80987477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171450</xdr:colOff>
      <xdr:row>62</xdr:row>
      <xdr:rowOff>142875</xdr:rowOff>
    </xdr:from>
    <xdr:to>
      <xdr:col>28</xdr:col>
      <xdr:colOff>365125</xdr:colOff>
      <xdr:row>76</xdr:row>
      <xdr:rowOff>127000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918B136-B4D9-468C-B249-6C0C8C61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212043</xdr:colOff>
      <xdr:row>26</xdr:row>
      <xdr:rowOff>35039</xdr:rowOff>
    </xdr:from>
    <xdr:to>
      <xdr:col>26</xdr:col>
      <xdr:colOff>300491</xdr:colOff>
      <xdr:row>40</xdr:row>
      <xdr:rowOff>82324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5A495F-147B-4A3E-846F-2A401FB4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191634</xdr:colOff>
      <xdr:row>40</xdr:row>
      <xdr:rowOff>148545</xdr:rowOff>
    </xdr:from>
    <xdr:to>
      <xdr:col>26</xdr:col>
      <xdr:colOff>327706</xdr:colOff>
      <xdr:row>54</xdr:row>
      <xdr:rowOff>99786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320277-1F0B-4801-AAEA-E7CABD7A8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200703</xdr:colOff>
      <xdr:row>55</xdr:row>
      <xdr:rowOff>86633</xdr:rowOff>
    </xdr:from>
    <xdr:to>
      <xdr:col>27</xdr:col>
      <xdr:colOff>282348</xdr:colOff>
      <xdr:row>69</xdr:row>
      <xdr:rowOff>157163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1966EA-0C8D-4ECD-8147-6E920DF7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402542</xdr:colOff>
      <xdr:row>55</xdr:row>
      <xdr:rowOff>104776</xdr:rowOff>
    </xdr:from>
    <xdr:to>
      <xdr:col>36</xdr:col>
      <xdr:colOff>3969</xdr:colOff>
      <xdr:row>69</xdr:row>
      <xdr:rowOff>145823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872BDE-C86D-47D4-B5E9-E3E0021B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432482</xdr:colOff>
      <xdr:row>84</xdr:row>
      <xdr:rowOff>116795</xdr:rowOff>
    </xdr:from>
    <xdr:to>
      <xdr:col>36</xdr:col>
      <xdr:colOff>19845</xdr:colOff>
      <xdr:row>98</xdr:row>
      <xdr:rowOff>58284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9BD8A5-B4B9-4B42-AE67-6B3ACEF1D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433161</xdr:colOff>
      <xdr:row>70</xdr:row>
      <xdr:rowOff>31752</xdr:rowOff>
    </xdr:from>
    <xdr:to>
      <xdr:col>36</xdr:col>
      <xdr:colOff>27782</xdr:colOff>
      <xdr:row>83</xdr:row>
      <xdr:rowOff>79377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AE0394-7929-4EAC-B466-EFD1FF29B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409348</xdr:colOff>
      <xdr:row>26</xdr:row>
      <xdr:rowOff>27781</xdr:rowOff>
    </xdr:from>
    <xdr:to>
      <xdr:col>33</xdr:col>
      <xdr:colOff>497796</xdr:colOff>
      <xdr:row>40</xdr:row>
      <xdr:rowOff>75066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132429-D74C-48B7-BA83-02F5D9FD0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363991</xdr:colOff>
      <xdr:row>40</xdr:row>
      <xdr:rowOff>130402</xdr:rowOff>
    </xdr:from>
    <xdr:to>
      <xdr:col>33</xdr:col>
      <xdr:colOff>500063</xdr:colOff>
      <xdr:row>54</xdr:row>
      <xdr:rowOff>79375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828D7D5-21B8-4F26-BA56-47B0B5FE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fla.sharepoint.com/sites/wp_Projects57783/Documents/74%20Umhverfi/EN%20Reykjav&#237;k%20Emissions%20Inventory%202022.xlsx" TargetMode="External"/><Relationship Id="rId1" Type="http://schemas.openxmlformats.org/officeDocument/2006/relationships/externalLinkPath" Target="EN%20Reykjav&#237;k%20Emissions%20Inventory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mennir losunarliðir"/>
      <sheetName val="Dashboard"/>
      <sheetName val="Reykjavík"/>
      <sheetName val="Umferð"/>
      <sheetName val="Götuumferð"/>
      <sheetName val="Orka"/>
      <sheetName val="Skip"/>
      <sheetName val="Flug"/>
      <sheetName val="Úrgangur"/>
      <sheetName val="Fráveita"/>
      <sheetName val="Landbúnaður og landnotkun"/>
      <sheetName val="Breytingar"/>
    </sheetNames>
    <sheetDataSet>
      <sheetData sheetId="0"/>
      <sheetData sheetId="1"/>
      <sheetData sheetId="2">
        <row r="113">
          <cell r="N113">
            <v>2016</v>
          </cell>
        </row>
        <row r="171">
          <cell r="A171" t="str">
            <v>Energy</v>
          </cell>
        </row>
        <row r="172">
          <cell r="A172" t="str">
            <v>Private cars</v>
          </cell>
        </row>
        <row r="173">
          <cell r="A173" t="str">
            <v>Public vehicles</v>
          </cell>
        </row>
        <row r="174">
          <cell r="A174" t="str">
            <v>Goods vehicles</v>
          </cell>
        </row>
        <row r="175">
          <cell r="A175" t="str">
            <v>Stationary Energy</v>
          </cell>
        </row>
        <row r="176">
          <cell r="A176" t="str">
            <v>Waterborne navigation</v>
          </cell>
        </row>
        <row r="177">
          <cell r="A177" t="str">
            <v>Aviation</v>
          </cell>
        </row>
        <row r="178">
          <cell r="A178" t="str">
            <v>Waste</v>
          </cell>
        </row>
        <row r="179">
          <cell r="A179" t="str">
            <v>Livestock farming</v>
          </cell>
        </row>
        <row r="180">
          <cell r="A180" t="str">
            <v>Land use</v>
          </cell>
        </row>
        <row r="181">
          <cell r="A181" t="str">
            <v>Product use</v>
          </cell>
        </row>
        <row r="182">
          <cell r="A182" t="str">
            <v>Construction materials</v>
          </cell>
        </row>
        <row r="183">
          <cell r="A183" t="str">
            <v>Other industry</v>
          </cell>
        </row>
        <row r="184">
          <cell r="A184" t="str">
            <v>BASIC</v>
          </cell>
        </row>
        <row r="185">
          <cell r="A185" t="str">
            <v>BASIC+</v>
          </cell>
        </row>
        <row r="186">
          <cell r="A186" t="str">
            <v>BASIC+ S3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568AC7-D434-4502-93C7-E97CD8A2898A}" name="tblBrennsla" displayName="tblBrennsla" ref="U10:AA27" totalsRowShown="0" headerRowDxfId="3" tableBorderDxfId="2">
  <autoFilter ref="U10:AA27" xr:uid="{10568AC7-D434-4502-93C7-E97CD8A2898A}"/>
  <tableColumns count="7">
    <tableColumn id="1" xr3:uid="{218CF7A8-A86C-4AD2-B6EF-0497044E7060}" name="Tímabil" dataDxfId="1"/>
    <tableColumn id="2" xr3:uid="{344F60DF-71D7-4B20-8D57-C3F57B2C53AD}" name="2021"/>
    <tableColumn id="3" xr3:uid="{409AC550-1145-4421-9F2E-2E1AB5521659}" name="2020" dataDxfId="0"/>
    <tableColumn id="4" xr3:uid="{976377AF-D4B0-40ED-9FCF-AC2E5F6E6865}" name="2019"/>
    <tableColumn id="5" xr3:uid="{2D087209-D4AE-4889-AA52-361C5BB6F58A}" name="2018"/>
    <tableColumn id="6" xr3:uid="{013A1345-B917-4394-AD1C-926E924D2D42}" name="2017"/>
    <tableColumn id="7" xr3:uid="{E88EF0D6-DE0D-4CFB-9997-ED12CBC69087}" name="2016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EFLA Pallette">
      <a:dk1>
        <a:sysClr val="windowText" lastClr="000000"/>
      </a:dk1>
      <a:lt1>
        <a:sysClr val="window" lastClr="FFFFFF"/>
      </a:lt1>
      <a:dk2>
        <a:srgbClr val="7F7F7F"/>
      </a:dk2>
      <a:lt2>
        <a:srgbClr val="E7E6E6"/>
      </a:lt2>
      <a:accent1>
        <a:srgbClr val="EE3523"/>
      </a:accent1>
      <a:accent2>
        <a:srgbClr val="A7A9AC"/>
      </a:accent2>
      <a:accent3>
        <a:srgbClr val="0080A5"/>
      </a:accent3>
      <a:accent4>
        <a:srgbClr val="CADDDF"/>
      </a:accent4>
      <a:accent5>
        <a:srgbClr val="1A3E6F"/>
      </a:accent5>
      <a:accent6>
        <a:srgbClr val="ECBFC1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ust.is/loft/losun-grodurhusalofttegunda/losun-island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i.is/starfsemi/ibudamarkadurinn/" TargetMode="External"/><Relationship Id="rId3" Type="http://schemas.openxmlformats.org/officeDocument/2006/relationships/hyperlink" Target="https://www.ust.is/loft/losun-grodurhusalofttegunda/losun-islands/" TargetMode="External"/><Relationship Id="rId7" Type="http://schemas.openxmlformats.org/officeDocument/2006/relationships/hyperlink" Target="https://www.si.is/media/_eplica-uppsetning/Fridrik_glaerur_Final.pdf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www.stjornarradid.is/verkefni/atvinnuvegir/landbunadur/maelabord-landbunadarins-/" TargetMode="External"/><Relationship Id="rId1" Type="http://schemas.openxmlformats.org/officeDocument/2006/relationships/hyperlink" Target="https://www.veitur.is/utgefid-efni/hitaveita" TargetMode="External"/><Relationship Id="rId6" Type="http://schemas.openxmlformats.org/officeDocument/2006/relationships/hyperlink" Target="https://reykjavik.is/husnaedi/uppbygging-ibuda-eftir-skipulagsflokkum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sorpa.is/um-sorpu/utgefid-efni/arsskyrslur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www.isavia.is/fyrirtaekid/um-isavia/utgefid-efni/flugtolur/flugtolur" TargetMode="External"/><Relationship Id="rId9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amgongustofa.is/umferd/tolfraedi/onnur-tolfraedi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samgongustofa.is/umferd/tolfraedi/onnur-tolfraedi/" TargetMode="External"/><Relationship Id="rId1" Type="http://schemas.openxmlformats.org/officeDocument/2006/relationships/hyperlink" Target="https://www.samgongustofa.is/umferd/tolfraedi/onnur-tolfraedi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faxafloahafnir.is/cruiseships/index.php?pid=1&amp;w=v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0FF8-3441-4D44-B52C-F2E13C087FD8}">
  <dimension ref="A1:Q68"/>
  <sheetViews>
    <sheetView showGridLines="0" workbookViewId="0"/>
  </sheetViews>
  <sheetFormatPr defaultRowHeight="13"/>
  <cols>
    <col min="1" max="1" width="34.7265625" customWidth="1"/>
    <col min="8" max="8" width="10.26953125" bestFit="1" customWidth="1"/>
    <col min="9" max="9" width="9.86328125" customWidth="1"/>
    <col min="12" max="12" width="11.1328125" bestFit="1" customWidth="1"/>
  </cols>
  <sheetData>
    <row r="1" spans="1:17" ht="23.5">
      <c r="A1" s="10" t="s">
        <v>2</v>
      </c>
      <c r="B1" s="8"/>
      <c r="C1" s="9"/>
      <c r="D1" s="9"/>
      <c r="E1" s="9"/>
      <c r="F1" s="9"/>
      <c r="G1" s="9"/>
      <c r="H1" s="9"/>
      <c r="I1" s="9"/>
    </row>
    <row r="2" spans="1:17" ht="23.5">
      <c r="A2" s="10"/>
      <c r="B2" s="8"/>
      <c r="C2" s="9"/>
      <c r="D2" s="9"/>
      <c r="E2" s="9"/>
      <c r="F2" s="9"/>
      <c r="G2" s="9"/>
      <c r="H2" s="9"/>
      <c r="I2" s="9"/>
    </row>
    <row r="3" spans="1:17" ht="15" customHeight="1">
      <c r="A3" s="6" t="s">
        <v>33</v>
      </c>
      <c r="B3" s="4" t="s">
        <v>0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  <c r="I3" s="5">
        <v>2021</v>
      </c>
    </row>
    <row r="4" spans="1:17" ht="15" customHeight="1">
      <c r="A4" s="35" t="s">
        <v>21</v>
      </c>
      <c r="B4" s="35" t="s">
        <v>4</v>
      </c>
      <c r="C4" s="32">
        <f t="shared" ref="C4:H4" si="0">SUM(C5:C8)</f>
        <v>4792599.937374494</v>
      </c>
      <c r="D4" s="32">
        <f t="shared" si="0"/>
        <v>4742974.2998137753</v>
      </c>
      <c r="E4" s="32">
        <f t="shared" si="0"/>
        <v>4820511.6313455394</v>
      </c>
      <c r="F4" s="32">
        <f t="shared" si="0"/>
        <v>4847521.3477240102</v>
      </c>
      <c r="G4" s="32">
        <f t="shared" si="0"/>
        <v>4739230.7881337218</v>
      </c>
      <c r="H4" s="26">
        <f t="shared" si="0"/>
        <v>2869700</v>
      </c>
      <c r="I4" s="26"/>
      <c r="K4" t="s">
        <v>34</v>
      </c>
      <c r="M4" s="33"/>
      <c r="N4" s="33"/>
      <c r="O4" s="33"/>
      <c r="P4" s="33"/>
      <c r="Q4" s="33"/>
    </row>
    <row r="5" spans="1:17" ht="15" customHeight="1">
      <c r="A5" s="32" t="s">
        <v>28</v>
      </c>
      <c r="B5" s="35" t="s">
        <v>4</v>
      </c>
      <c r="C5" s="32">
        <v>1852173.2603319914</v>
      </c>
      <c r="D5" s="32">
        <v>1827497.9452542874</v>
      </c>
      <c r="E5" s="32">
        <v>1870516.2136826504</v>
      </c>
      <c r="F5" s="32">
        <v>1912881.1387623274</v>
      </c>
      <c r="G5" s="32">
        <v>1854913.2341564749</v>
      </c>
      <c r="H5" s="26"/>
      <c r="I5" s="26"/>
      <c r="M5" s="33"/>
      <c r="N5" s="33"/>
      <c r="O5" s="33"/>
      <c r="P5" s="33"/>
      <c r="Q5" s="33"/>
    </row>
    <row r="6" spans="1:17" ht="15" customHeight="1">
      <c r="A6" s="32" t="s">
        <v>30</v>
      </c>
      <c r="B6" s="35" t="s">
        <v>4</v>
      </c>
      <c r="C6" s="32">
        <v>1998359.9071267762</v>
      </c>
      <c r="D6" s="32">
        <v>1986578.5495812562</v>
      </c>
      <c r="E6" s="32">
        <v>2024053.8991116346</v>
      </c>
      <c r="F6" s="32">
        <v>2022534.9274018391</v>
      </c>
      <c r="G6" s="32">
        <v>2024369.7415438371</v>
      </c>
      <c r="H6" s="26">
        <v>1986000</v>
      </c>
      <c r="I6" s="26"/>
      <c r="M6" s="33"/>
      <c r="N6" s="33"/>
      <c r="O6" s="33"/>
      <c r="P6" s="33"/>
      <c r="Q6" s="33"/>
    </row>
    <row r="7" spans="1:17" ht="15" customHeight="1">
      <c r="A7" s="32" t="s">
        <v>31</v>
      </c>
      <c r="B7" s="35" t="s">
        <v>4</v>
      </c>
      <c r="C7" s="32">
        <v>652566.7699157265</v>
      </c>
      <c r="D7" s="32">
        <v>654297.80497823202</v>
      </c>
      <c r="E7" s="32">
        <v>655941.5185512543</v>
      </c>
      <c r="F7" s="32">
        <v>631905.28155984322</v>
      </c>
      <c r="G7" s="32">
        <v>618847.81243340939</v>
      </c>
      <c r="H7" s="27">
        <v>618000</v>
      </c>
      <c r="I7" s="27"/>
      <c r="M7" s="33"/>
      <c r="N7" s="33"/>
      <c r="O7" s="33"/>
      <c r="P7" s="33"/>
      <c r="Q7" s="33"/>
    </row>
    <row r="8" spans="1:17" ht="15" customHeight="1">
      <c r="A8" s="32" t="s">
        <v>32</v>
      </c>
      <c r="B8" s="35" t="s">
        <v>4</v>
      </c>
      <c r="C8" s="32">
        <v>289500</v>
      </c>
      <c r="D8" s="32">
        <v>274600</v>
      </c>
      <c r="E8" s="32">
        <v>270000</v>
      </c>
      <c r="F8" s="32">
        <v>280200</v>
      </c>
      <c r="G8" s="32">
        <v>241100</v>
      </c>
      <c r="H8" s="28">
        <v>265700</v>
      </c>
      <c r="I8" s="28">
        <v>268500</v>
      </c>
    </row>
    <row r="9" spans="1:17" ht="15" customHeight="1"/>
    <row r="10" spans="1:17" ht="15" customHeight="1">
      <c r="A10" s="6" t="s">
        <v>28</v>
      </c>
      <c r="B10" s="4" t="s">
        <v>0</v>
      </c>
      <c r="C10" s="5">
        <v>2015</v>
      </c>
      <c r="D10" s="5">
        <v>2016</v>
      </c>
      <c r="E10" s="5">
        <v>2017</v>
      </c>
      <c r="F10" s="5">
        <v>2018</v>
      </c>
      <c r="G10" s="5">
        <v>2019</v>
      </c>
      <c r="H10" s="5">
        <v>2020</v>
      </c>
      <c r="I10" s="5">
        <v>2021</v>
      </c>
    </row>
    <row r="11" spans="1:17" ht="15" customHeight="1">
      <c r="A11" s="35" t="s">
        <v>21</v>
      </c>
      <c r="B11" s="35" t="s">
        <v>4</v>
      </c>
      <c r="C11" s="32">
        <f t="shared" ref="C11:H11" si="1">SUM(C12:C19)</f>
        <v>1852173.2603319916</v>
      </c>
      <c r="D11" s="32">
        <f t="shared" si="1"/>
        <v>1827497.9452542877</v>
      </c>
      <c r="E11" s="32">
        <f t="shared" si="1"/>
        <v>1870516.2136826506</v>
      </c>
      <c r="F11" s="32">
        <f t="shared" si="1"/>
        <v>1912881.1387623276</v>
      </c>
      <c r="G11" s="32">
        <f t="shared" si="1"/>
        <v>1854913.2341564752</v>
      </c>
      <c r="H11" s="26">
        <f t="shared" si="1"/>
        <v>1575500</v>
      </c>
      <c r="I11" s="26"/>
      <c r="K11" s="774" t="s">
        <v>34</v>
      </c>
      <c r="M11" s="33"/>
      <c r="N11" s="33"/>
      <c r="O11" s="33"/>
      <c r="P11" s="33"/>
      <c r="Q11" s="33"/>
    </row>
    <row r="12" spans="1:17" ht="15" customHeight="1">
      <c r="A12" s="34" t="s">
        <v>35</v>
      </c>
      <c r="B12" s="35" t="s">
        <v>4</v>
      </c>
      <c r="C12" s="32">
        <v>624190.13463029347</v>
      </c>
      <c r="D12" s="32">
        <v>521497.72702248802</v>
      </c>
      <c r="E12" s="32">
        <v>534065.72982284508</v>
      </c>
      <c r="F12" s="32">
        <v>551731.62428879994</v>
      </c>
      <c r="G12" s="32">
        <v>522179.89003508026</v>
      </c>
      <c r="H12" s="26">
        <v>509500</v>
      </c>
      <c r="I12" s="26">
        <v>574200</v>
      </c>
      <c r="L12">
        <v>1824</v>
      </c>
      <c r="M12" s="33">
        <v>1793</v>
      </c>
      <c r="N12" s="33">
        <v>1837</v>
      </c>
      <c r="O12" s="33">
        <v>1877</v>
      </c>
      <c r="P12" s="33">
        <v>1817</v>
      </c>
      <c r="Q12" s="33"/>
    </row>
    <row r="13" spans="1:17" ht="15" customHeight="1">
      <c r="A13" s="34" t="s">
        <v>36</v>
      </c>
      <c r="B13" s="35" t="s">
        <v>4</v>
      </c>
      <c r="C13" s="32">
        <v>820387.12813915114</v>
      </c>
      <c r="D13" s="32">
        <v>895309.07609811472</v>
      </c>
      <c r="E13" s="32">
        <v>945294.05658036924</v>
      </c>
      <c r="F13" s="32">
        <v>971426.24849384336</v>
      </c>
      <c r="G13" s="32">
        <v>951992.76835349039</v>
      </c>
      <c r="H13" s="26">
        <v>887000</v>
      </c>
      <c r="I13" s="26"/>
      <c r="L13" s="32">
        <f>(L12*1000)-C12-C13-C16-C18</f>
        <v>94153.99453122195</v>
      </c>
      <c r="M13" s="32">
        <f>(M12*1000)-D12-D13-D16-D18</f>
        <v>87123.448674195883</v>
      </c>
      <c r="N13" s="32">
        <f>(N12*1000)-E12-E13-E16-E18</f>
        <v>67785.244001684681</v>
      </c>
      <c r="O13" s="32">
        <f>(O12*1000)-F12-F13-F16-F18</f>
        <v>82518.607092431281</v>
      </c>
      <c r="P13" s="32">
        <f>(P12*1000)-G12-G13-G16-G18</f>
        <v>87982.576993251976</v>
      </c>
      <c r="Q13" s="33"/>
    </row>
    <row r="14" spans="1:17" ht="15" customHeight="1">
      <c r="A14" s="36" t="s">
        <v>37</v>
      </c>
      <c r="B14" s="35" t="s">
        <v>4</v>
      </c>
      <c r="C14" s="32">
        <v>20615.904741416667</v>
      </c>
      <c r="D14" s="32">
        <v>22766.787739216667</v>
      </c>
      <c r="E14" s="32">
        <v>23154.047704150002</v>
      </c>
      <c r="F14" s="32">
        <v>24792.599279666669</v>
      </c>
      <c r="G14" s="32">
        <v>27992.335099027729</v>
      </c>
      <c r="H14" s="27"/>
      <c r="I14" s="27"/>
      <c r="Q14" s="33"/>
    </row>
    <row r="15" spans="1:17" ht="15" customHeight="1">
      <c r="A15" s="32" t="s">
        <v>38</v>
      </c>
      <c r="B15" s="35" t="s">
        <v>4</v>
      </c>
      <c r="C15" s="32">
        <v>26795.179173066663</v>
      </c>
      <c r="D15" s="32">
        <v>27989.207723400003</v>
      </c>
      <c r="E15" s="32">
        <v>31916.375174516532</v>
      </c>
      <c r="F15" s="32">
        <v>43775.5505596</v>
      </c>
      <c r="G15" s="32">
        <v>53539.299770753183</v>
      </c>
      <c r="H15" s="28"/>
      <c r="I15" s="28"/>
      <c r="K15" s="32"/>
      <c r="L15" s="33"/>
      <c r="M15" s="33"/>
      <c r="N15" s="33"/>
      <c r="O15" s="33"/>
      <c r="P15" s="33"/>
    </row>
    <row r="16" spans="1:17" ht="15" customHeight="1">
      <c r="A16" s="34" t="s">
        <v>39</v>
      </c>
      <c r="B16" s="35" t="s">
        <v>4</v>
      </c>
      <c r="C16" s="32">
        <v>118189.24269933332</v>
      </c>
      <c r="D16" s="32">
        <v>137265.13989979564</v>
      </c>
      <c r="E16" s="32">
        <v>140755.96959510088</v>
      </c>
      <c r="F16" s="32">
        <v>112341.52012492543</v>
      </c>
      <c r="G16" s="32">
        <v>88603.151099229246</v>
      </c>
      <c r="H16" s="28"/>
      <c r="I16" s="28"/>
      <c r="L16" s="33">
        <f>G12+G15</f>
        <v>575719.18980583339</v>
      </c>
      <c r="M16" s="33"/>
      <c r="N16" s="33"/>
      <c r="O16" s="33"/>
      <c r="P16" s="33"/>
    </row>
    <row r="17" spans="1:17" ht="15" customHeight="1">
      <c r="A17" s="32" t="s">
        <v>40</v>
      </c>
      <c r="B17" s="35" t="s">
        <v>4</v>
      </c>
      <c r="C17" s="32">
        <v>66078.679095417174</v>
      </c>
      <c r="D17" s="32">
        <v>62549.16775127103</v>
      </c>
      <c r="E17" s="32">
        <v>33581.209616268323</v>
      </c>
      <c r="F17" s="32">
        <v>40300.868612269565</v>
      </c>
      <c r="G17" s="32">
        <v>33677.665180739379</v>
      </c>
      <c r="H17" s="28"/>
      <c r="I17" s="28"/>
      <c r="L17" s="33">
        <f>SUM(G14:G17)+G19-G15</f>
        <v>160959.66247820298</v>
      </c>
      <c r="M17" s="33"/>
      <c r="N17" s="33"/>
      <c r="O17" s="33"/>
      <c r="P17" s="33"/>
    </row>
    <row r="18" spans="1:17" ht="15" customHeight="1">
      <c r="A18" s="34" t="s">
        <v>41</v>
      </c>
      <c r="B18" s="35" t="s">
        <v>4</v>
      </c>
      <c r="C18" s="32">
        <v>167079.5</v>
      </c>
      <c r="D18" s="32">
        <v>151804.60830540562</v>
      </c>
      <c r="E18" s="32">
        <v>149099</v>
      </c>
      <c r="F18" s="32">
        <v>158982</v>
      </c>
      <c r="G18" s="32">
        <v>166241.61351894814</v>
      </c>
      <c r="H18" s="28">
        <v>179000</v>
      </c>
      <c r="I18" s="28"/>
      <c r="L18" s="33"/>
      <c r="M18" s="33">
        <f>13519-9010</f>
        <v>4509</v>
      </c>
      <c r="N18" s="33"/>
      <c r="O18" s="33"/>
      <c r="P18" s="33"/>
    </row>
    <row r="19" spans="1:17" ht="15" customHeight="1">
      <c r="A19" s="32" t="s">
        <v>42</v>
      </c>
      <c r="B19" s="35" t="s">
        <v>4</v>
      </c>
      <c r="C19" s="32">
        <v>8837.4918533129403</v>
      </c>
      <c r="D19" s="32">
        <v>8316.2307145958039</v>
      </c>
      <c r="E19" s="32">
        <v>12649.825189400417</v>
      </c>
      <c r="F19" s="32">
        <v>9530.7274032222722</v>
      </c>
      <c r="G19" s="32">
        <v>10686.511099206655</v>
      </c>
      <c r="H19" s="28"/>
      <c r="I19" s="28"/>
      <c r="L19" s="33"/>
      <c r="M19" s="33"/>
      <c r="N19" s="33"/>
      <c r="O19" s="33"/>
      <c r="P19" s="33"/>
    </row>
    <row r="20" spans="1:17" ht="15" customHeight="1">
      <c r="A20" s="32"/>
      <c r="B20" s="35"/>
      <c r="C20" s="32"/>
      <c r="D20" s="32"/>
      <c r="E20" s="32"/>
      <c r="F20" s="32"/>
      <c r="G20" s="32"/>
      <c r="H20" s="28"/>
      <c r="I20" s="28"/>
      <c r="L20" s="33"/>
      <c r="M20" s="33"/>
      <c r="N20" s="33"/>
      <c r="O20" s="33"/>
      <c r="P20" s="33"/>
    </row>
    <row r="21" spans="1:17" ht="24.75" customHeight="1">
      <c r="A21" s="6" t="s">
        <v>53</v>
      </c>
      <c r="B21" s="4" t="s">
        <v>0</v>
      </c>
      <c r="C21" s="5">
        <v>2015</v>
      </c>
      <c r="D21" s="5">
        <v>2016</v>
      </c>
      <c r="E21" s="5">
        <v>2017</v>
      </c>
      <c r="F21" s="5">
        <v>2018</v>
      </c>
      <c r="G21" s="5">
        <v>2019</v>
      </c>
      <c r="H21" s="5">
        <v>2020</v>
      </c>
      <c r="I21" s="5">
        <v>2021</v>
      </c>
    </row>
    <row r="22" spans="1:17" ht="15" customHeight="1">
      <c r="A22" s="35" t="s">
        <v>21</v>
      </c>
      <c r="B22" s="35" t="s">
        <v>4</v>
      </c>
      <c r="C22" s="32">
        <f>SUM(C23:C25)</f>
        <v>4763990.6767338291</v>
      </c>
      <c r="D22" s="32">
        <f>SUM(D23:D25)</f>
        <v>4716621.3359553125</v>
      </c>
      <c r="E22" s="32">
        <f>SUM(E23:E25)</f>
        <v>4795414.4242398404</v>
      </c>
      <c r="F22" s="32">
        <f>SUM(F23:F25)</f>
        <v>4822179.6107744761</v>
      </c>
      <c r="G22" s="32">
        <f>SUM(G23:G25)</f>
        <v>4722345.8912667092</v>
      </c>
      <c r="H22" s="26"/>
      <c r="I22" s="26"/>
      <c r="K22" t="s">
        <v>34</v>
      </c>
      <c r="M22" s="33"/>
      <c r="N22" s="33"/>
      <c r="O22" s="33"/>
      <c r="P22" s="33"/>
      <c r="Q22" s="33"/>
    </row>
    <row r="23" spans="1:17" ht="15" customHeight="1">
      <c r="A23" s="32" t="s">
        <v>28</v>
      </c>
      <c r="B23" s="35" t="s">
        <v>4</v>
      </c>
      <c r="C23" s="32">
        <v>20441.658636666667</v>
      </c>
      <c r="D23" s="32">
        <v>22574.404196666666</v>
      </c>
      <c r="E23" s="32">
        <v>22958.457610000001</v>
      </c>
      <c r="F23" s="32">
        <v>24583.191306666668</v>
      </c>
      <c r="G23" s="32">
        <v>27755.915457878669</v>
      </c>
      <c r="H23" s="26"/>
      <c r="I23" s="26"/>
      <c r="L23">
        <v>194</v>
      </c>
      <c r="M23">
        <v>218</v>
      </c>
      <c r="N23">
        <v>203</v>
      </c>
      <c r="O23">
        <v>180</v>
      </c>
      <c r="P23">
        <v>223</v>
      </c>
      <c r="Q23" s="33"/>
    </row>
    <row r="24" spans="1:17" ht="15" customHeight="1">
      <c r="A24" s="32" t="s">
        <v>30</v>
      </c>
      <c r="B24" s="35" t="s">
        <v>4</v>
      </c>
      <c r="C24" s="32">
        <v>1812040.9400834837</v>
      </c>
      <c r="D24" s="32">
        <v>1780964.5254350891</v>
      </c>
      <c r="E24" s="32">
        <v>1831668.6219580765</v>
      </c>
      <c r="F24" s="32">
        <v>1854685.1967106909</v>
      </c>
      <c r="G24" s="32">
        <v>1812706.9999999998</v>
      </c>
      <c r="H24" s="26"/>
      <c r="I24" s="26"/>
      <c r="L24" s="32">
        <f>(L23*1000)-C57</f>
        <v>14338.40394905844</v>
      </c>
      <c r="M24" s="32">
        <f>(M23*1000)-D57</f>
        <v>14118.638908066612</v>
      </c>
      <c r="N24" s="32">
        <f>(N23*1000)-E57</f>
        <v>14094.933872665104</v>
      </c>
      <c r="O24" s="32">
        <f>(O23*1000)-F57</f>
        <v>16501.028149503778</v>
      </c>
      <c r="P24" s="32">
        <f>(P23*1000)-G57</f>
        <v>15662.497691759374</v>
      </c>
      <c r="Q24" s="33"/>
    </row>
    <row r="25" spans="1:17" ht="15" customHeight="1">
      <c r="A25" s="32" t="s">
        <v>31</v>
      </c>
      <c r="B25" s="35" t="s">
        <v>4</v>
      </c>
      <c r="C25" s="32">
        <v>2931508.0780136785</v>
      </c>
      <c r="D25" s="32">
        <v>2913082.4063235563</v>
      </c>
      <c r="E25" s="32">
        <v>2940787.3446717639</v>
      </c>
      <c r="F25" s="32">
        <v>2942911.2227571183</v>
      </c>
      <c r="G25" s="32">
        <v>2881882.9758088305</v>
      </c>
      <c r="H25" s="27"/>
      <c r="I25" s="27"/>
      <c r="M25" s="33"/>
      <c r="N25" s="33"/>
      <c r="O25" s="33"/>
      <c r="P25" s="33"/>
      <c r="Q25" s="33"/>
    </row>
    <row r="26" spans="1:17" ht="15" customHeight="1">
      <c r="L26" s="33"/>
      <c r="M26" s="33"/>
      <c r="N26" s="33"/>
      <c r="O26" s="33"/>
      <c r="P26" s="33"/>
    </row>
    <row r="27" spans="1:17" ht="15" customHeight="1">
      <c r="A27" s="6" t="s">
        <v>29</v>
      </c>
      <c r="B27" s="4" t="s">
        <v>0</v>
      </c>
      <c r="C27" s="5">
        <v>2015</v>
      </c>
      <c r="D27" s="5">
        <v>2016</v>
      </c>
      <c r="E27" s="5">
        <v>2017</v>
      </c>
      <c r="F27" s="5">
        <v>2018</v>
      </c>
      <c r="G27" s="5">
        <v>2019</v>
      </c>
      <c r="H27" s="5">
        <v>2020</v>
      </c>
      <c r="I27" s="5">
        <v>2021</v>
      </c>
    </row>
    <row r="28" spans="1:17" ht="15" customHeight="1">
      <c r="A28" s="35" t="s">
        <v>21</v>
      </c>
      <c r="B28" s="35" t="s">
        <v>4</v>
      </c>
      <c r="C28" s="32">
        <f>SUM(C29:C34)</f>
        <v>1998359.9071267762</v>
      </c>
      <c r="D28" s="32">
        <f>SUM(D29:D34)</f>
        <v>1986578.5495812562</v>
      </c>
      <c r="E28" s="32">
        <f>SUM(E29:E34)</f>
        <v>2024053.8991116346</v>
      </c>
      <c r="F28" s="32">
        <f>SUM(F29:F34)</f>
        <v>2022534.9274018388</v>
      </c>
      <c r="G28" s="32">
        <f>SUM(G29:G34)</f>
        <v>2024369.7415438371</v>
      </c>
      <c r="H28" s="26"/>
      <c r="I28" s="26"/>
      <c r="K28" t="s">
        <v>34</v>
      </c>
      <c r="M28" s="33"/>
      <c r="N28" s="33"/>
      <c r="O28" s="33"/>
      <c r="P28" s="33"/>
      <c r="Q28" s="33"/>
    </row>
    <row r="29" spans="1:17" ht="15" customHeight="1">
      <c r="A29" s="32" t="s">
        <v>43</v>
      </c>
      <c r="B29" s="35" t="s">
        <v>4</v>
      </c>
      <c r="C29" s="32">
        <v>716.54013156000008</v>
      </c>
      <c r="D29" s="32">
        <v>773.97152472000005</v>
      </c>
      <c r="E29" s="32">
        <v>902.32273404000011</v>
      </c>
      <c r="F29" s="32">
        <v>905.21219079999992</v>
      </c>
      <c r="G29" s="32">
        <v>956.99099012000011</v>
      </c>
      <c r="H29" s="26"/>
      <c r="I29" s="26"/>
      <c r="M29" s="33"/>
      <c r="N29" s="33"/>
      <c r="O29" s="33"/>
      <c r="P29" s="33"/>
      <c r="Q29" s="33"/>
    </row>
    <row r="30" spans="1:17" ht="15" customHeight="1">
      <c r="A30" s="32" t="s">
        <v>44</v>
      </c>
      <c r="B30" s="35" t="s">
        <v>4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26"/>
      <c r="I30" s="26"/>
      <c r="L30" s="33"/>
      <c r="M30" s="33"/>
      <c r="N30" s="33"/>
      <c r="O30" s="33"/>
      <c r="P30" s="33"/>
      <c r="Q30" s="33"/>
    </row>
    <row r="31" spans="1:17" ht="15" customHeight="1">
      <c r="A31" s="32" t="s">
        <v>45</v>
      </c>
      <c r="B31" s="35" t="s">
        <v>4</v>
      </c>
      <c r="C31" s="32">
        <v>1807454.3303151615</v>
      </c>
      <c r="D31" s="32">
        <v>1772144.3406546167</v>
      </c>
      <c r="E31" s="32">
        <v>1823880.9574118794</v>
      </c>
      <c r="F31" s="32">
        <v>1845663.8814134931</v>
      </c>
      <c r="G31" s="32">
        <v>1805668.4014232741</v>
      </c>
      <c r="H31" s="27"/>
      <c r="I31" s="27"/>
    </row>
    <row r="32" spans="1:17" ht="15" customHeight="1">
      <c r="A32" s="32" t="s">
        <v>46</v>
      </c>
      <c r="B32" s="35" t="s">
        <v>4</v>
      </c>
      <c r="C32" s="32">
        <v>5673.5727014029844</v>
      </c>
      <c r="D32" s="32">
        <v>5757.3938904590332</v>
      </c>
      <c r="E32" s="32">
        <v>5574.7994899601972</v>
      </c>
      <c r="F32" s="32">
        <v>6195.7835853715542</v>
      </c>
      <c r="G32" s="32">
        <v>5552.8913043874636</v>
      </c>
      <c r="H32" s="28"/>
      <c r="I32" s="28"/>
      <c r="L32" s="32">
        <f>F29+F32+F34</f>
        <v>13372.074137849555</v>
      </c>
      <c r="M32" s="32">
        <f>G29+G32+G34</f>
        <v>11363.837812322461</v>
      </c>
    </row>
    <row r="33" spans="1:17" ht="15" customHeight="1">
      <c r="A33" s="34" t="s">
        <v>47</v>
      </c>
      <c r="B33" s="35" t="s">
        <v>4</v>
      </c>
      <c r="C33" s="32">
        <v>179661.59605094156</v>
      </c>
      <c r="D33" s="32">
        <v>203881.36109193339</v>
      </c>
      <c r="E33" s="32">
        <v>188905.0661273349</v>
      </c>
      <c r="F33" s="32">
        <v>163498.97185049622</v>
      </c>
      <c r="G33" s="32">
        <v>207337.50230824063</v>
      </c>
      <c r="H33" s="28"/>
      <c r="I33" s="28"/>
      <c r="L33" s="32"/>
    </row>
    <row r="34" spans="1:17" ht="15" customHeight="1">
      <c r="A34" s="32" t="s">
        <v>48</v>
      </c>
      <c r="B34" s="35" t="s">
        <v>4</v>
      </c>
      <c r="C34" s="32">
        <v>4853.8679277100009</v>
      </c>
      <c r="D34" s="32">
        <v>4021.4824195269994</v>
      </c>
      <c r="E34" s="32">
        <v>4790.7533484200003</v>
      </c>
      <c r="F34" s="32">
        <v>6271.078361678</v>
      </c>
      <c r="G34" s="32">
        <v>4853.9555178149985</v>
      </c>
      <c r="H34" s="28"/>
      <c r="I34" s="28"/>
    </row>
    <row r="35" spans="1:17" ht="15" customHeight="1"/>
    <row r="36" spans="1:17" ht="15" customHeight="1">
      <c r="A36" s="6" t="s">
        <v>31</v>
      </c>
      <c r="B36" s="4" t="s">
        <v>0</v>
      </c>
      <c r="C36" s="5">
        <v>2015</v>
      </c>
      <c r="D36" s="5">
        <v>2016</v>
      </c>
      <c r="E36" s="5">
        <v>2017</v>
      </c>
      <c r="F36" s="5">
        <v>2018</v>
      </c>
      <c r="G36" s="5">
        <v>2019</v>
      </c>
      <c r="H36" s="5">
        <v>2020</v>
      </c>
      <c r="I36" s="5"/>
    </row>
    <row r="37" spans="1:17" ht="15" customHeight="1">
      <c r="A37" s="35" t="s">
        <v>21</v>
      </c>
      <c r="B37" s="35" t="s">
        <v>4</v>
      </c>
      <c r="C37" s="32">
        <f t="shared" ref="C37:H37" si="2">SUM(C38:C41)</f>
        <v>652566.76991572639</v>
      </c>
      <c r="D37" s="32">
        <f t="shared" si="2"/>
        <v>654297.80497823202</v>
      </c>
      <c r="E37" s="32">
        <f t="shared" si="2"/>
        <v>655941.51855125418</v>
      </c>
      <c r="F37" s="32">
        <f t="shared" si="2"/>
        <v>631905.28155984334</v>
      </c>
      <c r="G37" s="32">
        <f t="shared" si="2"/>
        <v>618847.81243340939</v>
      </c>
      <c r="H37" s="26">
        <f t="shared" si="2"/>
        <v>618000</v>
      </c>
      <c r="I37" s="26"/>
      <c r="K37" t="s">
        <v>34</v>
      </c>
      <c r="M37" s="33"/>
      <c r="N37" s="33"/>
      <c r="O37" s="33"/>
      <c r="P37" s="33"/>
      <c r="Q37" s="33"/>
    </row>
    <row r="38" spans="1:17" ht="15" customHeight="1">
      <c r="A38" s="34" t="s">
        <v>49</v>
      </c>
      <c r="B38" s="35" t="s">
        <v>4</v>
      </c>
      <c r="C38" s="32">
        <v>313841.41674597241</v>
      </c>
      <c r="D38" s="32">
        <v>318061.82815993711</v>
      </c>
      <c r="E38" s="32">
        <v>311008.70553855988</v>
      </c>
      <c r="F38" s="32">
        <v>301140.44393239036</v>
      </c>
      <c r="G38" s="32">
        <v>296707.11455164751</v>
      </c>
      <c r="H38" s="26">
        <v>291000</v>
      </c>
      <c r="I38" s="26"/>
      <c r="M38" s="33"/>
      <c r="N38" s="33"/>
      <c r="O38" s="33"/>
      <c r="P38" s="33"/>
      <c r="Q38" s="33"/>
    </row>
    <row r="39" spans="1:17" ht="15" customHeight="1">
      <c r="A39" s="32" t="s">
        <v>50</v>
      </c>
      <c r="B39" s="35" t="s">
        <v>4</v>
      </c>
      <c r="C39" s="32">
        <v>77802.528260834253</v>
      </c>
      <c r="D39" s="32">
        <v>79189.008316949286</v>
      </c>
      <c r="E39" s="32">
        <v>78158.248288984032</v>
      </c>
      <c r="F39" s="32">
        <v>75781.792948553033</v>
      </c>
      <c r="G39" s="32">
        <v>73985.76584036625</v>
      </c>
      <c r="H39" s="26">
        <v>74000</v>
      </c>
      <c r="I39" s="26"/>
      <c r="L39" s="33"/>
      <c r="M39" s="33"/>
      <c r="N39" s="33"/>
      <c r="O39" s="33"/>
      <c r="P39" s="33"/>
      <c r="Q39" s="33"/>
    </row>
    <row r="40" spans="1:17" ht="15" customHeight="1">
      <c r="A40" s="34" t="s">
        <v>51</v>
      </c>
      <c r="B40" s="35" t="s">
        <v>4</v>
      </c>
      <c r="C40" s="32">
        <v>257446.31120891974</v>
      </c>
      <c r="D40" s="32">
        <v>254138.0214346789</v>
      </c>
      <c r="E40" s="32">
        <v>264404.79512371024</v>
      </c>
      <c r="F40" s="32">
        <v>251788.71581223322</v>
      </c>
      <c r="G40" s="32">
        <v>242288.87697472898</v>
      </c>
      <c r="H40" s="27">
        <v>248000</v>
      </c>
      <c r="I40" s="27"/>
      <c r="L40" s="32">
        <f>G41+G39</f>
        <v>79851.820907032918</v>
      </c>
    </row>
    <row r="41" spans="1:17" ht="15" customHeight="1">
      <c r="A41" s="32" t="s">
        <v>52</v>
      </c>
      <c r="B41" s="35" t="s">
        <v>4</v>
      </c>
      <c r="C41" s="32">
        <v>3476.5137</v>
      </c>
      <c r="D41" s="32">
        <v>2908.9470666666662</v>
      </c>
      <c r="E41" s="32">
        <v>2369.7695999999996</v>
      </c>
      <c r="F41" s="32">
        <v>3194.3288666666658</v>
      </c>
      <c r="G41" s="32">
        <v>5866.0550666666659</v>
      </c>
      <c r="H41" s="28">
        <v>5000</v>
      </c>
      <c r="I41" s="28"/>
    </row>
    <row r="42" spans="1:17" ht="15" customHeight="1"/>
    <row r="43" spans="1:17" ht="15" customHeight="1">
      <c r="A43" s="6" t="s">
        <v>32</v>
      </c>
      <c r="B43" s="4" t="s">
        <v>0</v>
      </c>
      <c r="C43" s="5">
        <v>2015</v>
      </c>
      <c r="D43" s="5">
        <v>2016</v>
      </c>
      <c r="E43" s="5">
        <v>2017</v>
      </c>
      <c r="F43" s="5">
        <v>2018</v>
      </c>
      <c r="G43" s="5">
        <v>2019</v>
      </c>
      <c r="H43" s="5">
        <v>2020</v>
      </c>
      <c r="I43" s="5"/>
    </row>
    <row r="44" spans="1:17" ht="15" customHeight="1">
      <c r="A44" s="35" t="s">
        <v>21</v>
      </c>
      <c r="B44" s="35" t="s">
        <v>4</v>
      </c>
      <c r="C44" s="32">
        <f t="shared" ref="C44:H44" si="3">SUM(C45:C48)</f>
        <v>260890.73935933568</v>
      </c>
      <c r="D44" s="32">
        <f t="shared" si="3"/>
        <v>248247.03614153631</v>
      </c>
      <c r="E44" s="32">
        <f t="shared" si="3"/>
        <v>244902.7928943017</v>
      </c>
      <c r="F44" s="32">
        <f t="shared" si="3"/>
        <v>254858.26305046614</v>
      </c>
      <c r="G44" s="32">
        <f t="shared" si="3"/>
        <v>224215.10313298739</v>
      </c>
      <c r="H44" s="26">
        <f t="shared" si="3"/>
        <v>246000</v>
      </c>
      <c r="I44" s="26"/>
      <c r="K44" t="s">
        <v>34</v>
      </c>
      <c r="M44" s="33"/>
      <c r="N44" s="33"/>
      <c r="O44" s="33"/>
      <c r="P44" s="33"/>
      <c r="Q44" s="33"/>
    </row>
    <row r="45" spans="1:17" ht="15" customHeight="1">
      <c r="A45" s="34" t="s">
        <v>54</v>
      </c>
      <c r="B45" s="35" t="s">
        <v>4</v>
      </c>
      <c r="C45" s="32">
        <v>200147.98023607081</v>
      </c>
      <c r="D45" s="32">
        <v>191971.50498230336</v>
      </c>
      <c r="E45" s="32">
        <v>184804.85083694773</v>
      </c>
      <c r="F45" s="32">
        <v>192831.75217185242</v>
      </c>
      <c r="G45" s="32">
        <v>162892.72538557593</v>
      </c>
      <c r="H45" s="26">
        <v>187000</v>
      </c>
      <c r="I45" s="26"/>
      <c r="M45" s="33"/>
      <c r="N45" s="33"/>
      <c r="O45" s="33"/>
      <c r="P45" s="33"/>
      <c r="Q45" s="33"/>
    </row>
    <row r="46" spans="1:17" ht="15" customHeight="1">
      <c r="A46" s="32" t="s">
        <v>55</v>
      </c>
      <c r="B46" s="35" t="s">
        <v>4</v>
      </c>
      <c r="C46" s="32">
        <v>3653.6161280000006</v>
      </c>
      <c r="D46" s="32">
        <v>3912.2494208000003</v>
      </c>
      <c r="E46" s="32">
        <v>3722.8464025600006</v>
      </c>
      <c r="F46" s="32">
        <v>4117.4077516799998</v>
      </c>
      <c r="G46" s="32">
        <v>4093.3116101119999</v>
      </c>
      <c r="H46" s="26">
        <v>5000</v>
      </c>
      <c r="I46" s="26"/>
      <c r="L46" s="33"/>
      <c r="M46" s="33"/>
      <c r="N46" s="33"/>
      <c r="O46" s="33"/>
      <c r="P46" s="33"/>
      <c r="Q46" s="33"/>
    </row>
    <row r="47" spans="1:17" ht="15" customHeight="1">
      <c r="A47" s="32" t="s">
        <v>56</v>
      </c>
      <c r="B47" s="35" t="s">
        <v>4</v>
      </c>
      <c r="C47" s="32">
        <v>7099.5091363881338</v>
      </c>
      <c r="D47" s="32">
        <v>7426.8464206791741</v>
      </c>
      <c r="E47" s="32">
        <v>7798.7273868057064</v>
      </c>
      <c r="F47" s="32">
        <v>6825.7945909720975</v>
      </c>
      <c r="G47" s="32">
        <v>9374.0210721608019</v>
      </c>
      <c r="H47" s="27">
        <v>6000</v>
      </c>
      <c r="I47" s="27"/>
    </row>
    <row r="48" spans="1:17" ht="15" customHeight="1">
      <c r="A48" s="32" t="s">
        <v>57</v>
      </c>
      <c r="B48" s="35" t="s">
        <v>4</v>
      </c>
      <c r="C48" s="32">
        <v>49989.633858876747</v>
      </c>
      <c r="D48" s="32">
        <v>44936.435317753763</v>
      </c>
      <c r="E48" s="32">
        <v>48576.368267988255</v>
      </c>
      <c r="F48" s="32">
        <v>51083.308535961609</v>
      </c>
      <c r="G48" s="32">
        <v>47855.045065138656</v>
      </c>
      <c r="H48" s="28">
        <v>48000</v>
      </c>
      <c r="I48" s="28"/>
    </row>
    <row r="50" spans="1:9">
      <c r="A50" s="6" t="s">
        <v>58</v>
      </c>
      <c r="B50" s="4" t="s">
        <v>0</v>
      </c>
      <c r="C50" s="5">
        <v>2015</v>
      </c>
      <c r="D50" s="5">
        <v>2016</v>
      </c>
      <c r="E50" s="5">
        <v>2017</v>
      </c>
      <c r="F50" s="5">
        <v>2018</v>
      </c>
      <c r="G50" s="5">
        <v>2019</v>
      </c>
      <c r="H50" s="5">
        <v>2020</v>
      </c>
      <c r="I50" s="5"/>
    </row>
    <row r="51" spans="1:9">
      <c r="A51" s="35" t="s">
        <v>21</v>
      </c>
      <c r="B51" s="35" t="s">
        <v>4</v>
      </c>
      <c r="C51" s="32">
        <f t="shared" ref="C51:H51" si="4">SUM(C52:C62)</f>
        <v>2931457.509275062</v>
      </c>
      <c r="D51" s="32">
        <f t="shared" si="4"/>
        <v>2913544.8411197681</v>
      </c>
      <c r="E51" s="32">
        <f t="shared" si="4"/>
        <v>2940844.3114455556</v>
      </c>
      <c r="F51" s="32">
        <f t="shared" si="4"/>
        <v>2943763.5446103099</v>
      </c>
      <c r="G51" s="32">
        <f t="shared" si="4"/>
        <v>2883062.9155663969</v>
      </c>
      <c r="H51" s="26">
        <f t="shared" si="4"/>
        <v>2543147.0746850111</v>
      </c>
      <c r="I51" s="26"/>
    </row>
    <row r="52" spans="1:9">
      <c r="A52" s="35" t="str">
        <f>A12</f>
        <v>Fiskiskip</v>
      </c>
      <c r="B52" s="35" t="s">
        <v>4</v>
      </c>
      <c r="C52" s="32">
        <f t="shared" ref="C52:G53" si="5">C12</f>
        <v>624190.13463029347</v>
      </c>
      <c r="D52" s="32">
        <f t="shared" si="5"/>
        <v>521497.72702248802</v>
      </c>
      <c r="E52" s="32">
        <f t="shared" si="5"/>
        <v>534065.72982284508</v>
      </c>
      <c r="F52" s="32">
        <f t="shared" si="5"/>
        <v>551731.62428879994</v>
      </c>
      <c r="G52" s="32">
        <f t="shared" si="5"/>
        <v>522179.89003508026</v>
      </c>
      <c r="H52" s="26">
        <f t="shared" ref="H52" si="6">H12</f>
        <v>509500</v>
      </c>
      <c r="I52" s="26"/>
    </row>
    <row r="53" spans="1:9">
      <c r="A53" s="35" t="str">
        <f>A13</f>
        <v>Vegasamgöngur</v>
      </c>
      <c r="B53" s="35" t="s">
        <v>4</v>
      </c>
      <c r="C53" s="32">
        <f t="shared" si="5"/>
        <v>820387.12813915114</v>
      </c>
      <c r="D53" s="32">
        <f t="shared" si="5"/>
        <v>895309.07609811472</v>
      </c>
      <c r="E53" s="32">
        <f t="shared" si="5"/>
        <v>945294.05658036924</v>
      </c>
      <c r="F53" s="32">
        <f t="shared" si="5"/>
        <v>971426.24849384336</v>
      </c>
      <c r="G53" s="32">
        <f t="shared" si="5"/>
        <v>951992.76835349039</v>
      </c>
      <c r="H53" s="26">
        <f t="shared" ref="H53" si="7">H13</f>
        <v>887000</v>
      </c>
      <c r="I53" s="26"/>
    </row>
    <row r="54" spans="1:9">
      <c r="A54" s="35" t="str">
        <f>A16</f>
        <v>Vélar og tæki</v>
      </c>
      <c r="B54" s="35" t="s">
        <v>4</v>
      </c>
      <c r="C54" s="32">
        <f t="shared" ref="C54:H54" si="8">C16</f>
        <v>118189.24269933332</v>
      </c>
      <c r="D54" s="32">
        <f t="shared" si="8"/>
        <v>137265.13989979564</v>
      </c>
      <c r="E54" s="32">
        <f t="shared" si="8"/>
        <v>140755.96959510088</v>
      </c>
      <c r="F54" s="32">
        <f t="shared" si="8"/>
        <v>112341.52012492543</v>
      </c>
      <c r="G54" s="32">
        <f t="shared" si="8"/>
        <v>88603.151099229246</v>
      </c>
      <c r="H54" s="26">
        <f t="shared" si="8"/>
        <v>0</v>
      </c>
      <c r="I54" s="26"/>
    </row>
    <row r="55" spans="1:9">
      <c r="A55" s="35" t="str">
        <f>A18</f>
        <v>Jarðvarmavirkjanir</v>
      </c>
      <c r="B55" s="35" t="s">
        <v>4</v>
      </c>
      <c r="C55" s="32">
        <f t="shared" ref="C55:H55" si="9">C18</f>
        <v>167079.5</v>
      </c>
      <c r="D55" s="32">
        <f t="shared" si="9"/>
        <v>151804.60830540562</v>
      </c>
      <c r="E55" s="32">
        <f t="shared" si="9"/>
        <v>149099</v>
      </c>
      <c r="F55" s="32">
        <f t="shared" si="9"/>
        <v>158982</v>
      </c>
      <c r="G55" s="32">
        <f t="shared" si="9"/>
        <v>166241.61351894814</v>
      </c>
      <c r="H55" s="26">
        <f t="shared" si="9"/>
        <v>179000</v>
      </c>
      <c r="I55" s="26"/>
    </row>
    <row r="56" spans="1:9">
      <c r="A56" s="35" t="s">
        <v>59</v>
      </c>
      <c r="B56" s="35" t="s">
        <v>4</v>
      </c>
      <c r="C56" s="32">
        <v>94153.99453122195</v>
      </c>
      <c r="D56" s="32">
        <v>87123.448674195883</v>
      </c>
      <c r="E56" s="32">
        <v>67785.244001684681</v>
      </c>
      <c r="F56" s="32">
        <v>82518.607092431281</v>
      </c>
      <c r="G56" s="32">
        <v>87982.576993251976</v>
      </c>
      <c r="H56" s="26">
        <v>87983.576993252005</v>
      </c>
      <c r="I56" s="26"/>
    </row>
    <row r="57" spans="1:9">
      <c r="A57" s="35" t="str">
        <f>A33</f>
        <v>F-gös (m.a. kælimiðlar)</v>
      </c>
      <c r="B57" s="35" t="s">
        <v>4</v>
      </c>
      <c r="C57" s="32">
        <f t="shared" ref="C57:H57" si="10">C33</f>
        <v>179661.59605094156</v>
      </c>
      <c r="D57" s="32">
        <f t="shared" si="10"/>
        <v>203881.36109193339</v>
      </c>
      <c r="E57" s="32">
        <f t="shared" si="10"/>
        <v>188905.0661273349</v>
      </c>
      <c r="F57" s="32">
        <f t="shared" si="10"/>
        <v>163498.97185049622</v>
      </c>
      <c r="G57" s="32">
        <f t="shared" si="10"/>
        <v>207337.50230824063</v>
      </c>
      <c r="H57" s="26">
        <f t="shared" si="10"/>
        <v>0</v>
      </c>
      <c r="I57" s="26"/>
    </row>
    <row r="58" spans="1:9">
      <c r="A58" s="35" t="s">
        <v>60</v>
      </c>
      <c r="B58" s="35" t="s">
        <v>4</v>
      </c>
      <c r="C58" s="32">
        <v>14338.40394905844</v>
      </c>
      <c r="D58" s="32">
        <v>14118.638908066612</v>
      </c>
      <c r="E58" s="32">
        <v>14094.933872665104</v>
      </c>
      <c r="F58" s="32">
        <v>16501.028149503778</v>
      </c>
      <c r="G58" s="32">
        <v>15662.497691759374</v>
      </c>
      <c r="H58" s="26">
        <v>15663.497691759399</v>
      </c>
      <c r="I58" s="26"/>
    </row>
    <row r="59" spans="1:9">
      <c r="A59" s="35" t="str">
        <f>A38</f>
        <v>Iðragerjun</v>
      </c>
      <c r="B59" s="35" t="s">
        <v>4</v>
      </c>
      <c r="C59" s="32">
        <f t="shared" ref="C59:H59" si="11">C38</f>
        <v>313841.41674597241</v>
      </c>
      <c r="D59" s="32">
        <f t="shared" si="11"/>
        <v>318061.82815993711</v>
      </c>
      <c r="E59" s="32">
        <f t="shared" si="11"/>
        <v>311008.70553855988</v>
      </c>
      <c r="F59" s="32">
        <f t="shared" si="11"/>
        <v>301140.44393239036</v>
      </c>
      <c r="G59" s="32">
        <f t="shared" si="11"/>
        <v>296707.11455164751</v>
      </c>
      <c r="H59" s="26">
        <f t="shared" si="11"/>
        <v>291000</v>
      </c>
      <c r="I59" s="26"/>
    </row>
    <row r="60" spans="1:9">
      <c r="A60" s="35" t="str">
        <f>A40</f>
        <v>Nytjajarðvegur</v>
      </c>
      <c r="B60" s="35" t="s">
        <v>4</v>
      </c>
      <c r="C60" s="32">
        <f t="shared" ref="C60:H60" si="12">C40</f>
        <v>257446.31120891974</v>
      </c>
      <c r="D60" s="32">
        <f t="shared" si="12"/>
        <v>254138.0214346789</v>
      </c>
      <c r="E60" s="32">
        <f t="shared" si="12"/>
        <v>264404.79512371024</v>
      </c>
      <c r="F60" s="32">
        <f t="shared" si="12"/>
        <v>251788.71581223322</v>
      </c>
      <c r="G60" s="32">
        <f t="shared" si="12"/>
        <v>242288.87697472898</v>
      </c>
      <c r="H60" s="26">
        <f t="shared" si="12"/>
        <v>248000</v>
      </c>
      <c r="I60" s="26"/>
    </row>
    <row r="61" spans="1:9">
      <c r="A61" s="35" t="str">
        <f>A45</f>
        <v>Urðun úrgangs</v>
      </c>
      <c r="B61" s="35" t="s">
        <v>4</v>
      </c>
      <c r="C61" s="32">
        <f t="shared" ref="C61:H61" si="13">C45</f>
        <v>200147.98023607081</v>
      </c>
      <c r="D61" s="32">
        <f t="shared" si="13"/>
        <v>191971.50498230336</v>
      </c>
      <c r="E61" s="32">
        <f t="shared" si="13"/>
        <v>184804.85083694773</v>
      </c>
      <c r="F61" s="32">
        <f t="shared" si="13"/>
        <v>192831.75217185242</v>
      </c>
      <c r="G61" s="32">
        <f t="shared" si="13"/>
        <v>162892.72538557593</v>
      </c>
      <c r="H61" s="26">
        <f t="shared" si="13"/>
        <v>187000</v>
      </c>
      <c r="I61" s="26"/>
    </row>
    <row r="62" spans="1:9">
      <c r="A62" t="s">
        <v>42</v>
      </c>
      <c r="B62" s="35" t="s">
        <v>4</v>
      </c>
      <c r="C62" s="32">
        <f t="shared" ref="C62:H62" si="14">C48+C47+C46+C41+C39</f>
        <v>142021.80108409913</v>
      </c>
      <c r="D62" s="32">
        <f t="shared" si="14"/>
        <v>138373.4865428489</v>
      </c>
      <c r="E62" s="32">
        <f t="shared" si="14"/>
        <v>140625.959946338</v>
      </c>
      <c r="F62" s="32">
        <f t="shared" si="14"/>
        <v>141002.63269383341</v>
      </c>
      <c r="G62" s="32">
        <f t="shared" si="14"/>
        <v>141174.19865444436</v>
      </c>
      <c r="H62" s="26">
        <f t="shared" si="14"/>
        <v>138000</v>
      </c>
      <c r="I62" s="26"/>
    </row>
    <row r="64" spans="1:9" ht="24.5">
      <c r="A64" s="6" t="s">
        <v>64</v>
      </c>
      <c r="B64" s="4" t="s">
        <v>0</v>
      </c>
      <c r="C64" s="5">
        <v>2015</v>
      </c>
      <c r="D64" s="5">
        <v>2016</v>
      </c>
      <c r="E64" s="5">
        <v>2017</v>
      </c>
      <c r="F64" s="5">
        <v>2018</v>
      </c>
      <c r="G64" s="5">
        <v>2019</v>
      </c>
      <c r="H64" s="5">
        <v>2020</v>
      </c>
      <c r="I64" s="5"/>
    </row>
    <row r="65" spans="1:9">
      <c r="A65" s="35" t="s">
        <v>21</v>
      </c>
      <c r="B65" s="35" t="s">
        <v>4</v>
      </c>
      <c r="C65" s="32">
        <f>SUM(C66:C76)</f>
        <v>1812038.5541451485</v>
      </c>
      <c r="D65" s="32">
        <f>SUM(D66:D76)</f>
        <v>1780916.6888162368</v>
      </c>
      <c r="E65" s="32">
        <f>SUM(E66:E76)</f>
        <v>1831255.2153477697</v>
      </c>
      <c r="F65" s="32">
        <f>SUM(F66:F76)</f>
        <v>1854104.123553338</v>
      </c>
      <c r="G65" s="32">
        <f>SUM(G66:G76)</f>
        <v>1811822.5661452455</v>
      </c>
      <c r="H65" s="26"/>
      <c r="I65" s="26"/>
    </row>
    <row r="66" spans="1:9">
      <c r="A66" s="35" t="s">
        <v>61</v>
      </c>
      <c r="B66" s="35" t="s">
        <v>4</v>
      </c>
      <c r="C66" s="32">
        <v>7877.342329986669</v>
      </c>
      <c r="D66" s="32">
        <v>12373.307299119999</v>
      </c>
      <c r="E66" s="32">
        <v>10500.173123390434</v>
      </c>
      <c r="F66" s="32">
        <v>11597.262139844523</v>
      </c>
      <c r="G66" s="32">
        <v>9973.4661452456712</v>
      </c>
      <c r="H66" s="26"/>
      <c r="I66" s="26"/>
    </row>
    <row r="67" spans="1:9">
      <c r="A67" s="35" t="s">
        <v>62</v>
      </c>
      <c r="B67" s="35" t="s">
        <v>4</v>
      </c>
      <c r="C67" s="32">
        <v>400915.9615968545</v>
      </c>
      <c r="D67" s="32">
        <v>405165.45580981276</v>
      </c>
      <c r="E67" s="32">
        <v>428320.83524965425</v>
      </c>
      <c r="F67" s="32">
        <v>452243.36470046622</v>
      </c>
      <c r="G67" s="32">
        <v>428793</v>
      </c>
      <c r="H67" s="26"/>
      <c r="I67" s="26"/>
    </row>
    <row r="68" spans="1:9">
      <c r="A68" s="35" t="s">
        <v>63</v>
      </c>
      <c r="B68" s="35" t="s">
        <v>4</v>
      </c>
      <c r="C68" s="32">
        <v>1403245.2502183074</v>
      </c>
      <c r="D68" s="32">
        <v>1363377.9257073039</v>
      </c>
      <c r="E68" s="32">
        <v>1392434.206974725</v>
      </c>
      <c r="F68" s="32">
        <v>1390263.4967130271</v>
      </c>
      <c r="G68" s="32">
        <v>1373056.0999999999</v>
      </c>
      <c r="H68" s="26"/>
      <c r="I68" s="26"/>
    </row>
  </sheetData>
  <hyperlinks>
    <hyperlink ref="K11" r:id="rId1" xr:uid="{FB926730-30B5-4FCC-93A0-A0C4F7A3633C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658A8-CE47-4185-B369-BBF180086854}">
  <sheetPr>
    <pageSetUpPr autoPageBreaks="0"/>
  </sheetPr>
  <dimension ref="A3:AR100"/>
  <sheetViews>
    <sheetView showGridLines="0" topLeftCell="AA1" workbookViewId="0">
      <selection activeCell="AP5" sqref="AP5"/>
    </sheetView>
  </sheetViews>
  <sheetFormatPr defaultColWidth="9.1328125" defaultRowHeight="13"/>
  <cols>
    <col min="3" max="4" width="11.26953125" customWidth="1"/>
    <col min="8" max="8" width="8" customWidth="1"/>
    <col min="13" max="13" width="11.40625" bestFit="1" customWidth="1"/>
    <col min="14" max="14" width="12.7265625" customWidth="1"/>
    <col min="15" max="15" width="15" bestFit="1" customWidth="1"/>
    <col min="16" max="16" width="13.7265625" customWidth="1"/>
    <col min="19" max="19" width="11.86328125" bestFit="1" customWidth="1"/>
    <col min="21" max="21" width="12" customWidth="1"/>
    <col min="22" max="22" width="10.1328125" customWidth="1"/>
    <col min="23" max="23" width="12.54296875" customWidth="1"/>
    <col min="25" max="25" width="10.1328125" customWidth="1"/>
    <col min="33" max="33" width="12" bestFit="1" customWidth="1"/>
    <col min="42" max="42" width="12" bestFit="1" customWidth="1"/>
  </cols>
  <sheetData>
    <row r="3" spans="1:44" ht="17.5" thickBot="1">
      <c r="A3" s="984" t="s">
        <v>266</v>
      </c>
      <c r="B3" s="984"/>
      <c r="C3" s="984"/>
      <c r="D3" s="984"/>
      <c r="E3" s="984"/>
      <c r="F3" s="984"/>
      <c r="G3" s="984"/>
      <c r="H3" s="984"/>
      <c r="I3" s="321"/>
    </row>
    <row r="4" spans="1:44" ht="25.25">
      <c r="A4" s="985"/>
      <c r="B4" s="986"/>
      <c r="C4" s="991" t="s">
        <v>516</v>
      </c>
      <c r="D4" s="992"/>
      <c r="E4" s="992"/>
      <c r="F4" s="992"/>
      <c r="G4" s="992"/>
      <c r="H4" s="992"/>
      <c r="I4" s="322"/>
      <c r="J4" s="322"/>
      <c r="V4" t="str">
        <f>_xlfn.XLOOKUP(""&amp;tblBrennsla[[#Headers],[2021]],Reykjavík!$A$3:$J$3,Reykjavík!$A$6:$J$6,"hættabulla",0,1)</f>
        <v>hættabulla</v>
      </c>
    </row>
    <row r="5" spans="1:44" ht="25.25">
      <c r="A5" s="987"/>
      <c r="B5" s="988"/>
      <c r="C5" s="323"/>
      <c r="D5" s="708"/>
      <c r="E5" s="327"/>
      <c r="F5" s="712"/>
      <c r="G5" s="997" t="s">
        <v>148</v>
      </c>
      <c r="H5" s="998"/>
      <c r="I5" s="998"/>
      <c r="J5" s="998"/>
      <c r="AE5">
        <f>548000/(365*24)</f>
        <v>62.557077625570777</v>
      </c>
      <c r="AF5">
        <f>AH10/AH9</f>
        <v>4.5842725137866962E-2</v>
      </c>
      <c r="AG5">
        <f>AG6*AF5</f>
        <v>1.7262950888736511E-2</v>
      </c>
      <c r="AK5">
        <f>AF5*(1-AG6)</f>
        <v>2.8579774249130451E-2</v>
      </c>
      <c r="AP5">
        <f>188505*Reykjavík!J$6</f>
        <v>106291.88424105918</v>
      </c>
    </row>
    <row r="6" spans="1:44" ht="25.25">
      <c r="A6" s="989"/>
      <c r="B6" s="990"/>
      <c r="C6" s="329"/>
      <c r="D6" s="709"/>
      <c r="E6" s="333"/>
      <c r="F6" s="713"/>
      <c r="G6" s="335"/>
      <c r="H6" s="336"/>
      <c r="I6" s="337"/>
      <c r="J6" s="337"/>
      <c r="V6">
        <v>2021</v>
      </c>
      <c r="W6">
        <v>2020</v>
      </c>
      <c r="X6">
        <v>2019</v>
      </c>
      <c r="Y6">
        <v>2018</v>
      </c>
      <c r="Z6">
        <v>2017</v>
      </c>
      <c r="AA6">
        <v>2016</v>
      </c>
      <c r="AE6">
        <f>4780</f>
        <v>4780</v>
      </c>
      <c r="AF6">
        <v>1800</v>
      </c>
      <c r="AG6">
        <f>AF6/AH10</f>
        <v>0.37656903765690375</v>
      </c>
      <c r="AK6">
        <f>AF5/55*45</f>
        <v>3.7507684203709334E-2</v>
      </c>
      <c r="AL6">
        <v>0.17199999999999999</v>
      </c>
    </row>
    <row r="7" spans="1:44" ht="14.25">
      <c r="A7" s="338"/>
      <c r="B7" s="339"/>
      <c r="C7" s="340"/>
      <c r="D7" s="341"/>
      <c r="E7" s="343"/>
      <c r="F7" s="714"/>
      <c r="G7" s="344"/>
      <c r="H7" s="449"/>
      <c r="I7" s="346"/>
      <c r="J7" s="346"/>
    </row>
    <row r="8" spans="1:44" ht="14.25">
      <c r="A8" s="1025" t="s">
        <v>268</v>
      </c>
      <c r="B8" s="1026"/>
      <c r="C8" s="347" t="s">
        <v>517</v>
      </c>
      <c r="D8" s="710" t="s">
        <v>534</v>
      </c>
      <c r="E8" s="350" t="s">
        <v>517</v>
      </c>
      <c r="F8" s="405"/>
      <c r="G8" s="351"/>
      <c r="H8" s="538"/>
      <c r="I8" s="706"/>
      <c r="J8" s="706"/>
      <c r="U8" s="12" t="s">
        <v>545</v>
      </c>
      <c r="V8" s="12"/>
      <c r="W8" s="719"/>
      <c r="X8" s="719"/>
      <c r="Y8" s="719"/>
      <c r="Z8" s="719"/>
      <c r="AA8" s="719"/>
      <c r="AD8" s="31"/>
      <c r="AE8" s="31">
        <v>2011</v>
      </c>
      <c r="AF8" s="31">
        <v>2013</v>
      </c>
      <c r="AG8" s="31">
        <v>2015</v>
      </c>
      <c r="AH8" s="31">
        <v>2016</v>
      </c>
      <c r="AI8" s="31">
        <v>2017</v>
      </c>
      <c r="AJ8" s="31">
        <v>2018</v>
      </c>
      <c r="AK8" s="31">
        <v>2019</v>
      </c>
      <c r="AL8" s="31">
        <v>2020</v>
      </c>
      <c r="AM8" s="31">
        <v>2021</v>
      </c>
      <c r="AN8" s="31">
        <v>2022</v>
      </c>
    </row>
    <row r="9" spans="1:44" ht="15" thickBot="1">
      <c r="A9" s="352"/>
      <c r="B9" s="353"/>
      <c r="C9" s="448"/>
      <c r="D9" s="707"/>
      <c r="E9" s="354" t="s">
        <v>273</v>
      </c>
      <c r="F9" s="346"/>
      <c r="G9" s="357"/>
      <c r="H9" s="539"/>
      <c r="I9" s="707"/>
      <c r="J9" s="707"/>
      <c r="R9">
        <f>1/12</f>
        <v>8.3333333333333329E-2</v>
      </c>
      <c r="U9" s="719"/>
      <c r="V9" s="719"/>
      <c r="W9" s="719"/>
      <c r="X9" s="719"/>
      <c r="Y9" s="719"/>
      <c r="Z9" s="719"/>
      <c r="AA9" s="719"/>
      <c r="AD9" s="31" t="s">
        <v>525</v>
      </c>
      <c r="AE9" s="31">
        <v>101409</v>
      </c>
      <c r="AF9" s="31">
        <v>103947</v>
      </c>
      <c r="AG9" s="31">
        <v>92851.460999999996</v>
      </c>
      <c r="AH9" s="31">
        <f>D22</f>
        <v>104269.54300000001</v>
      </c>
      <c r="AI9" s="31">
        <v>123079.44</v>
      </c>
      <c r="AJ9" s="31">
        <v>123080.44</v>
      </c>
      <c r="AK9" s="31">
        <v>111254.22</v>
      </c>
      <c r="AL9" s="32">
        <f>D74</f>
        <v>89065.2</v>
      </c>
      <c r="AM9" s="32">
        <f>D87</f>
        <v>85542.48</v>
      </c>
      <c r="AN9" s="32">
        <f>D100</f>
        <v>67484.789999999994</v>
      </c>
    </row>
    <row r="10" spans="1:44" ht="15" thickBot="1">
      <c r="A10" s="976">
        <v>2016</v>
      </c>
      <c r="B10" s="358" t="s">
        <v>191</v>
      </c>
      <c r="C10" s="359"/>
      <c r="D10" s="360"/>
      <c r="E10" s="362">
        <f>C10</f>
        <v>0</v>
      </c>
      <c r="F10" s="715"/>
      <c r="G10" s="363"/>
      <c r="H10" s="364"/>
      <c r="I10" s="365"/>
      <c r="J10" s="365"/>
      <c r="L10" t="s">
        <v>518</v>
      </c>
      <c r="U10" s="824" t="s">
        <v>536</v>
      </c>
      <c r="V10" s="829" t="s">
        <v>673</v>
      </c>
      <c r="W10" s="829" t="s">
        <v>674</v>
      </c>
      <c r="X10" s="830" t="s">
        <v>675</v>
      </c>
      <c r="Y10" s="831" t="s">
        <v>676</v>
      </c>
      <c r="Z10" s="831" t="s">
        <v>677</v>
      </c>
      <c r="AA10" s="831" t="s">
        <v>678</v>
      </c>
      <c r="AD10" s="31" t="s">
        <v>526</v>
      </c>
      <c r="AE10" s="31">
        <f>AE9*$AF$5</f>
        <v>4648.8649135059504</v>
      </c>
      <c r="AF10" s="31">
        <f>AF9*$AF$5</f>
        <v>4765.2137499058572</v>
      </c>
      <c r="AG10" s="31">
        <f>AG9*$AF$5</f>
        <v>4256.5640052723738</v>
      </c>
      <c r="AH10" s="31">
        <v>4780</v>
      </c>
      <c r="AI10" s="31">
        <f t="shared" ref="AI10:AN10" si="0">AI9*$AF$5</f>
        <v>5642.2969380425884</v>
      </c>
      <c r="AJ10" s="31">
        <f t="shared" si="0"/>
        <v>5642.3427807677263</v>
      </c>
      <c r="AK10" s="31">
        <f t="shared" si="0"/>
        <v>5100.1966278877817</v>
      </c>
      <c r="AL10" s="31">
        <f t="shared" si="0"/>
        <v>4082.9914829491486</v>
      </c>
      <c r="AM10" s="31">
        <f t="shared" si="0"/>
        <v>3921.5003982514818</v>
      </c>
      <c r="AN10" s="31">
        <f t="shared" si="0"/>
        <v>3093.6866789566725</v>
      </c>
    </row>
    <row r="11" spans="1:44" ht="15.25" thickBot="1">
      <c r="A11" s="969"/>
      <c r="B11" s="366" t="s">
        <v>195</v>
      </c>
      <c r="C11" s="367"/>
      <c r="D11" s="368"/>
      <c r="E11" s="370">
        <f>SUM(C10:C11)</f>
        <v>0</v>
      </c>
      <c r="F11" s="715"/>
      <c r="G11" s="363"/>
      <c r="H11" s="364"/>
      <c r="I11" s="371"/>
      <c r="J11" s="371"/>
      <c r="M11" s="49">
        <v>2020</v>
      </c>
      <c r="N11" s="49">
        <v>2019</v>
      </c>
      <c r="O11" s="49">
        <v>2018</v>
      </c>
      <c r="P11" s="49">
        <v>2017</v>
      </c>
      <c r="R11" s="49">
        <v>2017</v>
      </c>
      <c r="S11" s="32">
        <f>P13</f>
        <v>9458.02</v>
      </c>
      <c r="U11" s="817" t="s">
        <v>537</v>
      </c>
      <c r="V11" s="731">
        <v>5290770</v>
      </c>
      <c r="W11" s="729">
        <v>5665840</v>
      </c>
      <c r="X11" s="725">
        <v>5378535</v>
      </c>
      <c r="Y11" s="730">
        <v>5206990</v>
      </c>
      <c r="Z11" s="731">
        <v>5071450</v>
      </c>
      <c r="AA11" s="731">
        <v>4646830</v>
      </c>
      <c r="AD11" s="31" t="s">
        <v>528</v>
      </c>
      <c r="AE11" s="31">
        <f t="shared" ref="AE11:AL11" si="1">AE10*$AG$6</f>
        <v>1750.6185866758808</v>
      </c>
      <c r="AF11" s="31">
        <f t="shared" si="1"/>
        <v>1794.4319560314943</v>
      </c>
      <c r="AG11" s="31">
        <f t="shared" si="1"/>
        <v>1602.8902111904335</v>
      </c>
      <c r="AH11" s="31">
        <f t="shared" si="1"/>
        <v>1800</v>
      </c>
      <c r="AI11" s="31">
        <f t="shared" si="1"/>
        <v>2124.7143281331923</v>
      </c>
      <c r="AJ11" s="31">
        <f t="shared" si="1"/>
        <v>2124.7315910840807</v>
      </c>
      <c r="AK11" s="31">
        <f t="shared" si="1"/>
        <v>1920.5761360246877</v>
      </c>
      <c r="AL11" s="31">
        <f t="shared" si="1"/>
        <v>1537.5281734954951</v>
      </c>
      <c r="AM11" s="31">
        <f>AM10*$AG$6</f>
        <v>1476.7156311407252</v>
      </c>
      <c r="AN11" s="31">
        <f>AN10*$AG$6</f>
        <v>1164.9866155066968</v>
      </c>
      <c r="AP11" s="31">
        <f>AL10-AL11</f>
        <v>2545.4633094536534</v>
      </c>
    </row>
    <row r="12" spans="1:44" ht="15" thickBot="1">
      <c r="A12" s="969"/>
      <c r="B12" s="366" t="s">
        <v>15</v>
      </c>
      <c r="C12" s="367"/>
      <c r="D12" s="368"/>
      <c r="E12" s="370">
        <f>SUM(C10:C12)</f>
        <v>0</v>
      </c>
      <c r="F12" s="715"/>
      <c r="G12" s="372"/>
      <c r="H12" s="364"/>
      <c r="I12" s="364"/>
      <c r="J12" s="364"/>
      <c r="L12" t="s">
        <v>519</v>
      </c>
      <c r="M12" t="s">
        <v>520</v>
      </c>
      <c r="N12" t="s">
        <v>521</v>
      </c>
      <c r="O12" t="s">
        <v>520</v>
      </c>
      <c r="P12" t="s">
        <v>521</v>
      </c>
      <c r="R12">
        <f t="shared" ref="R12:R55" si="2">R11+$R$9</f>
        <v>2017.0833333333333</v>
      </c>
      <c r="S12" s="32">
        <f>P14</f>
        <v>8619.6</v>
      </c>
      <c r="U12" s="817" t="s">
        <v>538</v>
      </c>
      <c r="V12" s="731">
        <v>7403013</v>
      </c>
      <c r="W12" s="731">
        <v>5491917</v>
      </c>
      <c r="X12" s="726">
        <v>5556521</v>
      </c>
      <c r="Y12" s="730">
        <v>6024555</v>
      </c>
      <c r="Z12" s="731">
        <v>5817095</v>
      </c>
      <c r="AA12" s="731">
        <v>5064173</v>
      </c>
      <c r="AD12" s="31" t="s">
        <v>527</v>
      </c>
      <c r="AE12" s="31">
        <f t="shared" ref="AE12:AL12" si="3">AE10/55*45</f>
        <v>3803.6167474139593</v>
      </c>
      <c r="AF12" s="31">
        <f t="shared" si="3"/>
        <v>3898.8112499229742</v>
      </c>
      <c r="AG12" s="31">
        <f t="shared" si="3"/>
        <v>3482.6432770410333</v>
      </c>
      <c r="AH12" s="31">
        <f t="shared" si="3"/>
        <v>3910.909090909091</v>
      </c>
      <c r="AI12" s="31">
        <f t="shared" si="3"/>
        <v>4616.4247674893904</v>
      </c>
      <c r="AJ12" s="31">
        <f t="shared" si="3"/>
        <v>4616.4622751735942</v>
      </c>
      <c r="AK12" s="31">
        <f t="shared" si="3"/>
        <v>4172.8881500900034</v>
      </c>
      <c r="AL12" s="31">
        <f t="shared" si="3"/>
        <v>3340.6293951402122</v>
      </c>
      <c r="AM12" s="31">
        <f>AM10/55*45</f>
        <v>3208.5003258421211</v>
      </c>
      <c r="AN12" s="31">
        <f>AN10/55*45</f>
        <v>2531.198191873641</v>
      </c>
      <c r="AP12" s="766">
        <f>AP11/AL9</f>
        <v>2.8579774249130451E-2</v>
      </c>
    </row>
    <row r="13" spans="1:44" ht="15" thickBot="1">
      <c r="A13" s="969"/>
      <c r="B13" s="366" t="s">
        <v>16</v>
      </c>
      <c r="C13" s="367"/>
      <c r="D13" s="368"/>
      <c r="E13" s="370">
        <f>SUM(C10:C13)</f>
        <v>0</v>
      </c>
      <c r="F13" s="715"/>
      <c r="G13" s="372"/>
      <c r="H13" s="364"/>
      <c r="I13" s="364"/>
      <c r="J13" s="364"/>
      <c r="L13" t="s">
        <v>191</v>
      </c>
      <c r="M13" s="87">
        <v>8379.56</v>
      </c>
      <c r="N13" s="87">
        <v>10359.98</v>
      </c>
      <c r="O13" s="87">
        <v>10796.84</v>
      </c>
      <c r="P13" s="87">
        <v>9458.02</v>
      </c>
      <c r="R13">
        <f t="shared" si="2"/>
        <v>2017.1666666666665</v>
      </c>
      <c r="S13" s="32">
        <f t="shared" ref="S13:S22" si="4">P15</f>
        <v>9934</v>
      </c>
      <c r="U13" s="817" t="s">
        <v>539</v>
      </c>
      <c r="V13" s="731">
        <v>1658965</v>
      </c>
      <c r="W13" s="731">
        <v>1953397</v>
      </c>
      <c r="X13" s="726">
        <v>1989735</v>
      </c>
      <c r="Y13" s="730">
        <v>2038243</v>
      </c>
      <c r="Z13" s="731">
        <v>2164068</v>
      </c>
      <c r="AA13" s="731">
        <v>2126291</v>
      </c>
      <c r="AD13" s="31" t="s">
        <v>529</v>
      </c>
      <c r="AE13" s="31">
        <f t="shared" ref="AE13:AK13" si="5">(AE10-AE11)*28+AE12</f>
        <v>84954.513898655918</v>
      </c>
      <c r="AF13" s="31">
        <f t="shared" si="5"/>
        <v>87080.701478405143</v>
      </c>
      <c r="AG13" s="31">
        <f t="shared" si="5"/>
        <v>77785.50951133536</v>
      </c>
      <c r="AH13" s="31">
        <f t="shared" si="5"/>
        <v>87350.909090909088</v>
      </c>
      <c r="AI13" s="31">
        <f t="shared" si="5"/>
        <v>103108.73784495247</v>
      </c>
      <c r="AJ13" s="31">
        <f t="shared" si="5"/>
        <v>103109.57558631567</v>
      </c>
      <c r="AK13" s="31">
        <f t="shared" si="5"/>
        <v>93202.261922256628</v>
      </c>
      <c r="AL13" s="31">
        <f>(AL10-AL11)*28+AL12</f>
        <v>74613.602059842509</v>
      </c>
      <c r="AM13" s="31">
        <f>(AM10-AM11)*28+AM12</f>
        <v>71662.473804943307</v>
      </c>
      <c r="AN13" s="31">
        <f>(AN10-AN11)*28+AN12</f>
        <v>56534.799968472958</v>
      </c>
      <c r="AP13" s="766">
        <f>AL12/AL9</f>
        <v>3.7507684203709334E-2</v>
      </c>
      <c r="AR13">
        <f>(AM10-AM11)/AM9</f>
        <v>2.8579774249130451E-2</v>
      </c>
    </row>
    <row r="14" spans="1:44" ht="15" thickBot="1">
      <c r="A14" s="969"/>
      <c r="B14" s="366" t="s">
        <v>17</v>
      </c>
      <c r="C14" s="367"/>
      <c r="D14" s="368"/>
      <c r="E14" s="370">
        <f>SUM(C10:C14)</f>
        <v>0</v>
      </c>
      <c r="F14" s="715"/>
      <c r="G14" s="372"/>
      <c r="H14" s="364"/>
      <c r="I14" s="364"/>
      <c r="J14" s="364"/>
      <c r="L14" t="s">
        <v>195</v>
      </c>
      <c r="M14" s="87">
        <v>6154.64</v>
      </c>
      <c r="N14" s="87">
        <v>8657.68</v>
      </c>
      <c r="O14" s="87">
        <v>9341.42</v>
      </c>
      <c r="P14" s="87">
        <v>8619.6</v>
      </c>
      <c r="R14">
        <f t="shared" si="2"/>
        <v>2017.2499999999998</v>
      </c>
      <c r="S14" s="32">
        <f t="shared" si="4"/>
        <v>8256.6</v>
      </c>
      <c r="U14" s="822" t="s">
        <v>540</v>
      </c>
      <c r="V14" s="818">
        <v>5003914</v>
      </c>
      <c r="W14" s="732">
        <v>5792899</v>
      </c>
      <c r="X14" s="725">
        <v>5511816</v>
      </c>
      <c r="Y14" s="733">
        <v>5062161</v>
      </c>
      <c r="Z14" s="734">
        <v>5479655</v>
      </c>
      <c r="AA14" s="734">
        <v>2825392</v>
      </c>
      <c r="AD14" s="31" t="s">
        <v>595</v>
      </c>
      <c r="AL14">
        <v>2100</v>
      </c>
      <c r="AM14">
        <v>18000</v>
      </c>
      <c r="AN14">
        <v>26896</v>
      </c>
    </row>
    <row r="15" spans="1:44" ht="15" thickBot="1">
      <c r="A15" s="969"/>
      <c r="B15" s="366" t="s">
        <v>18</v>
      </c>
      <c r="C15" s="367"/>
      <c r="D15" s="368"/>
      <c r="E15" s="370">
        <f>SUM(C10:C15)</f>
        <v>0</v>
      </c>
      <c r="F15" s="715"/>
      <c r="G15" s="372"/>
      <c r="H15" s="364"/>
      <c r="I15" s="364"/>
      <c r="J15" s="364"/>
      <c r="L15" t="s">
        <v>15</v>
      </c>
      <c r="M15" s="87">
        <v>7204.3</v>
      </c>
      <c r="N15" s="87">
        <v>8700.56</v>
      </c>
      <c r="O15" s="87">
        <v>9466.7000000000007</v>
      </c>
      <c r="P15" s="87">
        <v>9934</v>
      </c>
      <c r="R15">
        <f t="shared" si="2"/>
        <v>2017.333333333333</v>
      </c>
      <c r="S15" s="32">
        <f t="shared" si="4"/>
        <v>10593.52</v>
      </c>
      <c r="U15" s="812" t="s">
        <v>657</v>
      </c>
      <c r="V15" s="818">
        <v>15150</v>
      </c>
      <c r="W15" s="812"/>
      <c r="X15" s="813"/>
      <c r="Y15" s="812"/>
      <c r="Z15" s="812"/>
      <c r="AD15" s="31" t="s">
        <v>529</v>
      </c>
      <c r="AL15">
        <f>AL14*AL6</f>
        <v>361.2</v>
      </c>
      <c r="AM15">
        <f>AM14*$AL$6</f>
        <v>3095.9999999999995</v>
      </c>
      <c r="AN15">
        <f>AN14*$AL$6</f>
        <v>4626.1120000000001</v>
      </c>
      <c r="AP15">
        <f>AL14*Reykjavík!H6</f>
        <v>1182.9837320491947</v>
      </c>
      <c r="AQ15">
        <f>AM14*Reykjavík!I6</f>
        <v>10152.092027188313</v>
      </c>
    </row>
    <row r="16" spans="1:44" ht="15" thickBot="1">
      <c r="A16" s="969"/>
      <c r="B16" s="366" t="s">
        <v>19</v>
      </c>
      <c r="C16" s="367"/>
      <c r="D16" s="368"/>
      <c r="E16" s="370">
        <f>SUM(C10:C16)</f>
        <v>0</v>
      </c>
      <c r="F16" s="715"/>
      <c r="G16" s="372"/>
      <c r="H16" s="364"/>
      <c r="I16" s="364"/>
      <c r="J16" s="364"/>
      <c r="L16" t="s">
        <v>16</v>
      </c>
      <c r="M16" s="87">
        <v>7158.26</v>
      </c>
      <c r="N16" s="87">
        <v>8838.84</v>
      </c>
      <c r="O16" s="87">
        <v>9656.73</v>
      </c>
      <c r="P16" s="87">
        <v>8256.6</v>
      </c>
      <c r="R16">
        <f t="shared" si="2"/>
        <v>2017.4166666666663</v>
      </c>
      <c r="S16" s="32">
        <f>P18</f>
        <v>10734.64</v>
      </c>
      <c r="U16" s="812" t="s">
        <v>658</v>
      </c>
      <c r="V16" s="818">
        <v>728441</v>
      </c>
      <c r="W16" s="812"/>
      <c r="X16" s="813"/>
      <c r="Y16" s="812"/>
      <c r="Z16" s="812"/>
      <c r="AP16">
        <f>AL14-AP15</f>
        <v>917.01626795080529</v>
      </c>
      <c r="AQ16">
        <f>AM14-AQ15</f>
        <v>7847.9079728116867</v>
      </c>
    </row>
    <row r="17" spans="1:43" ht="15" thickBot="1">
      <c r="A17" s="969"/>
      <c r="B17" s="366" t="s">
        <v>20</v>
      </c>
      <c r="C17" s="367"/>
      <c r="D17" s="368"/>
      <c r="E17" s="370">
        <f>SUM(C10:C17)</f>
        <v>0</v>
      </c>
      <c r="F17" s="715"/>
      <c r="G17" s="372"/>
      <c r="H17" s="364"/>
      <c r="I17" s="364"/>
      <c r="J17" s="364"/>
      <c r="L17" t="s">
        <v>17</v>
      </c>
      <c r="M17" s="87">
        <v>6950.12</v>
      </c>
      <c r="N17" s="87">
        <v>10672.39</v>
      </c>
      <c r="O17" s="87">
        <v>10785.22</v>
      </c>
      <c r="P17" s="87">
        <v>10593.52</v>
      </c>
      <c r="R17">
        <f t="shared" si="2"/>
        <v>2017.4999999999995</v>
      </c>
      <c r="S17" s="32">
        <f t="shared" si="4"/>
        <v>10589.06</v>
      </c>
      <c r="U17" s="823" t="s">
        <v>541</v>
      </c>
      <c r="V17" s="805">
        <f>SUM(V11:V16)</f>
        <v>20100253</v>
      </c>
      <c r="W17" s="735">
        <v>18904053</v>
      </c>
      <c r="X17" s="728">
        <v>18436607</v>
      </c>
      <c r="Y17" s="736">
        <v>18331949</v>
      </c>
      <c r="Z17" s="737">
        <v>18532268</v>
      </c>
      <c r="AA17" s="737">
        <v>14662686</v>
      </c>
    </row>
    <row r="18" spans="1:43" ht="15" thickBot="1">
      <c r="A18" s="969"/>
      <c r="B18" s="366" t="s">
        <v>211</v>
      </c>
      <c r="C18" s="367"/>
      <c r="D18" s="368"/>
      <c r="E18" s="370">
        <f>SUM(C10:C18)</f>
        <v>0</v>
      </c>
      <c r="F18" s="715"/>
      <c r="G18" s="344"/>
      <c r="H18" s="373"/>
      <c r="I18" s="373"/>
      <c r="J18" s="373"/>
      <c r="L18" t="s">
        <v>18</v>
      </c>
      <c r="M18" s="87">
        <v>7245.1</v>
      </c>
      <c r="N18" s="87">
        <v>8821.0400000000009</v>
      </c>
      <c r="O18" s="87">
        <v>10218.74</v>
      </c>
      <c r="P18" s="87">
        <v>10734.64</v>
      </c>
      <c r="R18">
        <f t="shared" si="2"/>
        <v>2017.5833333333328</v>
      </c>
      <c r="S18" s="32">
        <f t="shared" si="4"/>
        <v>11116.02</v>
      </c>
      <c r="U18" s="817" t="s">
        <v>109</v>
      </c>
      <c r="V18" s="731">
        <v>12646135</v>
      </c>
      <c r="W18" s="731">
        <v>11023463</v>
      </c>
      <c r="X18" s="726">
        <v>10549953</v>
      </c>
      <c r="Y18" s="730">
        <v>11479101</v>
      </c>
      <c r="Z18" s="731">
        <v>11529789</v>
      </c>
      <c r="AA18" s="731">
        <v>11019040</v>
      </c>
      <c r="AD18" s="31"/>
      <c r="AE18" s="31">
        <v>2011</v>
      </c>
      <c r="AF18" s="31">
        <v>2013</v>
      </c>
      <c r="AG18" s="31">
        <v>2015</v>
      </c>
      <c r="AH18" s="31">
        <v>2016</v>
      </c>
      <c r="AI18" s="31">
        <v>2017</v>
      </c>
      <c r="AJ18" s="31">
        <v>2018</v>
      </c>
      <c r="AK18" s="31">
        <v>2019</v>
      </c>
      <c r="AL18" s="31">
        <v>2020</v>
      </c>
      <c r="AM18" s="31">
        <v>2021</v>
      </c>
      <c r="AN18" s="31">
        <v>2022</v>
      </c>
      <c r="AP18">
        <f>AL15*Reykjavík!H6</f>
        <v>203.47320191246146</v>
      </c>
      <c r="AQ18">
        <f>AM15*Reykjavík!I6</f>
        <v>1746.1598286763895</v>
      </c>
    </row>
    <row r="19" spans="1:43" ht="15" thickBot="1">
      <c r="A19" s="969"/>
      <c r="B19" s="366" t="s">
        <v>213</v>
      </c>
      <c r="C19" s="367"/>
      <c r="D19" s="368"/>
      <c r="E19" s="370">
        <f>SUM(C10:C19)</f>
        <v>0</v>
      </c>
      <c r="F19" s="715"/>
      <c r="G19" s="344"/>
      <c r="H19" s="373"/>
      <c r="I19" s="373"/>
      <c r="J19" s="373"/>
      <c r="L19" t="s">
        <v>19</v>
      </c>
      <c r="M19" s="87">
        <v>7600.9</v>
      </c>
      <c r="N19" s="87">
        <v>9611.26</v>
      </c>
      <c r="O19" s="87">
        <v>10590.94</v>
      </c>
      <c r="P19" s="87">
        <v>10589.06</v>
      </c>
      <c r="R19">
        <f t="shared" si="2"/>
        <v>2017.6666666666661</v>
      </c>
      <c r="S19" s="32">
        <f t="shared" si="4"/>
        <v>10037.959999999999</v>
      </c>
      <c r="U19" s="817" t="s">
        <v>542</v>
      </c>
      <c r="V19" s="731">
        <v>1952969</v>
      </c>
      <c r="W19" s="731">
        <v>4030708</v>
      </c>
      <c r="X19" s="726">
        <v>3709166</v>
      </c>
      <c r="Y19" s="730">
        <v>4817544</v>
      </c>
      <c r="Z19" s="731">
        <v>4979817</v>
      </c>
      <c r="AA19" s="731">
        <v>2042284</v>
      </c>
      <c r="AD19" s="31" t="s">
        <v>525</v>
      </c>
      <c r="AE19" s="31">
        <f>AE9*Reykjavík!$C$6</f>
        <v>58530.730662446811</v>
      </c>
      <c r="AF19" s="31">
        <f>AF9*Reykjavík!$C$6</f>
        <v>59995.600589389098</v>
      </c>
      <c r="AG19" s="31">
        <f>AG9*Reykjavík!$C$6</f>
        <v>53591.533842219964</v>
      </c>
      <c r="AH19" s="31">
        <f>AH9*Reykjavík!D$6</f>
        <v>59834.71680574691</v>
      </c>
      <c r="AI19" s="31">
        <f>AI9*Reykjavík!E$6</f>
        <v>70013.794377498183</v>
      </c>
      <c r="AJ19" s="31">
        <f>AJ9*Reykjavík!F$6</f>
        <v>69796.510161565355</v>
      </c>
      <c r="AK19" s="31">
        <f>AK9*Reykjavík!G$6</f>
        <v>62847.388983258264</v>
      </c>
      <c r="AL19" s="31">
        <f>AL9*Reykjavík!H$6</f>
        <v>50172.706043670441</v>
      </c>
      <c r="AM19" s="96">
        <f>AM9*Reykjavík!I$6</f>
        <v>48246.396066328649</v>
      </c>
      <c r="AN19" s="96">
        <f>AN9*Reykjavík!J$6</f>
        <v>38052.494558299186</v>
      </c>
      <c r="AP19">
        <f>AL15-AP18</f>
        <v>157.72679808753853</v>
      </c>
      <c r="AQ19">
        <f>AM15-AQ18</f>
        <v>1349.8401713236101</v>
      </c>
    </row>
    <row r="20" spans="1:43" ht="15" thickBot="1">
      <c r="A20" s="969"/>
      <c r="B20" s="366" t="s">
        <v>216</v>
      </c>
      <c r="C20" s="367"/>
      <c r="D20" s="368"/>
      <c r="E20" s="370">
        <f>SUM(C10:C20)</f>
        <v>0</v>
      </c>
      <c r="F20" s="715"/>
      <c r="G20" s="344"/>
      <c r="H20" s="373"/>
      <c r="I20" s="373"/>
      <c r="J20" s="373"/>
      <c r="L20" t="s">
        <v>20</v>
      </c>
      <c r="M20" s="87">
        <v>6408.64</v>
      </c>
      <c r="N20" s="87">
        <v>8938.94</v>
      </c>
      <c r="O20" s="87">
        <v>10329.120000000001</v>
      </c>
      <c r="P20" s="87">
        <v>11116.02</v>
      </c>
      <c r="R20">
        <f t="shared" si="2"/>
        <v>2017.7499999999993</v>
      </c>
      <c r="S20" s="32">
        <f t="shared" si="4"/>
        <v>10419.18</v>
      </c>
      <c r="U20" s="822" t="s">
        <v>543</v>
      </c>
      <c r="V20" s="818">
        <v>3374648</v>
      </c>
      <c r="W20" s="732">
        <v>3849882</v>
      </c>
      <c r="X20" s="725">
        <v>3422418</v>
      </c>
      <c r="Y20" s="733">
        <v>2035304</v>
      </c>
      <c r="Z20" s="734">
        <v>2022662</v>
      </c>
      <c r="AA20" s="734">
        <v>1601362</v>
      </c>
      <c r="AD20" s="31" t="s">
        <v>526</v>
      </c>
      <c r="AE20" s="31">
        <f>AE10*Reykjavík!$C$6</f>
        <v>2683.2081978770711</v>
      </c>
      <c r="AF20" s="31">
        <f>AF10*Reykjavík!$C$6</f>
        <v>2750.3618273006136</v>
      </c>
      <c r="AG20" s="31">
        <f>AG10*Reykjavík!$C$6</f>
        <v>2456.7819556455852</v>
      </c>
      <c r="AH20" s="31">
        <f>AH10*Reykjavík!D$6</f>
        <v>2742.9864762279644</v>
      </c>
      <c r="AI20" s="31">
        <f>AI10*Reykjavík!E$6</f>
        <v>3209.6231315067844</v>
      </c>
      <c r="AJ20" s="31">
        <f>AJ10*Reykjavík!F$6</f>
        <v>3199.6622309189788</v>
      </c>
      <c r="AK20" s="31">
        <f>AK10*Reykjavík!G$6</f>
        <v>2881.0955787921171</v>
      </c>
      <c r="AL20" s="31">
        <f>AL10*Reykjavík!H$6</f>
        <v>2300.0535725829809</v>
      </c>
      <c r="AM20" s="31">
        <f>AM10*Reykjavík!I$6</f>
        <v>2211.74627376137</v>
      </c>
      <c r="AN20" s="31">
        <f>AN10*Reykjavík!J$6</f>
        <v>1744.4300488462877</v>
      </c>
    </row>
    <row r="21" spans="1:43" ht="15" thickBot="1">
      <c r="A21" s="970"/>
      <c r="B21" s="374" t="s">
        <v>217</v>
      </c>
      <c r="C21" s="375"/>
      <c r="D21" s="378"/>
      <c r="E21" s="370">
        <f>SUM(C10:C21)</f>
        <v>0</v>
      </c>
      <c r="F21" s="715"/>
      <c r="G21" s="344"/>
      <c r="H21" s="373"/>
      <c r="I21" s="373"/>
      <c r="J21" s="373"/>
      <c r="L21" t="s">
        <v>211</v>
      </c>
      <c r="M21" s="87">
        <v>7314.64</v>
      </c>
      <c r="N21" s="87">
        <v>9020.64</v>
      </c>
      <c r="O21" s="87">
        <v>9486.02</v>
      </c>
      <c r="P21" s="87">
        <v>10037.959999999999</v>
      </c>
      <c r="R21">
        <f t="shared" si="2"/>
        <v>2017.8333333333326</v>
      </c>
      <c r="S21" s="32">
        <f t="shared" si="4"/>
        <v>10267.51</v>
      </c>
      <c r="U21" s="812" t="s">
        <v>672</v>
      </c>
      <c r="V21" s="819">
        <v>1398060</v>
      </c>
      <c r="W21" s="812"/>
      <c r="X21" s="813"/>
      <c r="Y21" s="812"/>
      <c r="Z21" s="812"/>
      <c r="AD21" s="31" t="s">
        <v>528</v>
      </c>
      <c r="AE21" s="31">
        <f>AE11*Reykjavík!$C$6</f>
        <v>1010.4131289076836</v>
      </c>
      <c r="AF21" s="31">
        <f>AF11*Reykjavík!$C$6</f>
        <v>1035.7011065148754</v>
      </c>
      <c r="AG21" s="31">
        <f>AG11*Reykjavík!$C$6</f>
        <v>925.14801677030403</v>
      </c>
      <c r="AH21" s="31">
        <f>AH11*Reykjavík!D$6</f>
        <v>1032.923777659066</v>
      </c>
      <c r="AI21" s="31">
        <f>AI11*Reykjavík!E$6</f>
        <v>1208.6446938728477</v>
      </c>
      <c r="AJ21" s="31">
        <f>AJ11*Reykjavík!F$6</f>
        <v>1204.8937271243014</v>
      </c>
      <c r="AK21" s="31">
        <f>AK11*Reykjavík!G$6</f>
        <v>1084.9313895033076</v>
      </c>
      <c r="AL21" s="31">
        <f>AL11*Reykjavík!H$6</f>
        <v>866.12896038689644</v>
      </c>
      <c r="AM21" s="31">
        <f>AM11*Reykjavík!I$6</f>
        <v>832.87516585156186</v>
      </c>
      <c r="AN21" s="31">
        <f>AN11*Reykjavík!J$6</f>
        <v>656.89834475383213</v>
      </c>
    </row>
    <row r="22" spans="1:43" ht="15" thickBot="1">
      <c r="A22" s="379" t="s">
        <v>21</v>
      </c>
      <c r="B22" s="380"/>
      <c r="C22" s="381">
        <f>SUM(C10:C21)</f>
        <v>0</v>
      </c>
      <c r="D22" s="711">
        <f>208957*0.499</f>
        <v>104269.54300000001</v>
      </c>
      <c r="E22" s="382">
        <f>E17</f>
        <v>0</v>
      </c>
      <c r="F22" s="716"/>
      <c r="G22" s="383"/>
      <c r="H22" s="384"/>
      <c r="I22" s="384"/>
      <c r="J22" s="384"/>
      <c r="L22" t="s">
        <v>213</v>
      </c>
      <c r="M22" s="87">
        <v>3364.7</v>
      </c>
      <c r="N22" s="87">
        <v>8615.68</v>
      </c>
      <c r="O22" s="87">
        <v>10851.76</v>
      </c>
      <c r="P22" s="87">
        <v>10419.18</v>
      </c>
      <c r="R22">
        <f t="shared" si="2"/>
        <v>2017.9166666666658</v>
      </c>
      <c r="S22" s="32">
        <f t="shared" si="4"/>
        <v>9171.84</v>
      </c>
      <c r="U22" s="812" t="s">
        <v>658</v>
      </c>
      <c r="V22" s="820">
        <v>728441</v>
      </c>
      <c r="W22" s="812"/>
      <c r="X22" s="813"/>
      <c r="Y22" s="817"/>
      <c r="Z22" s="724"/>
      <c r="AD22" s="31" t="s">
        <v>527</v>
      </c>
      <c r="AE22" s="31">
        <f>AE12*Reykjavík!$C$6</f>
        <v>2195.3521618994214</v>
      </c>
      <c r="AF22" s="31">
        <f>AF12*Reykjavík!$C$6</f>
        <v>2250.2960405186841</v>
      </c>
      <c r="AG22" s="31">
        <f>AG12*Reykjavík!$C$6</f>
        <v>2010.0943273463881</v>
      </c>
      <c r="AH22" s="31">
        <f>AH12*Reykjavík!D$6</f>
        <v>2244.2616623683343</v>
      </c>
      <c r="AI22" s="31">
        <f>AI12*Reykjavík!E$6</f>
        <v>2626.0552894146417</v>
      </c>
      <c r="AJ22" s="31">
        <f>AJ12*Reykjavík!F$6</f>
        <v>2617.9054616609824</v>
      </c>
      <c r="AK22" s="31">
        <f>AK12*Reykjavík!G$6</f>
        <v>2357.2600190117323</v>
      </c>
      <c r="AL22" s="31">
        <f>AL12*Reykjavík!H$6</f>
        <v>1881.8620139315294</v>
      </c>
      <c r="AM22" s="31">
        <f>AM12*Reykjavík!I$6</f>
        <v>1809.610587622939</v>
      </c>
      <c r="AN22" s="31">
        <f>AN12*Reykjavík!J$6</f>
        <v>1427.2609490560535</v>
      </c>
    </row>
    <row r="23" spans="1:43" ht="15" thickBot="1">
      <c r="A23" s="969">
        <v>2017</v>
      </c>
      <c r="B23" s="358" t="s">
        <v>191</v>
      </c>
      <c r="C23" s="359">
        <v>9458.02</v>
      </c>
      <c r="D23" s="360"/>
      <c r="E23" s="362">
        <f>C23</f>
        <v>9458.02</v>
      </c>
      <c r="F23" s="717"/>
      <c r="G23" s="971" t="str">
        <f>"Milli áranna "&amp; A10&amp;" og "&amp; A23</f>
        <v>Milli áranna 2016 og 2017</v>
      </c>
      <c r="H23" s="385" t="e">
        <f t="shared" ref="H23:H54" si="6">(C23-C10)/C10</f>
        <v>#DIV/0!</v>
      </c>
      <c r="I23" s="386" t="e">
        <f t="shared" ref="I23:I38" si="7">(E23-E10)/E10</f>
        <v>#DIV/0!</v>
      </c>
      <c r="J23" s="386" t="e">
        <f>(#REF!-#REF!)/#REF!</f>
        <v>#REF!</v>
      </c>
      <c r="L23" t="s">
        <v>216</v>
      </c>
      <c r="M23" s="87">
        <f>M22/N22*N23</f>
        <v>2898.3655644127912</v>
      </c>
      <c r="N23" s="87">
        <v>7421.58</v>
      </c>
      <c r="O23" s="87">
        <v>9454.1200000000008</v>
      </c>
      <c r="P23" s="87">
        <v>10267.51</v>
      </c>
      <c r="R23">
        <f t="shared" si="2"/>
        <v>2017.9999999999991</v>
      </c>
      <c r="S23" s="32">
        <f t="shared" ref="S23:S34" si="8">O13</f>
        <v>10796.84</v>
      </c>
      <c r="U23" s="823" t="s">
        <v>544</v>
      </c>
      <c r="V23" s="821">
        <f>SUM(V18:V22)</f>
        <v>20100253</v>
      </c>
      <c r="W23" s="735">
        <v>18904053</v>
      </c>
      <c r="X23" s="728">
        <v>18436607</v>
      </c>
      <c r="Y23" s="736">
        <v>18331949</v>
      </c>
      <c r="Z23" s="737">
        <v>18532268</v>
      </c>
      <c r="AA23" s="737">
        <v>14662686</v>
      </c>
      <c r="AD23" s="31" t="s">
        <v>529</v>
      </c>
      <c r="AE23" s="31">
        <f>AE13*Reykjavík!$C$6</f>
        <v>49033.614093042277</v>
      </c>
      <c r="AF23" s="31">
        <f>AF13*Reykjavík!$C$6</f>
        <v>50260.796222519355</v>
      </c>
      <c r="AG23" s="31">
        <f>AG13*Reykjavík!$C$6</f>
        <v>44895.844615854265</v>
      </c>
      <c r="AH23" s="31">
        <f>AH13*Reykjavík!D$6</f>
        <v>50126.01722229748</v>
      </c>
      <c r="AI23" s="31">
        <f>AI13*Reykjavík!E$6</f>
        <v>58653.451543164862</v>
      </c>
      <c r="AJ23" s="31">
        <f>AJ13*Reykjavík!F$6</f>
        <v>58471.423567911945</v>
      </c>
      <c r="AK23" s="31">
        <f>AK13*Reykjavík!G$6</f>
        <v>52649.857319098388</v>
      </c>
      <c r="AL23" s="31">
        <f>AL13*Reykjavík!H$6</f>
        <v>42031.751155421887</v>
      </c>
      <c r="AM23" s="31">
        <f>AM13*Reykjavík!I$6</f>
        <v>40418.00160909757</v>
      </c>
      <c r="AN23" s="31">
        <f>AN13*Reykjavík!J$6</f>
        <v>31878.148663644803</v>
      </c>
    </row>
    <row r="24" spans="1:43" ht="15" thickBot="1">
      <c r="A24" s="969"/>
      <c r="B24" s="366" t="s">
        <v>195</v>
      </c>
      <c r="C24" s="367">
        <v>8619.6</v>
      </c>
      <c r="D24" s="368"/>
      <c r="E24" s="370">
        <f>SUM(C23:C24)</f>
        <v>18077.620000000003</v>
      </c>
      <c r="F24" s="718"/>
      <c r="G24" s="972"/>
      <c r="H24" s="387" t="e">
        <f t="shared" si="6"/>
        <v>#DIV/0!</v>
      </c>
      <c r="I24" s="390" t="e">
        <f t="shared" si="7"/>
        <v>#DIV/0!</v>
      </c>
      <c r="J24" s="390" t="e">
        <f>(#REF!-#REF!)/#REF!</f>
        <v>#REF!</v>
      </c>
      <c r="L24" t="s">
        <v>217</v>
      </c>
      <c r="M24" s="87">
        <f>M22/N22*N24</f>
        <v>2893.9213085908477</v>
      </c>
      <c r="N24" s="87">
        <v>7410.2</v>
      </c>
      <c r="O24" s="87">
        <v>8887.74</v>
      </c>
      <c r="P24" s="87">
        <v>9171.84</v>
      </c>
      <c r="R24">
        <f t="shared" si="2"/>
        <v>2018.0833333333323</v>
      </c>
      <c r="S24" s="32">
        <f t="shared" si="8"/>
        <v>9341.42</v>
      </c>
      <c r="U24" s="822"/>
      <c r="V24" s="727"/>
      <c r="W24" s="732"/>
      <c r="X24" s="725"/>
      <c r="Y24" s="733"/>
      <c r="Z24" s="734"/>
      <c r="AA24" s="734"/>
      <c r="AD24" s="31" t="str">
        <f>AD14</f>
        <v>Magn jarðgert (tonn)</v>
      </c>
      <c r="AE24" s="31">
        <f>AE14*Reykjavík!$C$6</f>
        <v>0</v>
      </c>
      <c r="AF24" s="31">
        <f>AF14*Reykjavík!$C$6</f>
        <v>0</v>
      </c>
      <c r="AG24" s="31">
        <f>AG14*Reykjavík!$C$6</f>
        <v>0</v>
      </c>
      <c r="AH24" s="31">
        <f>AH14*Reykjavík!D$6</f>
        <v>0</v>
      </c>
      <c r="AI24" s="31">
        <f>AI14*Reykjavík!E$6</f>
        <v>0</v>
      </c>
      <c r="AJ24" s="31">
        <f>AJ14*Reykjavík!F$6</f>
        <v>0</v>
      </c>
      <c r="AK24" s="31">
        <f>AK14*Reykjavík!G$6</f>
        <v>0</v>
      </c>
      <c r="AL24" s="31">
        <f>AL14*Reykjavík!H$6</f>
        <v>1182.9837320491947</v>
      </c>
      <c r="AM24" s="31">
        <f>AM14*Reykjavík!I$6</f>
        <v>10152.092027188313</v>
      </c>
      <c r="AN24" s="31">
        <f>AN14*Reykjavík!J$6</f>
        <v>15165.786151813096</v>
      </c>
    </row>
    <row r="25" spans="1:43" ht="15" thickBot="1">
      <c r="A25" s="969"/>
      <c r="B25" s="366" t="s">
        <v>15</v>
      </c>
      <c r="C25" s="367">
        <v>9934</v>
      </c>
      <c r="D25" s="368"/>
      <c r="E25" s="370">
        <f>SUM(C23:C25)</f>
        <v>28011.620000000003</v>
      </c>
      <c r="F25" s="718"/>
      <c r="G25" s="972"/>
      <c r="H25" s="387" t="e">
        <f t="shared" si="6"/>
        <v>#DIV/0!</v>
      </c>
      <c r="I25" s="390" t="e">
        <f t="shared" si="7"/>
        <v>#DIV/0!</v>
      </c>
      <c r="J25" s="390" t="e">
        <f>(#REF!-#REF!)/#REF!</f>
        <v>#REF!</v>
      </c>
      <c r="M25" s="87">
        <f>SUM(M13:M24)</f>
        <v>73573.146873003629</v>
      </c>
      <c r="N25" s="87">
        <f>SUM(N13:N24)</f>
        <v>107068.79000000001</v>
      </c>
      <c r="O25" s="87">
        <f>SUM(O13:O24)</f>
        <v>119865.34999999999</v>
      </c>
      <c r="P25" s="87">
        <f>SUM(P13:P24)</f>
        <v>119197.95</v>
      </c>
      <c r="R25">
        <f t="shared" si="2"/>
        <v>2018.1666666666656</v>
      </c>
      <c r="S25" s="32">
        <f t="shared" si="8"/>
        <v>9466.7000000000007</v>
      </c>
      <c r="U25" s="823" t="s">
        <v>552</v>
      </c>
      <c r="V25" s="735">
        <f>V18*_xlfn.XLOOKUP(V6,Reykjavík!$A$3:$J$3,Reykjavík!$A$6:$J$6,0,0,1)</f>
        <v>7132484.7949026152</v>
      </c>
      <c r="W25" s="735">
        <f>W18*_xlfn.XLOOKUP(W6,Reykjavík!$A$3:$J$3,Reykjavík!$A$6:$J$6,0,0,1)</f>
        <v>6209798.7618315294</v>
      </c>
      <c r="X25" s="735">
        <f>X18*_xlfn.XLOOKUP(X6,Reykjavík!$A$3:$J$3,Reykjavík!$A$6:$J$6,0,0,1)</f>
        <v>5959657.0803884333</v>
      </c>
      <c r="Y25" s="735">
        <f>Y18*_xlfn.XLOOKUP(Y6,Reykjavík!$A$3:$J$3,Reykjavík!$A$6:$J$6,0,0,1)</f>
        <v>6509573.654368923</v>
      </c>
      <c r="Z25" s="735">
        <f>Z18*_xlfn.XLOOKUP(Z6,Reykjavík!$A$3:$J$3,Reykjavík!$A$6:$J$6,0,0,1)</f>
        <v>6558725.6186893638</v>
      </c>
      <c r="AA25" s="735">
        <f>AA18*_xlfn.XLOOKUP(AA6,Reykjavík!$A$3:$J$3,Reykjavík!$A$6:$J$6,0,0,1)</f>
        <v>6323238.012764642</v>
      </c>
      <c r="AD25" s="31" t="str">
        <f>AD15</f>
        <v>CO2 ígildi (tonn)</v>
      </c>
      <c r="AE25" s="31">
        <f>AE15*Reykjavík!$C$6</f>
        <v>0</v>
      </c>
      <c r="AF25" s="31">
        <f>AF15*Reykjavík!$C$6</f>
        <v>0</v>
      </c>
      <c r="AG25" s="31">
        <f>AG15*Reykjavík!$C$6</f>
        <v>0</v>
      </c>
      <c r="AH25" s="31">
        <f>AH15*Reykjavík!D$6</f>
        <v>0</v>
      </c>
      <c r="AI25" s="31">
        <f>AI15*Reykjavík!E$6</f>
        <v>0</v>
      </c>
      <c r="AJ25" s="31">
        <f>AJ15*Reykjavík!F$6</f>
        <v>0</v>
      </c>
      <c r="AK25" s="31">
        <f>AK15*Reykjavík!G$6</f>
        <v>0</v>
      </c>
      <c r="AL25" s="31">
        <f>AL15*Reykjavík!H$6</f>
        <v>203.47320191246146</v>
      </c>
      <c r="AM25" s="31">
        <f>AM15*Reykjavík!I$6</f>
        <v>1746.1598286763895</v>
      </c>
      <c r="AN25" s="31">
        <f>AN15*Reykjavík!J$6</f>
        <v>2608.5152181118524</v>
      </c>
    </row>
    <row r="26" spans="1:43" ht="15" thickBot="1">
      <c r="A26" s="969"/>
      <c r="B26" s="366" t="s">
        <v>16</v>
      </c>
      <c r="C26" s="367">
        <v>8256.6</v>
      </c>
      <c r="D26" s="368"/>
      <c r="E26" s="370">
        <f>SUM(C23:C26)</f>
        <v>36268.22</v>
      </c>
      <c r="F26" s="718"/>
      <c r="G26" s="972"/>
      <c r="H26" s="387" t="e">
        <f>(C26-C13)/C13</f>
        <v>#DIV/0!</v>
      </c>
      <c r="I26" s="390" t="e">
        <f t="shared" si="7"/>
        <v>#DIV/0!</v>
      </c>
      <c r="J26" s="390" t="e">
        <f>(#REF!-#REF!)/#REF!</f>
        <v>#REF!</v>
      </c>
      <c r="R26">
        <f t="shared" si="2"/>
        <v>2018.2499999999989</v>
      </c>
      <c r="S26" s="32">
        <f>O16</f>
        <v>9656.73</v>
      </c>
      <c r="U26" s="822" t="s">
        <v>554</v>
      </c>
      <c r="V26" s="732">
        <f>V25*($U$30+$U$31*28+$U$32*265)/10^6</f>
        <v>3272.6854648069589</v>
      </c>
      <c r="W26" s="732">
        <f t="shared" ref="W26:AA26" si="9">W25*($U$30+$U$31*28+$U$32*265)/10^6</f>
        <v>2849.3181172634768</v>
      </c>
      <c r="X26" s="732">
        <f t="shared" si="9"/>
        <v>2734.5425420549259</v>
      </c>
      <c r="Y26" s="732">
        <f t="shared" si="9"/>
        <v>2986.8675073753684</v>
      </c>
      <c r="Z26" s="732">
        <f t="shared" si="9"/>
        <v>3009.4205059198844</v>
      </c>
      <c r="AA26" s="732">
        <f t="shared" si="9"/>
        <v>2901.3688398857967</v>
      </c>
      <c r="AD26" s="31" t="s">
        <v>525</v>
      </c>
      <c r="AE26" s="31">
        <f>(1-Reykjavík!$C$6)*AE9</f>
        <v>42878.269337553189</v>
      </c>
      <c r="AF26" s="31">
        <f>(1-Reykjavík!$C$6)*AF9</f>
        <v>43951.399410610902</v>
      </c>
      <c r="AG26" s="31">
        <f>(1-Reykjavík!C$6)*AG9</f>
        <v>39259.927157780032</v>
      </c>
      <c r="AH26" s="31">
        <f>(1-Reykjavík!D$6)*AH9</f>
        <v>44434.826194253095</v>
      </c>
      <c r="AI26" s="31">
        <f>(1-Reykjavík!E$6)*AI9</f>
        <v>53065.645622501819</v>
      </c>
      <c r="AJ26" s="31">
        <f>(1-Reykjavík!F$6)*AJ9</f>
        <v>53283.929838434655</v>
      </c>
      <c r="AK26" s="31">
        <f>(1-Reykjavík!G$6)*AK9</f>
        <v>48406.831016741737</v>
      </c>
      <c r="AL26" s="31">
        <f>(1-Reykjavík!H$6)*AL9</f>
        <v>38892.493956329556</v>
      </c>
      <c r="AM26" s="96">
        <f>(1-Reykjavík!I$6)*AM9</f>
        <v>37296.083933671347</v>
      </c>
      <c r="AN26" s="96">
        <f>(1-Reykjavík!J$6)*AN9</f>
        <v>29432.295441700811</v>
      </c>
    </row>
    <row r="27" spans="1:43" ht="14.25">
      <c r="A27" s="969"/>
      <c r="B27" s="366" t="s">
        <v>17</v>
      </c>
      <c r="C27" s="367">
        <v>10593.52</v>
      </c>
      <c r="D27" s="368"/>
      <c r="E27" s="370">
        <f>SUM(C23:C27)</f>
        <v>46861.740000000005</v>
      </c>
      <c r="F27" s="718"/>
      <c r="G27" s="972"/>
      <c r="H27" s="387" t="e">
        <f t="shared" si="6"/>
        <v>#DIV/0!</v>
      </c>
      <c r="I27" s="390" t="e">
        <f t="shared" si="7"/>
        <v>#DIV/0!</v>
      </c>
      <c r="J27" s="390" t="e">
        <f>(#REF!-#REF!)/#REF!</f>
        <v>#REF!</v>
      </c>
      <c r="R27">
        <f t="shared" si="2"/>
        <v>2018.3333333333321</v>
      </c>
      <c r="S27" s="32">
        <f t="shared" si="8"/>
        <v>10785.22</v>
      </c>
      <c r="U27" s="825"/>
      <c r="V27" s="826"/>
      <c r="W27" s="827"/>
      <c r="X27" s="828"/>
      <c r="Y27" s="828"/>
      <c r="Z27" s="828"/>
      <c r="AA27" s="828"/>
      <c r="AD27" s="31" t="s">
        <v>526</v>
      </c>
      <c r="AE27" s="31">
        <f>(1-Reykjavík!$C$6)*AE10</f>
        <v>1965.6567156288795</v>
      </c>
      <c r="AF27" s="31">
        <f>(1-Reykjavík!$C$6)*AF10</f>
        <v>2014.8519226052435</v>
      </c>
      <c r="AG27" s="31">
        <f>(1-Reykjavík!C$6)*AG10</f>
        <v>1799.7820496267886</v>
      </c>
      <c r="AH27" s="31">
        <f>(1-Reykjavík!D$6)*AH10</f>
        <v>2037.0135237720358</v>
      </c>
      <c r="AI27" s="31">
        <f>(1-Reykjavík!E$6)*AI10</f>
        <v>2432.673806535804</v>
      </c>
      <c r="AJ27" s="31">
        <f>(1-Reykjavík!F$6)*AJ10</f>
        <v>2442.6805498487474</v>
      </c>
      <c r="AK27" s="31">
        <f>(1-Reykjavík!G$6)*AK10</f>
        <v>2219.1010490956646</v>
      </c>
      <c r="AL27" s="31">
        <f>(1-Reykjavík!H$6)*AL10</f>
        <v>1782.9379103661679</v>
      </c>
      <c r="AM27" s="96">
        <f>(1-Reykjavík!I$6)*AM10</f>
        <v>1709.7541244901117</v>
      </c>
      <c r="AN27" s="96">
        <f>(1-Reykjavík!J$6)*AN10</f>
        <v>1349.2566301103848</v>
      </c>
    </row>
    <row r="28" spans="1:43" ht="14.25">
      <c r="A28" s="969"/>
      <c r="B28" s="366" t="s">
        <v>18</v>
      </c>
      <c r="C28" s="367">
        <v>10734.64</v>
      </c>
      <c r="D28" s="368"/>
      <c r="E28" s="370">
        <f>SUM(C23:C28)</f>
        <v>57596.380000000005</v>
      </c>
      <c r="F28" s="718"/>
      <c r="G28" s="972"/>
      <c r="H28" s="387" t="e">
        <f t="shared" si="6"/>
        <v>#DIV/0!</v>
      </c>
      <c r="I28" s="390" t="e">
        <f t="shared" si="7"/>
        <v>#DIV/0!</v>
      </c>
      <c r="J28" s="390" t="e">
        <f>(#REF!-#REF!)/#REF!</f>
        <v>#REF!</v>
      </c>
      <c r="R28">
        <f t="shared" si="2"/>
        <v>2018.4166666666654</v>
      </c>
      <c r="S28" s="32">
        <f t="shared" si="8"/>
        <v>10218.74</v>
      </c>
      <c r="AD28" s="31" t="s">
        <v>528</v>
      </c>
      <c r="AE28" s="31">
        <f>(1-Reykjavík!$C$6)*AE11</f>
        <v>740.20545776819722</v>
      </c>
      <c r="AF28" s="31">
        <f>(1-Reykjavík!$C$6)*AF11</f>
        <v>758.73084951661895</v>
      </c>
      <c r="AG28" s="31">
        <f>(1-Reykjavík!C$6)*AG11</f>
        <v>677.74219442012952</v>
      </c>
      <c r="AH28" s="31">
        <f>(1-Reykjavík!D$6)*AH11</f>
        <v>767.07622234093401</v>
      </c>
      <c r="AI28" s="31">
        <f>(1-Reykjavík!E$6)*AI11</f>
        <v>916.06963426034463</v>
      </c>
      <c r="AJ28" s="31">
        <f>(1-Reykjavík!F$6)*AJ11</f>
        <v>919.83786395977927</v>
      </c>
      <c r="AK28" s="31">
        <f>(1-Reykjavík!G$6)*AK11</f>
        <v>835.64474652138006</v>
      </c>
      <c r="AL28" s="31">
        <f>(1-Reykjavík!H$6)*AL11</f>
        <v>671.3992131085987</v>
      </c>
      <c r="AM28" s="31">
        <f>(1-Reykjavík!I$6)*AM11</f>
        <v>643.84046528916338</v>
      </c>
      <c r="AN28" s="31">
        <f>(1-Reykjavík!J$6)*AN11</f>
        <v>508.08827075286462</v>
      </c>
    </row>
    <row r="29" spans="1:43" ht="14.25">
      <c r="A29" s="969"/>
      <c r="B29" s="366" t="s">
        <v>19</v>
      </c>
      <c r="C29" s="367">
        <v>10589.06</v>
      </c>
      <c r="D29" s="368"/>
      <c r="E29" s="370">
        <f>SUM(C23:C29)</f>
        <v>68185.440000000002</v>
      </c>
      <c r="F29" s="718"/>
      <c r="G29" s="972"/>
      <c r="H29" s="387" t="e">
        <f t="shared" si="6"/>
        <v>#DIV/0!</v>
      </c>
      <c r="I29" s="390" t="e">
        <f>(E29-E16)/E16</f>
        <v>#DIV/0!</v>
      </c>
      <c r="J29" s="390" t="e">
        <f>(#REF!-#REF!)/#REF!</f>
        <v>#REF!</v>
      </c>
      <c r="R29">
        <f t="shared" si="2"/>
        <v>2018.4999999999986</v>
      </c>
      <c r="S29" s="32">
        <f t="shared" si="8"/>
        <v>10590.94</v>
      </c>
      <c r="U29" s="25" t="s">
        <v>553</v>
      </c>
      <c r="V29" s="25"/>
      <c r="W29" s="32"/>
      <c r="AD29" s="31" t="s">
        <v>527</v>
      </c>
      <c r="AE29" s="31">
        <f>(1-Reykjavík!$C$6)*AE12</f>
        <v>1608.2645855145377</v>
      </c>
      <c r="AF29" s="31">
        <f>(1-Reykjavík!$C$6)*AF12</f>
        <v>1648.5152094042903</v>
      </c>
      <c r="AG29" s="31">
        <f>(1-Reykjavík!C$6)*AG12</f>
        <v>1472.5489496946452</v>
      </c>
      <c r="AH29" s="31">
        <f>(1-Reykjavík!D$6)*AH12</f>
        <v>1666.6474285407564</v>
      </c>
      <c r="AI29" s="31">
        <f>(1-Reykjavík!E$6)*AI12</f>
        <v>1990.3694780747487</v>
      </c>
      <c r="AJ29" s="31">
        <f>(1-Reykjavík!F$6)*AJ12</f>
        <v>1998.5568135126118</v>
      </c>
      <c r="AK29" s="31">
        <f>(1-Reykjavík!G$6)*AK12</f>
        <v>1815.6281310782713</v>
      </c>
      <c r="AL29" s="31">
        <f>(1-Reykjavík!H$6)*AL12</f>
        <v>1458.7673812086828</v>
      </c>
      <c r="AM29" s="31">
        <f>(1-Reykjavík!I$6)*AM12</f>
        <v>1398.8897382191822</v>
      </c>
      <c r="AN29" s="31">
        <f>(1-Reykjavík!J$6)*AN12</f>
        <v>1103.9372428175875</v>
      </c>
    </row>
    <row r="30" spans="1:43" ht="14.25">
      <c r="A30" s="969"/>
      <c r="B30" s="366" t="s">
        <v>20</v>
      </c>
      <c r="C30" s="367">
        <v>11116.02</v>
      </c>
      <c r="D30" s="368"/>
      <c r="E30" s="370">
        <f>SUM(C23:C30)</f>
        <v>79301.460000000006</v>
      </c>
      <c r="F30" s="718"/>
      <c r="G30" s="972"/>
      <c r="H30" s="387" t="e">
        <f t="shared" si="6"/>
        <v>#DIV/0!</v>
      </c>
      <c r="I30" s="390" t="e">
        <f t="shared" si="7"/>
        <v>#DIV/0!</v>
      </c>
      <c r="J30" s="390" t="e">
        <f>(#REF!-#REF!)/#REF!</f>
        <v>#REF!</v>
      </c>
      <c r="R30">
        <f t="shared" si="2"/>
        <v>2018.5833333333319</v>
      </c>
      <c r="S30" s="32">
        <f t="shared" si="8"/>
        <v>10329.120000000001</v>
      </c>
      <c r="U30">
        <v>437.18848875999998</v>
      </c>
      <c r="V30" s="32">
        <f>AVERAGE(V25:Z25)</f>
        <v>6474047.9820361733</v>
      </c>
      <c r="AD30" s="31" t="s">
        <v>529</v>
      </c>
      <c r="AE30" s="31">
        <f>(1-Reykjavík!$C$6)*AE13</f>
        <v>35920.899805613641</v>
      </c>
      <c r="AF30" s="31">
        <f>(1-Reykjavík!$C$6)*AF13</f>
        <v>36819.905255885787</v>
      </c>
      <c r="AG30" s="31">
        <f>(1-Reykjavík!C$6)*AG13</f>
        <v>32889.664895481095</v>
      </c>
      <c r="AH30" s="31">
        <f>(1-Reykjavík!D$6)*AH13</f>
        <v>37224.891868611609</v>
      </c>
      <c r="AI30" s="31">
        <f>(1-Reykjavík!E$6)*AI13</f>
        <v>44455.286301787608</v>
      </c>
      <c r="AJ30" s="31">
        <f>(1-Reykjavík!F$6)*AJ13</f>
        <v>44638.152018403722</v>
      </c>
      <c r="AK30" s="31">
        <f>(1-Reykjavík!G$6)*AK13</f>
        <v>40552.40460315824</v>
      </c>
      <c r="AL30" s="31">
        <f>(1-Reykjavík!H$6)*AL13</f>
        <v>32581.850904420618</v>
      </c>
      <c r="AM30" s="31">
        <f>(1-Reykjavík!I$6)*AM13</f>
        <v>31244.472195845738</v>
      </c>
      <c r="AN30" s="31">
        <f>(1-Reykjavík!J$6)*AN13</f>
        <v>24656.651304828156</v>
      </c>
    </row>
    <row r="31" spans="1:43" ht="14.25">
      <c r="A31" s="969"/>
      <c r="B31" s="366" t="s">
        <v>211</v>
      </c>
      <c r="C31" s="367">
        <v>10037.959999999999</v>
      </c>
      <c r="D31" s="368"/>
      <c r="E31" s="370">
        <f>SUM(C23:C31)</f>
        <v>89339.420000000013</v>
      </c>
      <c r="F31" s="718"/>
      <c r="G31" s="972"/>
      <c r="H31" s="387" t="e">
        <f t="shared" si="6"/>
        <v>#DIV/0!</v>
      </c>
      <c r="I31" s="390" t="e">
        <f t="shared" si="7"/>
        <v>#DIV/0!</v>
      </c>
      <c r="J31" s="390" t="e">
        <f>(#REF!-#REF!)/#REF!</f>
        <v>#REF!</v>
      </c>
      <c r="R31">
        <f t="shared" si="2"/>
        <v>2018.6666666666652</v>
      </c>
      <c r="S31" s="32">
        <f t="shared" si="8"/>
        <v>9486.02</v>
      </c>
      <c r="U31">
        <v>0.208358918866</v>
      </c>
      <c r="AD31" t="s">
        <v>595</v>
      </c>
      <c r="AL31" s="31">
        <f>(1-Reykjavík!H$6)*AL14</f>
        <v>917.01626795080529</v>
      </c>
      <c r="AM31" s="31">
        <f>(1-Reykjavík!I$6)*AM14</f>
        <v>7847.9079728116876</v>
      </c>
      <c r="AN31" s="31">
        <f>(1-Reykjavík!J$6)*AN14</f>
        <v>11730.213848186904</v>
      </c>
    </row>
    <row r="32" spans="1:43" ht="14.25">
      <c r="A32" s="969"/>
      <c r="B32" s="366" t="s">
        <v>213</v>
      </c>
      <c r="C32" s="367">
        <v>10419.18</v>
      </c>
      <c r="D32" s="368"/>
      <c r="E32" s="370">
        <f>SUM(C23:C32)</f>
        <v>99758.6</v>
      </c>
      <c r="F32" s="718"/>
      <c r="G32" s="972"/>
      <c r="H32" s="387" t="e">
        <f t="shared" si="6"/>
        <v>#DIV/0!</v>
      </c>
      <c r="I32" s="390" t="e">
        <f t="shared" si="7"/>
        <v>#DIV/0!</v>
      </c>
      <c r="J32" s="390" t="e">
        <f>(#REF!-#REF!)/#REF!</f>
        <v>#REF!</v>
      </c>
      <c r="R32">
        <f t="shared" si="2"/>
        <v>2018.7499999999984</v>
      </c>
      <c r="S32" s="32">
        <f t="shared" si="8"/>
        <v>10851.76</v>
      </c>
      <c r="U32">
        <v>5.9697074000000003E-2</v>
      </c>
      <c r="W32" s="31"/>
      <c r="AD32" t="s">
        <v>529</v>
      </c>
      <c r="AL32" s="31">
        <f>(1-Reykjavík!H$6)*AL15</f>
        <v>157.72679808753853</v>
      </c>
      <c r="AM32" s="31">
        <f>(1-Reykjavík!I$6)*AM15</f>
        <v>1349.8401713236101</v>
      </c>
      <c r="AN32" s="31">
        <f>(1-Reykjavík!J$6)*AN15</f>
        <v>2017.5967818881475</v>
      </c>
    </row>
    <row r="33" spans="1:35" ht="14.25">
      <c r="A33" s="969"/>
      <c r="B33" s="366" t="s">
        <v>216</v>
      </c>
      <c r="C33" s="367">
        <v>10267.51</v>
      </c>
      <c r="D33" s="368"/>
      <c r="E33" s="370">
        <f>SUM(C23:C33)</f>
        <v>110026.11</v>
      </c>
      <c r="F33" s="718"/>
      <c r="G33" s="972"/>
      <c r="H33" s="387" t="e">
        <f t="shared" si="6"/>
        <v>#DIV/0!</v>
      </c>
      <c r="I33" s="390" t="e">
        <f t="shared" si="7"/>
        <v>#DIV/0!</v>
      </c>
      <c r="J33" s="390" t="e">
        <f>(#REF!-#REF!)/#REF!</f>
        <v>#REF!</v>
      </c>
      <c r="R33">
        <f t="shared" si="2"/>
        <v>2018.8333333333317</v>
      </c>
      <c r="S33" s="32">
        <f t="shared" si="8"/>
        <v>9454.1200000000008</v>
      </c>
    </row>
    <row r="34" spans="1:35" ht="15" thickBot="1">
      <c r="A34" s="977"/>
      <c r="B34" s="374" t="s">
        <v>217</v>
      </c>
      <c r="C34" s="375">
        <v>9171.84</v>
      </c>
      <c r="D34" s="378"/>
      <c r="E34" s="370">
        <f>SUM(C23:C34)</f>
        <v>119197.95</v>
      </c>
      <c r="F34" s="718"/>
      <c r="G34" s="972"/>
      <c r="H34" s="391" t="e">
        <f t="shared" si="6"/>
        <v>#DIV/0!</v>
      </c>
      <c r="I34" s="394" t="e">
        <f t="shared" si="7"/>
        <v>#DIV/0!</v>
      </c>
      <c r="J34" s="394" t="e">
        <f>(#REF!-#REF!)/#REF!</f>
        <v>#REF!</v>
      </c>
      <c r="R34">
        <f t="shared" si="2"/>
        <v>2018.9166666666649</v>
      </c>
      <c r="S34" s="32">
        <f t="shared" si="8"/>
        <v>8887.74</v>
      </c>
    </row>
    <row r="35" spans="1:35" ht="15" thickBot="1">
      <c r="A35" s="379" t="s">
        <v>21</v>
      </c>
      <c r="B35" s="395"/>
      <c r="C35" s="381">
        <f>SUM(C23:C34)</f>
        <v>119197.95</v>
      </c>
      <c r="D35" s="711">
        <v>123079</v>
      </c>
      <c r="E35" s="382">
        <f>E29</f>
        <v>68185.440000000002</v>
      </c>
      <c r="F35" s="716"/>
      <c r="G35" s="973"/>
      <c r="H35" s="396" t="e">
        <f t="shared" si="6"/>
        <v>#DIV/0!</v>
      </c>
      <c r="I35" s="398" t="e">
        <f t="shared" si="7"/>
        <v>#DIV/0!</v>
      </c>
      <c r="J35" s="398" t="e">
        <f>(#REF!-#REF!)/#REF!</f>
        <v>#REF!</v>
      </c>
      <c r="R35">
        <f t="shared" si="2"/>
        <v>2018.9999999999982</v>
      </c>
      <c r="S35" s="32">
        <f>N13</f>
        <v>10359.98</v>
      </c>
    </row>
    <row r="36" spans="1:35" ht="14.25" customHeight="1">
      <c r="A36" s="969">
        <v>2018</v>
      </c>
      <c r="B36" s="358" t="s">
        <v>191</v>
      </c>
      <c r="C36" s="359">
        <v>10796.84</v>
      </c>
      <c r="D36" s="360"/>
      <c r="E36" s="362">
        <f>C36</f>
        <v>10796.84</v>
      </c>
      <c r="F36" s="717"/>
      <c r="G36" s="971" t="str">
        <f>"Milli áranna "&amp; A23&amp;" og "&amp; A36</f>
        <v>Milli áranna 2017 og 2018</v>
      </c>
      <c r="H36" s="385">
        <f t="shared" si="6"/>
        <v>0.14155394046534048</v>
      </c>
      <c r="I36" s="386">
        <f t="shared" si="7"/>
        <v>0.14155394046534048</v>
      </c>
      <c r="J36" s="386" t="e">
        <f>(#REF!-#REF!)/#REF!</f>
        <v>#REF!</v>
      </c>
      <c r="R36">
        <f t="shared" si="2"/>
        <v>2019.0833333333314</v>
      </c>
      <c r="S36" s="32">
        <f t="shared" ref="S36:S46" si="10">N14</f>
        <v>8657.68</v>
      </c>
    </row>
    <row r="37" spans="1:35" ht="15" thickBot="1">
      <c r="A37" s="969"/>
      <c r="B37" s="366" t="s">
        <v>195</v>
      </c>
      <c r="C37" s="367">
        <v>9341.42</v>
      </c>
      <c r="D37" s="368"/>
      <c r="E37" s="370">
        <f>SUM(C36:C37)</f>
        <v>20138.260000000002</v>
      </c>
      <c r="F37" s="718"/>
      <c r="G37" s="972"/>
      <c r="H37" s="387">
        <f t="shared" si="6"/>
        <v>8.3741704951505833E-2</v>
      </c>
      <c r="I37" s="390">
        <f t="shared" si="7"/>
        <v>0.11398845644504084</v>
      </c>
      <c r="J37" s="390" t="e">
        <f>(#REF!-#REF!)/#REF!</f>
        <v>#REF!</v>
      </c>
      <c r="R37">
        <f t="shared" si="2"/>
        <v>2019.1666666666647</v>
      </c>
      <c r="S37" s="32">
        <f t="shared" si="10"/>
        <v>8700.56</v>
      </c>
    </row>
    <row r="38" spans="1:35" ht="15" thickBot="1">
      <c r="A38" s="969"/>
      <c r="B38" s="366" t="s">
        <v>15</v>
      </c>
      <c r="C38" s="367">
        <v>9466.7000000000007</v>
      </c>
      <c r="D38" s="368"/>
      <c r="E38" s="370">
        <f>SUM(C36:C38)</f>
        <v>29604.960000000003</v>
      </c>
      <c r="F38" s="718"/>
      <c r="G38" s="972"/>
      <c r="H38" s="387">
        <f t="shared" si="6"/>
        <v>-4.7040467082746049E-2</v>
      </c>
      <c r="I38" s="390">
        <f t="shared" si="7"/>
        <v>5.6881394221398117E-2</v>
      </c>
      <c r="J38" s="390" t="e">
        <f>(#REF!-#REF!)/#REF!</f>
        <v>#REF!</v>
      </c>
      <c r="R38">
        <f t="shared" si="2"/>
        <v>2019.249999999998</v>
      </c>
      <c r="S38" s="32">
        <f t="shared" si="10"/>
        <v>8838.84</v>
      </c>
      <c r="AD38" s="720" t="s">
        <v>536</v>
      </c>
      <c r="AE38" s="806">
        <v>2021</v>
      </c>
      <c r="AF38" s="721">
        <v>2020</v>
      </c>
      <c r="AG38" s="722">
        <v>2019</v>
      </c>
      <c r="AH38" s="723">
        <v>2018</v>
      </c>
      <c r="AI38" s="723">
        <v>2017</v>
      </c>
    </row>
    <row r="39" spans="1:35" ht="15" thickBot="1">
      <c r="A39" s="969"/>
      <c r="B39" s="366" t="s">
        <v>16</v>
      </c>
      <c r="C39" s="367">
        <v>9656.73</v>
      </c>
      <c r="D39" s="368"/>
      <c r="E39" s="370">
        <f>SUM(C36:C39)</f>
        <v>39261.69</v>
      </c>
      <c r="F39" s="718"/>
      <c r="G39" s="972"/>
      <c r="H39" s="387">
        <f t="shared" si="6"/>
        <v>0.16957706562023098</v>
      </c>
      <c r="I39" s="390">
        <f t="shared" ref="I39:I54" si="11">(E39-E26)/E26</f>
        <v>8.2536997955786118E-2</v>
      </c>
      <c r="J39" s="390" t="e">
        <f>(#REF!-#REF!)/#REF!</f>
        <v>#REF!</v>
      </c>
      <c r="R39">
        <f t="shared" si="2"/>
        <v>2019.3333333333312</v>
      </c>
      <c r="S39" s="32">
        <f t="shared" si="10"/>
        <v>10672.39</v>
      </c>
      <c r="AD39" s="724" t="s">
        <v>537</v>
      </c>
      <c r="AF39" s="808" t="s">
        <v>645</v>
      </c>
      <c r="AG39" s="725">
        <v>5378535</v>
      </c>
      <c r="AH39" s="809" t="s">
        <v>646</v>
      </c>
      <c r="AI39" s="807" t="s">
        <v>647</v>
      </c>
    </row>
    <row r="40" spans="1:35" ht="15" thickBot="1">
      <c r="A40" s="969"/>
      <c r="B40" s="366" t="s">
        <v>17</v>
      </c>
      <c r="C40" s="367">
        <v>10785.22</v>
      </c>
      <c r="D40" s="368"/>
      <c r="E40" s="370">
        <f>SUM(C36:C40)</f>
        <v>50046.91</v>
      </c>
      <c r="F40" s="718"/>
      <c r="G40" s="972"/>
      <c r="H40" s="387">
        <f t="shared" si="6"/>
        <v>1.8095968101254249E-2</v>
      </c>
      <c r="I40" s="390">
        <f t="shared" si="11"/>
        <v>6.7969520551306839E-2</v>
      </c>
      <c r="J40" s="390" t="e">
        <f>(#REF!-#REF!)/#REF!</f>
        <v>#REF!</v>
      </c>
      <c r="R40">
        <f t="shared" si="2"/>
        <v>2019.4166666666645</v>
      </c>
      <c r="S40" s="32">
        <f t="shared" si="10"/>
        <v>8821.0400000000009</v>
      </c>
      <c r="AD40" s="724" t="s">
        <v>538</v>
      </c>
      <c r="AF40" s="807" t="s">
        <v>648</v>
      </c>
      <c r="AG40" s="726">
        <v>5556521</v>
      </c>
      <c r="AH40" s="809" t="s">
        <v>649</v>
      </c>
      <c r="AI40" s="807" t="s">
        <v>650</v>
      </c>
    </row>
    <row r="41" spans="1:35" ht="15" thickBot="1">
      <c r="A41" s="969"/>
      <c r="B41" s="366" t="s">
        <v>18</v>
      </c>
      <c r="C41" s="367">
        <v>10218.74</v>
      </c>
      <c r="D41" s="368"/>
      <c r="E41" s="370">
        <f>SUM(C36:C41)</f>
        <v>60265.65</v>
      </c>
      <c r="F41" s="718"/>
      <c r="G41" s="972"/>
      <c r="H41" s="387">
        <f t="shared" si="6"/>
        <v>-4.805936668579474E-2</v>
      </c>
      <c r="I41" s="390">
        <f t="shared" si="11"/>
        <v>4.6344405672717567E-2</v>
      </c>
      <c r="J41" s="390" t="e">
        <f>(#REF!-#REF!)/#REF!</f>
        <v>#REF!</v>
      </c>
      <c r="R41">
        <f t="shared" si="2"/>
        <v>2019.4999999999977</v>
      </c>
      <c r="S41" s="32">
        <f t="shared" si="10"/>
        <v>9611.26</v>
      </c>
      <c r="AD41" s="724" t="s">
        <v>539</v>
      </c>
      <c r="AF41" s="807" t="s">
        <v>651</v>
      </c>
      <c r="AG41" s="726">
        <v>1989735</v>
      </c>
      <c r="AH41" s="809" t="s">
        <v>652</v>
      </c>
      <c r="AI41" s="807" t="s">
        <v>653</v>
      </c>
    </row>
    <row r="42" spans="1:35" ht="15" thickBot="1">
      <c r="A42" s="969"/>
      <c r="B42" s="366" t="s">
        <v>19</v>
      </c>
      <c r="C42" s="367">
        <v>10590.94</v>
      </c>
      <c r="D42" s="368"/>
      <c r="E42" s="370">
        <f>SUM(C36:C42)</f>
        <v>70856.59</v>
      </c>
      <c r="F42" s="718"/>
      <c r="G42" s="972"/>
      <c r="H42" s="387">
        <f t="shared" si="6"/>
        <v>1.7754172702780216E-4</v>
      </c>
      <c r="I42" s="390">
        <f t="shared" si="11"/>
        <v>3.9174785702050088E-2</v>
      </c>
      <c r="J42" s="390" t="e">
        <f>(#REF!-#REF!)/#REF!</f>
        <v>#REF!</v>
      </c>
      <c r="R42">
        <f t="shared" si="2"/>
        <v>2019.583333333331</v>
      </c>
      <c r="S42" s="32">
        <f t="shared" si="10"/>
        <v>8938.94</v>
      </c>
      <c r="AD42" s="810" t="s">
        <v>540</v>
      </c>
      <c r="AF42" s="811" t="s">
        <v>654</v>
      </c>
      <c r="AG42" s="725">
        <v>5511816</v>
      </c>
      <c r="AH42" s="811" t="s">
        <v>655</v>
      </c>
      <c r="AI42" s="811" t="s">
        <v>656</v>
      </c>
    </row>
    <row r="43" spans="1:35" ht="14.25">
      <c r="A43" s="969"/>
      <c r="B43" s="366" t="s">
        <v>20</v>
      </c>
      <c r="C43" s="367">
        <v>10329.120000000001</v>
      </c>
      <c r="D43" s="368"/>
      <c r="E43" s="370">
        <f>SUM(C36:C43)</f>
        <v>81185.709999999992</v>
      </c>
      <c r="F43" s="718"/>
      <c r="G43" s="972"/>
      <c r="H43" s="387">
        <f t="shared" si="6"/>
        <v>-7.0789725099451029E-2</v>
      </c>
      <c r="I43" s="390">
        <f t="shared" si="11"/>
        <v>2.3760596589268157E-2</v>
      </c>
      <c r="J43" s="390" t="e">
        <f>(#REF!-#REF!)/#REF!</f>
        <v>#REF!</v>
      </c>
      <c r="R43">
        <f t="shared" si="2"/>
        <v>2019.6666666666642</v>
      </c>
      <c r="S43" s="32">
        <f t="shared" si="10"/>
        <v>9020.64</v>
      </c>
    </row>
    <row r="44" spans="1:35" ht="14.25">
      <c r="A44" s="969"/>
      <c r="B44" s="366" t="s">
        <v>211</v>
      </c>
      <c r="C44" s="367">
        <v>9486.02</v>
      </c>
      <c r="D44" s="368"/>
      <c r="E44" s="370">
        <f>SUM(C36:C44)</f>
        <v>90671.73</v>
      </c>
      <c r="F44" s="718"/>
      <c r="G44" s="972"/>
      <c r="H44" s="387">
        <f t="shared" si="6"/>
        <v>-5.4985275892711141E-2</v>
      </c>
      <c r="I44" s="390">
        <f t="shared" si="11"/>
        <v>1.4912901829897518E-2</v>
      </c>
      <c r="J44" s="390" t="e">
        <f>(#REF!-#REF!)/#REF!</f>
        <v>#REF!</v>
      </c>
      <c r="R44">
        <f t="shared" si="2"/>
        <v>2019.7499999999975</v>
      </c>
      <c r="S44" s="32">
        <f t="shared" si="10"/>
        <v>8615.68</v>
      </c>
    </row>
    <row r="45" spans="1:35" ht="15" thickBot="1">
      <c r="A45" s="969"/>
      <c r="B45" s="366" t="s">
        <v>213</v>
      </c>
      <c r="C45" s="367">
        <v>10851.76</v>
      </c>
      <c r="D45" s="368"/>
      <c r="E45" s="370">
        <f>SUM(C36:C45)</f>
        <v>101523.48999999999</v>
      </c>
      <c r="F45" s="718"/>
      <c r="G45" s="972"/>
      <c r="H45" s="387">
        <f t="shared" si="6"/>
        <v>4.1517662618363434E-2</v>
      </c>
      <c r="I45" s="390">
        <f t="shared" si="11"/>
        <v>1.7691607540602863E-2</v>
      </c>
      <c r="J45" s="390" t="e">
        <f>(#REF!-#REF!)/#REF!</f>
        <v>#REF!</v>
      </c>
      <c r="R45">
        <f t="shared" si="2"/>
        <v>2019.8333333333308</v>
      </c>
      <c r="S45" s="32">
        <f t="shared" si="10"/>
        <v>7421.58</v>
      </c>
      <c r="AD45" s="805" t="s">
        <v>541</v>
      </c>
      <c r="AE45" s="814" t="s">
        <v>659</v>
      </c>
      <c r="AF45" s="815" t="s">
        <v>660</v>
      </c>
      <c r="AG45" s="728">
        <v>18436607</v>
      </c>
      <c r="AH45" s="816" t="s">
        <v>661</v>
      </c>
      <c r="AI45" s="814" t="s">
        <v>662</v>
      </c>
    </row>
    <row r="46" spans="1:35" ht="15" thickBot="1">
      <c r="A46" s="969"/>
      <c r="B46" s="366" t="s">
        <v>216</v>
      </c>
      <c r="C46" s="367">
        <v>9454.1200000000008</v>
      </c>
      <c r="D46" s="368"/>
      <c r="E46" s="370">
        <f>SUM(C36:C46)</f>
        <v>110977.60999999999</v>
      </c>
      <c r="F46" s="718"/>
      <c r="G46" s="972"/>
      <c r="H46" s="387">
        <f t="shared" si="6"/>
        <v>-7.9219791361293965E-2</v>
      </c>
      <c r="I46" s="390">
        <f t="shared" si="11"/>
        <v>8.647947291783609E-3</v>
      </c>
      <c r="J46" s="390" t="e">
        <f>(#REF!-#REF!)/#REF!</f>
        <v>#REF!</v>
      </c>
      <c r="R46">
        <f t="shared" si="2"/>
        <v>2019.916666666664</v>
      </c>
      <c r="S46" s="32">
        <f t="shared" si="10"/>
        <v>7410.2</v>
      </c>
      <c r="AD46" s="724" t="s">
        <v>109</v>
      </c>
      <c r="AF46" s="807" t="s">
        <v>663</v>
      </c>
      <c r="AG46" s="726">
        <v>10549953</v>
      </c>
      <c r="AH46" s="809" t="s">
        <v>664</v>
      </c>
      <c r="AI46" s="807" t="s">
        <v>665</v>
      </c>
    </row>
    <row r="47" spans="1:35" ht="15" thickBot="1">
      <c r="A47" s="977"/>
      <c r="B47" s="374" t="s">
        <v>217</v>
      </c>
      <c r="C47" s="375">
        <v>8887.74</v>
      </c>
      <c r="D47" s="378"/>
      <c r="E47" s="370">
        <f>SUM(C36:C47)</f>
        <v>119865.34999999999</v>
      </c>
      <c r="F47" s="718"/>
      <c r="G47" s="972"/>
      <c r="H47" s="391">
        <f t="shared" si="6"/>
        <v>-3.0975245970274269E-2</v>
      </c>
      <c r="I47" s="394">
        <f t="shared" si="11"/>
        <v>5.5990895816580254E-3</v>
      </c>
      <c r="J47" s="394" t="e">
        <f>(#REF!-#REF!)/#REF!</f>
        <v>#REF!</v>
      </c>
      <c r="R47">
        <f t="shared" si="2"/>
        <v>2019.9999999999973</v>
      </c>
      <c r="S47" s="32">
        <f>M13</f>
        <v>8379.56</v>
      </c>
      <c r="AD47" s="724" t="s">
        <v>542</v>
      </c>
      <c r="AF47" s="807" t="s">
        <v>666</v>
      </c>
      <c r="AG47" s="726">
        <v>3709166</v>
      </c>
      <c r="AH47" s="809" t="s">
        <v>667</v>
      </c>
      <c r="AI47" s="807" t="s">
        <v>668</v>
      </c>
    </row>
    <row r="48" spans="1:35" ht="15" thickBot="1">
      <c r="A48" s="379" t="s">
        <v>21</v>
      </c>
      <c r="B48" s="395"/>
      <c r="C48" s="381">
        <f>SUM(C36:C47)</f>
        <v>119865.34999999999</v>
      </c>
      <c r="D48" s="711">
        <f>263064*0.495</f>
        <v>130216.68</v>
      </c>
      <c r="E48" s="382">
        <f>E42</f>
        <v>70856.59</v>
      </c>
      <c r="F48" s="716"/>
      <c r="G48" s="973"/>
      <c r="H48" s="396">
        <f t="shared" si="6"/>
        <v>5.5990895816580254E-3</v>
      </c>
      <c r="I48" s="398">
        <f t="shared" si="11"/>
        <v>3.9174785702050088E-2</v>
      </c>
      <c r="J48" s="398" t="e">
        <f>(#REF!-#REF!)/#REF!</f>
        <v>#REF!</v>
      </c>
      <c r="R48">
        <f t="shared" si="2"/>
        <v>2020.0833333333305</v>
      </c>
      <c r="S48" s="32">
        <f t="shared" ref="S48:S54" si="12">M14</f>
        <v>6154.64</v>
      </c>
      <c r="AD48" s="810" t="s">
        <v>543</v>
      </c>
      <c r="AF48" s="811" t="s">
        <v>669</v>
      </c>
      <c r="AG48" s="725">
        <v>3422418</v>
      </c>
      <c r="AH48" s="811" t="s">
        <v>670</v>
      </c>
      <c r="AI48" s="811" t="s">
        <v>671</v>
      </c>
    </row>
    <row r="49" spans="1:35" ht="14.25" customHeight="1">
      <c r="A49" s="969">
        <v>2019</v>
      </c>
      <c r="B49" s="358" t="s">
        <v>191</v>
      </c>
      <c r="C49" s="359">
        <v>10359.98</v>
      </c>
      <c r="D49" s="360"/>
      <c r="E49" s="362">
        <f>C49</f>
        <v>10359.98</v>
      </c>
      <c r="F49" s="717"/>
      <c r="G49" s="971" t="str">
        <f>"Milli áranna "&amp; A36&amp;" og "&amp; A49</f>
        <v>Milli áranna 2018 og 2019</v>
      </c>
      <c r="H49" s="385">
        <f t="shared" si="6"/>
        <v>-4.046183883432565E-2</v>
      </c>
      <c r="I49" s="386">
        <f t="shared" si="11"/>
        <v>-4.046183883432565E-2</v>
      </c>
      <c r="J49" s="386" t="e">
        <f>(#REF!-#REF!)/#REF!</f>
        <v>#REF!</v>
      </c>
      <c r="R49">
        <f t="shared" si="2"/>
        <v>2020.1666666666638</v>
      </c>
      <c r="S49" s="32">
        <f t="shared" si="12"/>
        <v>7204.3</v>
      </c>
    </row>
    <row r="50" spans="1:35" ht="14.25">
      <c r="A50" s="969"/>
      <c r="B50" s="366" t="s">
        <v>195</v>
      </c>
      <c r="C50" s="367">
        <v>8657.68</v>
      </c>
      <c r="D50" s="368"/>
      <c r="E50" s="370">
        <f>SUM(C49:C50)</f>
        <v>19017.66</v>
      </c>
      <c r="F50" s="718"/>
      <c r="G50" s="972"/>
      <c r="H50" s="387">
        <f t="shared" si="6"/>
        <v>-7.3194439389300536E-2</v>
      </c>
      <c r="I50" s="390">
        <f t="shared" si="11"/>
        <v>-5.5645323876045004E-2</v>
      </c>
      <c r="J50" s="390" t="e">
        <f>(#REF!-#REF!)/#REF!</f>
        <v>#REF!</v>
      </c>
      <c r="R50">
        <f t="shared" si="2"/>
        <v>2020.249999999997</v>
      </c>
      <c r="S50" s="32">
        <f t="shared" si="12"/>
        <v>7158.26</v>
      </c>
    </row>
    <row r="51" spans="1:35" ht="15" thickBot="1">
      <c r="A51" s="969"/>
      <c r="B51" s="366" t="s">
        <v>15</v>
      </c>
      <c r="C51" s="367">
        <v>8700.56</v>
      </c>
      <c r="D51" s="368"/>
      <c r="E51" s="370">
        <f>SUM(C49:C51)</f>
        <v>27718.22</v>
      </c>
      <c r="F51" s="718"/>
      <c r="G51" s="972"/>
      <c r="H51" s="387">
        <f t="shared" si="6"/>
        <v>-8.0929996725363773E-2</v>
      </c>
      <c r="I51" s="390">
        <f t="shared" si="11"/>
        <v>-6.3730537045143837E-2</v>
      </c>
      <c r="J51" s="390" t="e">
        <f>(#REF!-#REF!)/#REF!</f>
        <v>#REF!</v>
      </c>
      <c r="R51">
        <f t="shared" si="2"/>
        <v>2020.3333333333303</v>
      </c>
      <c r="S51" s="32">
        <f t="shared" si="12"/>
        <v>6950.12</v>
      </c>
      <c r="AD51" s="805" t="s">
        <v>544</v>
      </c>
      <c r="AE51" s="814" t="s">
        <v>659</v>
      </c>
      <c r="AF51" s="815" t="s">
        <v>660</v>
      </c>
      <c r="AG51" s="728">
        <v>18436607</v>
      </c>
      <c r="AH51" s="816" t="s">
        <v>661</v>
      </c>
      <c r="AI51" s="814" t="s">
        <v>662</v>
      </c>
    </row>
    <row r="52" spans="1:35" ht="14.25">
      <c r="A52" s="969"/>
      <c r="B52" s="366" t="s">
        <v>16</v>
      </c>
      <c r="C52" s="367">
        <v>8838.84</v>
      </c>
      <c r="D52" s="368"/>
      <c r="E52" s="370">
        <f>SUM(C49:C52)</f>
        <v>36557.06</v>
      </c>
      <c r="F52" s="718"/>
      <c r="G52" s="972"/>
      <c r="H52" s="387">
        <f t="shared" si="6"/>
        <v>-8.4696372374499382E-2</v>
      </c>
      <c r="I52" s="390">
        <f t="shared" si="11"/>
        <v>-6.8887253707112572E-2</v>
      </c>
      <c r="J52" s="390" t="e">
        <f>(#REF!-#REF!)/#REF!</f>
        <v>#REF!</v>
      </c>
      <c r="R52">
        <f t="shared" si="2"/>
        <v>2020.4166666666636</v>
      </c>
      <c r="S52" s="32">
        <f t="shared" si="12"/>
        <v>7245.1</v>
      </c>
    </row>
    <row r="53" spans="1:35" ht="14.25">
      <c r="A53" s="969"/>
      <c r="B53" s="366" t="s">
        <v>17</v>
      </c>
      <c r="C53" s="367">
        <v>10672.39</v>
      </c>
      <c r="D53" s="368"/>
      <c r="E53" s="370">
        <f>SUM(C49:C53)</f>
        <v>47229.45</v>
      </c>
      <c r="F53" s="718"/>
      <c r="G53" s="972"/>
      <c r="H53" s="387">
        <f t="shared" si="6"/>
        <v>-1.0461539032119877E-2</v>
      </c>
      <c r="I53" s="390">
        <f t="shared" si="11"/>
        <v>-5.6296382733719348E-2</v>
      </c>
      <c r="J53" s="390" t="e">
        <f>(#REF!-#REF!)/#REF!</f>
        <v>#REF!</v>
      </c>
      <c r="R53">
        <f t="shared" si="2"/>
        <v>2020.4999999999968</v>
      </c>
      <c r="S53" s="32">
        <f t="shared" si="12"/>
        <v>7600.9</v>
      </c>
    </row>
    <row r="54" spans="1:35" ht="14.25">
      <c r="A54" s="969"/>
      <c r="B54" s="366" t="s">
        <v>18</v>
      </c>
      <c r="C54" s="367">
        <v>8821.0400000000009</v>
      </c>
      <c r="D54" s="368"/>
      <c r="E54" s="370">
        <f>SUM(C49:C54)</f>
        <v>56050.49</v>
      </c>
      <c r="F54" s="718"/>
      <c r="G54" s="972"/>
      <c r="H54" s="387">
        <f t="shared" si="6"/>
        <v>-0.13677811550151966</v>
      </c>
      <c r="I54" s="390">
        <f t="shared" si="11"/>
        <v>-6.9942994060464017E-2</v>
      </c>
      <c r="J54" s="390" t="e">
        <f>(#REF!-#REF!)/#REF!</f>
        <v>#REF!</v>
      </c>
      <c r="R54">
        <f t="shared" si="2"/>
        <v>2020.5833333333301</v>
      </c>
      <c r="S54" s="32">
        <f t="shared" si="12"/>
        <v>6408.64</v>
      </c>
    </row>
    <row r="55" spans="1:35" ht="14.25">
      <c r="A55" s="969"/>
      <c r="B55" s="366" t="s">
        <v>19</v>
      </c>
      <c r="C55" s="367">
        <v>9611.26</v>
      </c>
      <c r="D55" s="368"/>
      <c r="E55" s="370">
        <f>SUM(C49:C55)</f>
        <v>65661.75</v>
      </c>
      <c r="F55" s="718"/>
      <c r="G55" s="972"/>
      <c r="H55" s="387">
        <f t="shared" ref="H55:H74" si="13">(C55-C42)/C42</f>
        <v>-9.2501704286871628E-2</v>
      </c>
      <c r="I55" s="390">
        <f t="shared" ref="I55:I67" si="14">(E55-E42)/E42</f>
        <v>-7.3314846226723532E-2</v>
      </c>
      <c r="J55" s="390" t="e">
        <f>(#REF!-#REF!)/#REF!</f>
        <v>#REF!</v>
      </c>
      <c r="R55">
        <f t="shared" si="2"/>
        <v>2020.6666666666633</v>
      </c>
      <c r="S55" s="32">
        <f>M21</f>
        <v>7314.64</v>
      </c>
    </row>
    <row r="56" spans="1:35" ht="14.25">
      <c r="A56" s="969"/>
      <c r="B56" s="366" t="s">
        <v>20</v>
      </c>
      <c r="C56" s="367">
        <v>8938.94</v>
      </c>
      <c r="D56" s="368"/>
      <c r="E56" s="370">
        <f>SUM(C49:C56)</f>
        <v>74600.69</v>
      </c>
      <c r="F56" s="718"/>
      <c r="G56" s="972"/>
      <c r="H56" s="387">
        <f t="shared" si="13"/>
        <v>-0.13458842573229859</v>
      </c>
      <c r="I56" s="390">
        <f t="shared" si="14"/>
        <v>-8.1110579682064615E-2</v>
      </c>
      <c r="J56" s="390" t="e">
        <f>(#REF!-#REF!)/#REF!</f>
        <v>#REF!</v>
      </c>
      <c r="S56" s="32"/>
    </row>
    <row r="57" spans="1:35" ht="14.25">
      <c r="A57" s="969"/>
      <c r="B57" s="366" t="s">
        <v>211</v>
      </c>
      <c r="C57" s="367">
        <v>9020.64</v>
      </c>
      <c r="D57" s="368"/>
      <c r="E57" s="370">
        <f>SUM(C49:C57)</f>
        <v>83621.33</v>
      </c>
      <c r="F57" s="718"/>
      <c r="G57" s="972"/>
      <c r="H57" s="387">
        <f t="shared" si="13"/>
        <v>-4.9059563441780744E-2</v>
      </c>
      <c r="I57" s="390">
        <f t="shared" si="14"/>
        <v>-7.775742229689446E-2</v>
      </c>
      <c r="J57" s="390" t="e">
        <f>(#REF!-#REF!)/#REF!</f>
        <v>#REF!</v>
      </c>
    </row>
    <row r="58" spans="1:35" ht="14.25">
      <c r="A58" s="969"/>
      <c r="B58" s="366" t="s">
        <v>213</v>
      </c>
      <c r="C58" s="367">
        <v>8615.68</v>
      </c>
      <c r="D58" s="368"/>
      <c r="E58" s="370">
        <f>SUM(C49:C58)</f>
        <v>92237.010000000009</v>
      </c>
      <c r="F58" s="718"/>
      <c r="G58" s="972"/>
      <c r="H58" s="387">
        <f t="shared" si="13"/>
        <v>-0.20605689768295649</v>
      </c>
      <c r="I58" s="390">
        <f t="shared" si="14"/>
        <v>-9.1471244733607779E-2</v>
      </c>
      <c r="J58" s="390" t="e">
        <f>(#REF!-#REF!)/#REF!</f>
        <v>#REF!</v>
      </c>
    </row>
    <row r="59" spans="1:35" ht="14.25">
      <c r="A59" s="969"/>
      <c r="B59" s="366" t="s">
        <v>216</v>
      </c>
      <c r="C59" s="367">
        <v>7421.58</v>
      </c>
      <c r="D59" s="368"/>
      <c r="E59" s="370">
        <f>SUM(C49:C59)</f>
        <v>99658.590000000011</v>
      </c>
      <c r="F59" s="718"/>
      <c r="G59" s="972"/>
      <c r="H59" s="387">
        <f t="shared" si="13"/>
        <v>-0.21498986685170071</v>
      </c>
      <c r="I59" s="390">
        <f t="shared" si="14"/>
        <v>-0.10199372648230554</v>
      </c>
      <c r="J59" s="390" t="e">
        <f>(#REF!-#REF!)/#REF!</f>
        <v>#REF!</v>
      </c>
    </row>
    <row r="60" spans="1:35" ht="15" thickBot="1">
      <c r="A60" s="977"/>
      <c r="B60" s="374" t="s">
        <v>217</v>
      </c>
      <c r="C60" s="375">
        <v>7410.2</v>
      </c>
      <c r="D60" s="378"/>
      <c r="E60" s="370">
        <f>SUM(C49:C60)</f>
        <v>107068.79000000001</v>
      </c>
      <c r="F60" s="718"/>
      <c r="G60" s="972"/>
      <c r="H60" s="391">
        <f t="shared" si="13"/>
        <v>-0.16624473713227433</v>
      </c>
      <c r="I60" s="394">
        <f t="shared" si="14"/>
        <v>-0.10675779113813945</v>
      </c>
      <c r="J60" s="394" t="e">
        <f>(#REF!-#REF!)/#REF!</f>
        <v>#REF!</v>
      </c>
    </row>
    <row r="61" spans="1:35" ht="15" thickBot="1">
      <c r="A61" s="379" t="s">
        <v>21</v>
      </c>
      <c r="B61" s="395"/>
      <c r="C61" s="381">
        <f>SUM(C49:C60)</f>
        <v>107068.79000000001</v>
      </c>
      <c r="D61" s="711">
        <f>224756*0.504</f>
        <v>113277.024</v>
      </c>
      <c r="E61" s="382">
        <f>E55</f>
        <v>65661.75</v>
      </c>
      <c r="F61" s="716"/>
      <c r="G61" s="973"/>
      <c r="H61" s="396">
        <f t="shared" si="13"/>
        <v>-0.10675779113813945</v>
      </c>
      <c r="I61" s="398">
        <f t="shared" si="14"/>
        <v>-7.3314846226723532E-2</v>
      </c>
      <c r="J61" s="398" t="e">
        <f>(#REF!-#REF!)/#REF!</f>
        <v>#REF!</v>
      </c>
    </row>
    <row r="62" spans="1:35" ht="14.25" customHeight="1">
      <c r="A62" s="969">
        <v>2020</v>
      </c>
      <c r="B62" s="358" t="s">
        <v>191</v>
      </c>
      <c r="C62" s="359">
        <v>8379.56</v>
      </c>
      <c r="D62" s="360"/>
      <c r="E62" s="362">
        <f>C62</f>
        <v>8379.56</v>
      </c>
      <c r="F62" s="717"/>
      <c r="G62" s="971" t="str">
        <f>"Milli áranna "&amp; A49&amp;" og "&amp; A62</f>
        <v>Milli áranna 2019 og 2020</v>
      </c>
      <c r="H62" s="385">
        <f t="shared" si="13"/>
        <v>-0.19116060069614035</v>
      </c>
      <c r="I62" s="386">
        <f t="shared" si="14"/>
        <v>-0.19116060069614035</v>
      </c>
      <c r="J62" s="386" t="e">
        <f>(#REF!-#REF!)/#REF!</f>
        <v>#REF!</v>
      </c>
    </row>
    <row r="63" spans="1:35" ht="14.25">
      <c r="A63" s="969"/>
      <c r="B63" s="366" t="s">
        <v>195</v>
      </c>
      <c r="C63" s="367">
        <v>6154.64</v>
      </c>
      <c r="D63" s="368"/>
      <c r="E63" s="370">
        <f>SUM(C62:C63)</f>
        <v>14534.2</v>
      </c>
      <c r="F63" s="718"/>
      <c r="G63" s="972"/>
      <c r="H63" s="387">
        <f t="shared" si="13"/>
        <v>-0.28911209469511462</v>
      </c>
      <c r="I63" s="390">
        <f t="shared" si="14"/>
        <v>-0.23575245324608807</v>
      </c>
      <c r="J63" s="390" t="e">
        <f>(#REF!-#REF!)/#REF!</f>
        <v>#REF!</v>
      </c>
    </row>
    <row r="64" spans="1:35" ht="14.25">
      <c r="A64" s="969"/>
      <c r="B64" s="366" t="s">
        <v>15</v>
      </c>
      <c r="C64" s="367">
        <v>7204.3</v>
      </c>
      <c r="D64" s="368"/>
      <c r="E64" s="370">
        <f>SUM(C62:C64)</f>
        <v>21738.5</v>
      </c>
      <c r="F64" s="718"/>
      <c r="G64" s="972"/>
      <c r="H64" s="387">
        <f t="shared" si="13"/>
        <v>-0.17197283852993364</v>
      </c>
      <c r="I64" s="390">
        <f t="shared" si="14"/>
        <v>-0.21573246766928039</v>
      </c>
      <c r="J64" s="390" t="e">
        <f>(#REF!-#REF!)/#REF!</f>
        <v>#REF!</v>
      </c>
      <c r="K64" t="s">
        <v>522</v>
      </c>
    </row>
    <row r="65" spans="1:15" ht="14.25">
      <c r="A65" s="969"/>
      <c r="B65" s="366" t="s">
        <v>16</v>
      </c>
      <c r="C65" s="367">
        <v>7158.26</v>
      </c>
      <c r="D65" s="368"/>
      <c r="E65" s="370">
        <f>SUM(C62:C65)</f>
        <v>28896.760000000002</v>
      </c>
      <c r="F65" s="718"/>
      <c r="G65" s="972"/>
      <c r="H65" s="387">
        <f t="shared" si="13"/>
        <v>-0.19013580967638286</v>
      </c>
      <c r="I65" s="390">
        <f t="shared" si="14"/>
        <v>-0.20954365586291665</v>
      </c>
      <c r="J65" s="390" t="e">
        <f>(#REF!-#REF!)/#REF!</f>
        <v>#REF!</v>
      </c>
      <c r="K65" t="s">
        <v>523</v>
      </c>
    </row>
    <row r="66" spans="1:15" ht="14.25">
      <c r="A66" s="969"/>
      <c r="B66" s="366" t="s">
        <v>17</v>
      </c>
      <c r="C66" s="367">
        <v>6950.12</v>
      </c>
      <c r="D66" s="368"/>
      <c r="E66" s="370">
        <f>SUM(C62:C66)</f>
        <v>35846.880000000005</v>
      </c>
      <c r="F66" s="718"/>
      <c r="G66" s="972"/>
      <c r="H66" s="387">
        <f t="shared" si="13"/>
        <v>-0.34877567255319564</v>
      </c>
      <c r="I66" s="390">
        <f t="shared" si="14"/>
        <v>-0.24100577076379237</v>
      </c>
      <c r="J66" s="390" t="e">
        <f>(#REF!-#REF!)/#REF!</f>
        <v>#REF!</v>
      </c>
      <c r="K66" t="s">
        <v>524</v>
      </c>
    </row>
    <row r="67" spans="1:15" ht="14.25">
      <c r="A67" s="969"/>
      <c r="B67" s="366" t="s">
        <v>18</v>
      </c>
      <c r="C67" s="367">
        <v>7245.1</v>
      </c>
      <c r="D67" s="368"/>
      <c r="E67" s="370">
        <f>SUM(C62:C67)</f>
        <v>43091.98</v>
      </c>
      <c r="F67" s="718"/>
      <c r="G67" s="972"/>
      <c r="H67" s="387">
        <f t="shared" si="13"/>
        <v>-0.17865693841089036</v>
      </c>
      <c r="I67" s="390">
        <f t="shared" si="14"/>
        <v>-0.23119351855800002</v>
      </c>
      <c r="J67" s="390" t="e">
        <f>(#REF!-#REF!)/#REF!</f>
        <v>#REF!</v>
      </c>
    </row>
    <row r="68" spans="1:15" ht="14.25">
      <c r="A68" s="969"/>
      <c r="B68" s="366" t="s">
        <v>19</v>
      </c>
      <c r="C68" s="367">
        <v>7600.9</v>
      </c>
      <c r="D68" s="368"/>
      <c r="E68" s="370">
        <f>SUM(C62:C68)</f>
        <v>50692.880000000005</v>
      </c>
      <c r="F68" s="718"/>
      <c r="G68" s="972"/>
      <c r="H68" s="387">
        <f t="shared" si="13"/>
        <v>-0.20916716434681826</v>
      </c>
      <c r="I68" s="390">
        <f t="shared" ref="I68:I80" si="15">(E68-E55)/E55</f>
        <v>-0.22796940380053829</v>
      </c>
      <c r="J68" s="390" t="e">
        <f>(#REF!-#REF!)/#REF!</f>
        <v>#REF!</v>
      </c>
    </row>
    <row r="69" spans="1:15" ht="14.25">
      <c r="A69" s="969"/>
      <c r="B69" s="366" t="s">
        <v>20</v>
      </c>
      <c r="C69" s="367">
        <v>6408.64</v>
      </c>
      <c r="D69" s="368"/>
      <c r="E69" s="370">
        <f>SUM(C62:C69)</f>
        <v>57101.520000000004</v>
      </c>
      <c r="F69" s="718"/>
      <c r="G69" s="972"/>
      <c r="H69" s="387">
        <f t="shared" si="13"/>
        <v>-0.28306488241335104</v>
      </c>
      <c r="I69" s="390">
        <f t="shared" si="15"/>
        <v>-0.23457115477082047</v>
      </c>
      <c r="J69" s="390" t="e">
        <f>(#REF!-#REF!)/#REF!</f>
        <v>#REF!</v>
      </c>
    </row>
    <row r="70" spans="1:15" ht="14.25">
      <c r="A70" s="969"/>
      <c r="B70" s="366" t="s">
        <v>211</v>
      </c>
      <c r="C70" s="367">
        <v>7314.64</v>
      </c>
      <c r="D70" s="368"/>
      <c r="E70" s="370">
        <f>SUM(C62:C70)</f>
        <v>64416.160000000003</v>
      </c>
      <c r="F70" s="718"/>
      <c r="G70" s="972"/>
      <c r="H70" s="387">
        <f t="shared" si="13"/>
        <v>-0.18912183614466371</v>
      </c>
      <c r="I70" s="390">
        <f t="shared" si="15"/>
        <v>-0.22966831548840466</v>
      </c>
      <c r="J70" s="390" t="e">
        <f>(#REF!-#REF!)/#REF!</f>
        <v>#REF!</v>
      </c>
    </row>
    <row r="71" spans="1:15" ht="14.25">
      <c r="A71" s="969"/>
      <c r="B71" s="366" t="s">
        <v>213</v>
      </c>
      <c r="C71" s="367">
        <v>3364.7</v>
      </c>
      <c r="D71" s="368"/>
      <c r="E71" s="370">
        <f>SUM(C62:C71)</f>
        <v>67780.86</v>
      </c>
      <c r="F71" s="718"/>
      <c r="G71" s="972"/>
      <c r="H71" s="387">
        <f t="shared" si="13"/>
        <v>-0.60946785395929282</v>
      </c>
      <c r="I71" s="390">
        <f t="shared" si="15"/>
        <v>-0.26514465288933375</v>
      </c>
      <c r="J71" s="390" t="e">
        <f>(#REF!-#REF!)/#REF!</f>
        <v>#REF!</v>
      </c>
    </row>
    <row r="72" spans="1:15" ht="14.25">
      <c r="A72" s="969"/>
      <c r="B72" s="366" t="s">
        <v>216</v>
      </c>
      <c r="C72" s="367">
        <v>3000</v>
      </c>
      <c r="D72" s="368"/>
      <c r="E72" s="370">
        <f>SUM(C62:C72)</f>
        <v>70780.86</v>
      </c>
      <c r="F72" s="718"/>
      <c r="G72" s="972"/>
      <c r="H72" s="387">
        <f t="shared" si="13"/>
        <v>-0.59577340674088264</v>
      </c>
      <c r="I72" s="390">
        <f t="shared" si="15"/>
        <v>-0.28976659212216438</v>
      </c>
      <c r="J72" s="390" t="e">
        <f>(#REF!-#REF!)/#REF!</f>
        <v>#REF!</v>
      </c>
    </row>
    <row r="73" spans="1:15" ht="15" thickBot="1">
      <c r="A73" s="977"/>
      <c r="B73" s="374" t="s">
        <v>217</v>
      </c>
      <c r="C73" s="375">
        <v>3000</v>
      </c>
      <c r="D73" s="378"/>
      <c r="E73" s="370">
        <f>SUM(C62:C73)</f>
        <v>73780.86</v>
      </c>
      <c r="F73" s="718"/>
      <c r="G73" s="972"/>
      <c r="H73" s="391">
        <f t="shared" si="13"/>
        <v>-0.59515262745944775</v>
      </c>
      <c r="I73" s="394">
        <f t="shared" si="15"/>
        <v>-0.31090227133415821</v>
      </c>
      <c r="J73" s="394" t="e">
        <f>(#REF!-#REF!)/#REF!</f>
        <v>#REF!</v>
      </c>
    </row>
    <row r="74" spans="1:15" ht="15" thickBot="1">
      <c r="A74" s="379" t="s">
        <v>21</v>
      </c>
      <c r="B74" s="395"/>
      <c r="C74" s="381">
        <f>SUM(C62:C73)</f>
        <v>73780.86</v>
      </c>
      <c r="D74" s="711">
        <f>212060*0.42</f>
        <v>89065.2</v>
      </c>
      <c r="E74" s="382">
        <f>E68</f>
        <v>50692.880000000005</v>
      </c>
      <c r="F74" s="716"/>
      <c r="G74" s="973"/>
      <c r="H74" s="396">
        <f t="shared" si="13"/>
        <v>-0.31090227133415821</v>
      </c>
      <c r="I74" s="398">
        <f t="shared" si="15"/>
        <v>-0.22796940380053829</v>
      </c>
      <c r="J74" s="398" t="e">
        <f>(#REF!-#REF!)/#REF!</f>
        <v>#REF!</v>
      </c>
    </row>
    <row r="75" spans="1:15" ht="14.25" customHeight="1">
      <c r="A75" s="969">
        <v>2021</v>
      </c>
      <c r="B75" s="358" t="s">
        <v>191</v>
      </c>
      <c r="C75" s="359">
        <v>8379.56</v>
      </c>
      <c r="D75" s="360"/>
      <c r="E75" s="362">
        <f>C75</f>
        <v>8379.56</v>
      </c>
      <c r="F75" s="717"/>
      <c r="G75" s="971" t="str">
        <f>"Milli áranna "&amp; A62&amp;" og "&amp; A75</f>
        <v>Milli áranna 2020 og 2021</v>
      </c>
      <c r="H75" s="385">
        <f>(C75-C62)/C62</f>
        <v>0</v>
      </c>
      <c r="I75" s="386">
        <f t="shared" si="15"/>
        <v>0</v>
      </c>
      <c r="J75" s="386" t="e">
        <f>(#REF!-#REF!)/#REF!</f>
        <v>#REF!</v>
      </c>
    </row>
    <row r="76" spans="1:15" ht="14.25">
      <c r="A76" s="969"/>
      <c r="B76" s="366" t="s">
        <v>195</v>
      </c>
      <c r="C76" s="367">
        <v>6154.64</v>
      </c>
      <c r="D76" s="368"/>
      <c r="E76" s="370">
        <f>SUM(C75:C76)</f>
        <v>14534.2</v>
      </c>
      <c r="F76" s="718"/>
      <c r="G76" s="972"/>
      <c r="H76" s="387">
        <f>(C76-C63)/C63</f>
        <v>0</v>
      </c>
      <c r="I76" s="390">
        <f t="shared" si="15"/>
        <v>0</v>
      </c>
      <c r="J76" s="390" t="e">
        <f>(#REF!-#REF!)/#REF!</f>
        <v>#REF!</v>
      </c>
    </row>
    <row r="77" spans="1:15" ht="14.25">
      <c r="A77" s="969"/>
      <c r="B77" s="366" t="s">
        <v>15</v>
      </c>
      <c r="C77" s="367">
        <v>7204.3</v>
      </c>
      <c r="D77" s="368"/>
      <c r="E77" s="370">
        <f>SUM(C75:C77)</f>
        <v>21738.5</v>
      </c>
      <c r="F77" s="718"/>
      <c r="G77" s="972"/>
      <c r="H77" s="387">
        <f t="shared" ref="H77:H87" si="16">(C77-C64)/C64</f>
        <v>0</v>
      </c>
      <c r="I77" s="390">
        <f t="shared" si="15"/>
        <v>0</v>
      </c>
      <c r="J77" s="390" t="e">
        <f>(#REF!-#REF!)/#REF!</f>
        <v>#REF!</v>
      </c>
    </row>
    <row r="78" spans="1:15" ht="14.25">
      <c r="A78" s="969"/>
      <c r="B78" s="366" t="s">
        <v>16</v>
      </c>
      <c r="C78" s="367">
        <v>7158.26</v>
      </c>
      <c r="D78" s="368"/>
      <c r="E78" s="370">
        <f>SUM(C75:C78)</f>
        <v>28896.760000000002</v>
      </c>
      <c r="F78" s="718"/>
      <c r="G78" s="972"/>
      <c r="H78" s="387">
        <f t="shared" si="16"/>
        <v>0</v>
      </c>
      <c r="I78" s="390">
        <f t="shared" si="15"/>
        <v>0</v>
      </c>
      <c r="J78" s="390" t="e">
        <f>(#REF!-#REF!)/#REF!</f>
        <v>#REF!</v>
      </c>
    </row>
    <row r="79" spans="1:15" ht="14.25">
      <c r="A79" s="969"/>
      <c r="B79" s="366" t="s">
        <v>17</v>
      </c>
      <c r="C79" s="367">
        <v>6950.12</v>
      </c>
      <c r="D79" s="368"/>
      <c r="E79" s="370">
        <f>SUM(C75:C79)</f>
        <v>35846.880000000005</v>
      </c>
      <c r="F79" s="718"/>
      <c r="G79" s="972"/>
      <c r="H79" s="387">
        <f t="shared" si="16"/>
        <v>0</v>
      </c>
      <c r="I79" s="390">
        <f t="shared" si="15"/>
        <v>0</v>
      </c>
      <c r="J79" s="390" t="e">
        <f>(#REF!-#REF!)/#REF!</f>
        <v>#REF!</v>
      </c>
    </row>
    <row r="80" spans="1:15" ht="14.25">
      <c r="A80" s="969"/>
      <c r="B80" s="366" t="s">
        <v>18</v>
      </c>
      <c r="C80" s="367">
        <v>7245.1</v>
      </c>
      <c r="D80" s="368"/>
      <c r="E80" s="370">
        <f>SUM(C75:C80)</f>
        <v>43091.98</v>
      </c>
      <c r="F80" s="718"/>
      <c r="G80" s="972"/>
      <c r="H80" s="387">
        <f t="shared" si="16"/>
        <v>0</v>
      </c>
      <c r="I80" s="390">
        <f t="shared" si="15"/>
        <v>0</v>
      </c>
      <c r="J80" s="390" t="e">
        <f>(#REF!-#REF!)/#REF!</f>
        <v>#REF!</v>
      </c>
      <c r="O80">
        <f>212060*0.42</f>
        <v>89065.2</v>
      </c>
    </row>
    <row r="81" spans="1:10" ht="14.25">
      <c r="A81" s="969"/>
      <c r="B81" s="366" t="s">
        <v>19</v>
      </c>
      <c r="C81" s="367">
        <v>7600.9</v>
      </c>
      <c r="D81" s="368"/>
      <c r="E81" s="370">
        <f>SUM(C75:C81)</f>
        <v>50692.880000000005</v>
      </c>
      <c r="F81" s="718"/>
      <c r="G81" s="972"/>
      <c r="H81" s="387">
        <f t="shared" si="16"/>
        <v>0</v>
      </c>
      <c r="I81" s="390">
        <f t="shared" ref="I81:I93" si="17">(E81-E68)/E68</f>
        <v>0</v>
      </c>
      <c r="J81" s="390" t="e">
        <f>(#REF!-#REF!)/#REF!</f>
        <v>#REF!</v>
      </c>
    </row>
    <row r="82" spans="1:10" ht="14.25">
      <c r="A82" s="969"/>
      <c r="B82" s="366" t="s">
        <v>20</v>
      </c>
      <c r="C82" s="367">
        <v>6408.64</v>
      </c>
      <c r="D82" s="368"/>
      <c r="E82" s="370">
        <f>SUM(C75:C82)</f>
        <v>57101.520000000004</v>
      </c>
      <c r="F82" s="718"/>
      <c r="G82" s="972"/>
      <c r="H82" s="387">
        <f t="shared" si="16"/>
        <v>0</v>
      </c>
      <c r="I82" s="390">
        <f t="shared" si="17"/>
        <v>0</v>
      </c>
      <c r="J82" s="390" t="e">
        <f>(#REF!-#REF!)/#REF!</f>
        <v>#REF!</v>
      </c>
    </row>
    <row r="83" spans="1:10" ht="14.25">
      <c r="A83" s="969"/>
      <c r="B83" s="366" t="s">
        <v>211</v>
      </c>
      <c r="C83" s="367">
        <v>7314.64</v>
      </c>
      <c r="D83" s="368"/>
      <c r="E83" s="370">
        <f>SUM(C75:C83)</f>
        <v>64416.160000000003</v>
      </c>
      <c r="F83" s="718"/>
      <c r="G83" s="972"/>
      <c r="H83" s="387">
        <f t="shared" si="16"/>
        <v>0</v>
      </c>
      <c r="I83" s="390">
        <f t="shared" si="17"/>
        <v>0</v>
      </c>
      <c r="J83" s="390" t="e">
        <f>(#REF!-#REF!)/#REF!</f>
        <v>#REF!</v>
      </c>
    </row>
    <row r="84" spans="1:10" ht="14.25">
      <c r="A84" s="969"/>
      <c r="B84" s="366" t="s">
        <v>213</v>
      </c>
      <c r="C84" s="367">
        <v>3364.7</v>
      </c>
      <c r="D84" s="368"/>
      <c r="E84" s="370">
        <f>SUM(C75:C84)</f>
        <v>67780.86</v>
      </c>
      <c r="F84" s="718"/>
      <c r="G84" s="972"/>
      <c r="H84" s="387">
        <f t="shared" si="16"/>
        <v>0</v>
      </c>
      <c r="I84" s="390">
        <f t="shared" si="17"/>
        <v>0</v>
      </c>
      <c r="J84" s="390" t="e">
        <f>(#REF!-#REF!)/#REF!</f>
        <v>#REF!</v>
      </c>
    </row>
    <row r="85" spans="1:10" ht="14.25">
      <c r="A85" s="969"/>
      <c r="B85" s="366" t="s">
        <v>216</v>
      </c>
      <c r="C85" s="367">
        <v>3000</v>
      </c>
      <c r="D85" s="368"/>
      <c r="E85" s="370">
        <f>SUM(C75:C85)</f>
        <v>70780.86</v>
      </c>
      <c r="F85" s="718"/>
      <c r="G85" s="972"/>
      <c r="H85" s="387">
        <f t="shared" si="16"/>
        <v>0</v>
      </c>
      <c r="I85" s="390">
        <f t="shared" si="17"/>
        <v>0</v>
      </c>
      <c r="J85" s="390" t="e">
        <f>(#REF!-#REF!)/#REF!</f>
        <v>#REF!</v>
      </c>
    </row>
    <row r="86" spans="1:10" ht="15" thickBot="1">
      <c r="A86" s="977"/>
      <c r="B86" s="374" t="s">
        <v>217</v>
      </c>
      <c r="C86" s="375">
        <v>3000</v>
      </c>
      <c r="D86" s="378"/>
      <c r="E86" s="370">
        <f>SUM(C75:C86)</f>
        <v>73780.86</v>
      </c>
      <c r="F86" s="718"/>
      <c r="G86" s="972"/>
      <c r="H86" s="391">
        <f t="shared" si="16"/>
        <v>0</v>
      </c>
      <c r="I86" s="394">
        <f t="shared" si="17"/>
        <v>0</v>
      </c>
      <c r="J86" s="394" t="e">
        <f>(#REF!-#REF!)/#REF!</f>
        <v>#REF!</v>
      </c>
    </row>
    <row r="87" spans="1:10" ht="15" thickBot="1">
      <c r="A87" s="379" t="s">
        <v>21</v>
      </c>
      <c r="B87" s="395"/>
      <c r="C87" s="381">
        <f>SUM(C75:C86)</f>
        <v>73780.86</v>
      </c>
      <c r="D87" s="711">
        <f>198936*0.43</f>
        <v>85542.48</v>
      </c>
      <c r="E87" s="382">
        <f>E81</f>
        <v>50692.880000000005</v>
      </c>
      <c r="F87" s="716"/>
      <c r="G87" s="973"/>
      <c r="H87" s="396">
        <f t="shared" si="16"/>
        <v>0</v>
      </c>
      <c r="I87" s="398">
        <f t="shared" si="17"/>
        <v>0</v>
      </c>
      <c r="J87" s="398" t="e">
        <f>(#REF!-#REF!)/#REF!</f>
        <v>#REF!</v>
      </c>
    </row>
    <row r="88" spans="1:10" ht="14.25" customHeight="1">
      <c r="A88" s="969">
        <v>2022</v>
      </c>
      <c r="B88" s="358" t="s">
        <v>191</v>
      </c>
      <c r="C88" s="359"/>
      <c r="D88" s="360"/>
      <c r="E88" s="362">
        <f>C88</f>
        <v>0</v>
      </c>
      <c r="F88" s="717"/>
      <c r="G88" s="971" t="str">
        <f>"Milli áranna "&amp; A75&amp;" og "&amp; A88</f>
        <v>Milli áranna 2021 og 2022</v>
      </c>
      <c r="H88" s="385">
        <f t="shared" ref="H88" si="18">(C88-C75)/C75</f>
        <v>-1</v>
      </c>
      <c r="I88" s="386">
        <f t="shared" si="17"/>
        <v>-1</v>
      </c>
      <c r="J88" s="386" t="e">
        <f>(#REF!-#REF!)/#REF!</f>
        <v>#REF!</v>
      </c>
    </row>
    <row r="89" spans="1:10" ht="14.25">
      <c r="A89" s="969"/>
      <c r="B89" s="366" t="s">
        <v>195</v>
      </c>
      <c r="C89" s="367"/>
      <c r="D89" s="368"/>
      <c r="E89" s="370">
        <f>SUM(C88:C89)</f>
        <v>0</v>
      </c>
      <c r="F89" s="718"/>
      <c r="G89" s="972"/>
      <c r="H89" s="387">
        <f>(C89-C76)/C76</f>
        <v>-1</v>
      </c>
      <c r="I89" s="390">
        <f t="shared" si="17"/>
        <v>-1</v>
      </c>
      <c r="J89" s="390" t="e">
        <f>(#REF!-#REF!)/#REF!</f>
        <v>#REF!</v>
      </c>
    </row>
    <row r="90" spans="1:10" ht="14.25">
      <c r="A90" s="969"/>
      <c r="B90" s="366" t="s">
        <v>15</v>
      </c>
      <c r="C90" s="367"/>
      <c r="D90" s="368"/>
      <c r="E90" s="370">
        <f>SUM(C88:C90)</f>
        <v>0</v>
      </c>
      <c r="F90" s="718"/>
      <c r="G90" s="972"/>
      <c r="H90" s="387">
        <f t="shared" ref="H90:H100" si="19">(C90-C77)/C77</f>
        <v>-1</v>
      </c>
      <c r="I90" s="390">
        <f t="shared" si="17"/>
        <v>-1</v>
      </c>
      <c r="J90" s="390" t="e">
        <f>(#REF!-#REF!)/#REF!</f>
        <v>#REF!</v>
      </c>
    </row>
    <row r="91" spans="1:10" ht="14.25">
      <c r="A91" s="969"/>
      <c r="B91" s="366" t="s">
        <v>16</v>
      </c>
      <c r="C91" s="367"/>
      <c r="D91" s="368"/>
      <c r="E91" s="370">
        <f>SUM(C88:C91)</f>
        <v>0</v>
      </c>
      <c r="F91" s="718"/>
      <c r="G91" s="972"/>
      <c r="H91" s="387">
        <f t="shared" si="19"/>
        <v>-1</v>
      </c>
      <c r="I91" s="390">
        <f t="shared" si="17"/>
        <v>-1</v>
      </c>
      <c r="J91" s="390" t="e">
        <f>(#REF!-#REF!)/#REF!</f>
        <v>#REF!</v>
      </c>
    </row>
    <row r="92" spans="1:10" ht="14.25">
      <c r="A92" s="969"/>
      <c r="B92" s="366" t="s">
        <v>17</v>
      </c>
      <c r="C92" s="367"/>
      <c r="D92" s="368"/>
      <c r="E92" s="370">
        <f>SUM(C88:C92)</f>
        <v>0</v>
      </c>
      <c r="F92" s="718"/>
      <c r="G92" s="972"/>
      <c r="H92" s="387">
        <f t="shared" si="19"/>
        <v>-1</v>
      </c>
      <c r="I92" s="390">
        <f t="shared" si="17"/>
        <v>-1</v>
      </c>
      <c r="J92" s="390" t="e">
        <f>(#REF!-#REF!)/#REF!</f>
        <v>#REF!</v>
      </c>
    </row>
    <row r="93" spans="1:10" ht="14.25">
      <c r="A93" s="969"/>
      <c r="B93" s="366" t="s">
        <v>18</v>
      </c>
      <c r="C93" s="367"/>
      <c r="D93" s="368"/>
      <c r="E93" s="370">
        <f>SUM(C88:C93)</f>
        <v>0</v>
      </c>
      <c r="F93" s="718"/>
      <c r="G93" s="972"/>
      <c r="H93" s="387">
        <f t="shared" si="19"/>
        <v>-1</v>
      </c>
      <c r="I93" s="390">
        <f t="shared" si="17"/>
        <v>-1</v>
      </c>
      <c r="J93" s="390" t="e">
        <f>(#REF!-#REF!)/#REF!</f>
        <v>#REF!</v>
      </c>
    </row>
    <row r="94" spans="1:10" ht="14.25">
      <c r="A94" s="969"/>
      <c r="B94" s="366" t="s">
        <v>19</v>
      </c>
      <c r="C94" s="367"/>
      <c r="D94" s="368"/>
      <c r="E94" s="370">
        <f>SUM(C88:C94)</f>
        <v>0</v>
      </c>
      <c r="F94" s="718"/>
      <c r="G94" s="972"/>
      <c r="H94" s="387">
        <f t="shared" si="19"/>
        <v>-1</v>
      </c>
      <c r="I94" s="390">
        <f t="shared" ref="I94:I100" si="20">(E94-E81)/E81</f>
        <v>-1</v>
      </c>
      <c r="J94" s="390" t="e">
        <f>(#REF!-#REF!)/#REF!</f>
        <v>#REF!</v>
      </c>
    </row>
    <row r="95" spans="1:10" ht="14.25">
      <c r="A95" s="969"/>
      <c r="B95" s="366" t="s">
        <v>20</v>
      </c>
      <c r="C95" s="367"/>
      <c r="D95" s="368"/>
      <c r="E95" s="370">
        <f>SUM(C88:C95)</f>
        <v>0</v>
      </c>
      <c r="F95" s="718"/>
      <c r="G95" s="972"/>
      <c r="H95" s="387">
        <f t="shared" si="19"/>
        <v>-1</v>
      </c>
      <c r="I95" s="390">
        <f t="shared" si="20"/>
        <v>-1</v>
      </c>
      <c r="J95" s="390" t="e">
        <f>(#REF!-#REF!)/#REF!</f>
        <v>#REF!</v>
      </c>
    </row>
    <row r="96" spans="1:10" ht="14.25">
      <c r="A96" s="969"/>
      <c r="B96" s="366" t="s">
        <v>211</v>
      </c>
      <c r="C96" s="367"/>
      <c r="D96" s="368"/>
      <c r="E96" s="370">
        <f>SUM(C88:C96)</f>
        <v>0</v>
      </c>
      <c r="F96" s="718"/>
      <c r="G96" s="972"/>
      <c r="H96" s="387">
        <f t="shared" si="19"/>
        <v>-1</v>
      </c>
      <c r="I96" s="390">
        <f t="shared" si="20"/>
        <v>-1</v>
      </c>
      <c r="J96" s="390" t="e">
        <f>(#REF!-#REF!)/#REF!</f>
        <v>#REF!</v>
      </c>
    </row>
    <row r="97" spans="1:10" ht="14.25">
      <c r="A97" s="969"/>
      <c r="B97" s="366" t="s">
        <v>213</v>
      </c>
      <c r="C97" s="367"/>
      <c r="D97" s="368"/>
      <c r="E97" s="370">
        <f>SUM(C88:C97)</f>
        <v>0</v>
      </c>
      <c r="F97" s="718"/>
      <c r="G97" s="972"/>
      <c r="H97" s="387">
        <f t="shared" si="19"/>
        <v>-1</v>
      </c>
      <c r="I97" s="390">
        <f t="shared" si="20"/>
        <v>-1</v>
      </c>
      <c r="J97" s="390" t="e">
        <f>(#REF!-#REF!)/#REF!</f>
        <v>#REF!</v>
      </c>
    </row>
    <row r="98" spans="1:10" ht="14.25">
      <c r="A98" s="969"/>
      <c r="B98" s="366" t="s">
        <v>216</v>
      </c>
      <c r="C98" s="367"/>
      <c r="D98" s="368"/>
      <c r="E98" s="370">
        <f>SUM(C88:C98)</f>
        <v>0</v>
      </c>
      <c r="F98" s="718"/>
      <c r="G98" s="972"/>
      <c r="H98" s="387">
        <f t="shared" si="19"/>
        <v>-1</v>
      </c>
      <c r="I98" s="390">
        <f t="shared" si="20"/>
        <v>-1</v>
      </c>
      <c r="J98" s="390" t="e">
        <f>(#REF!-#REF!)/#REF!</f>
        <v>#REF!</v>
      </c>
    </row>
    <row r="99" spans="1:10" ht="15" thickBot="1">
      <c r="A99" s="977"/>
      <c r="B99" s="374" t="s">
        <v>217</v>
      </c>
      <c r="C99" s="375"/>
      <c r="D99" s="378"/>
      <c r="E99" s="370">
        <f>SUM(C88:C99)</f>
        <v>0</v>
      </c>
      <c r="F99" s="718"/>
      <c r="G99" s="972"/>
      <c r="H99" s="391">
        <f t="shared" si="19"/>
        <v>-1</v>
      </c>
      <c r="I99" s="394">
        <f t="shared" si="20"/>
        <v>-1</v>
      </c>
      <c r="J99" s="394" t="e">
        <f>(#REF!-#REF!)/#REF!</f>
        <v>#REF!</v>
      </c>
    </row>
    <row r="100" spans="1:10" ht="15" thickBot="1">
      <c r="A100" s="379" t="s">
        <v>21</v>
      </c>
      <c r="B100" s="395"/>
      <c r="C100" s="381">
        <f>SUM(C88:C99)</f>
        <v>0</v>
      </c>
      <c r="D100" s="711">
        <f>0.358*188505</f>
        <v>67484.789999999994</v>
      </c>
      <c r="E100" s="382">
        <f>E94</f>
        <v>0</v>
      </c>
      <c r="F100" s="716"/>
      <c r="G100" s="973"/>
      <c r="H100" s="396">
        <f t="shared" si="19"/>
        <v>-1</v>
      </c>
      <c r="I100" s="398">
        <f t="shared" si="20"/>
        <v>-1</v>
      </c>
      <c r="J100" s="398" t="e">
        <f>(#REF!-#REF!)/#REF!</f>
        <v>#REF!</v>
      </c>
    </row>
  </sheetData>
  <mergeCells count="18">
    <mergeCell ref="A88:A99"/>
    <mergeCell ref="G88:G100"/>
    <mergeCell ref="A75:A86"/>
    <mergeCell ref="G75:G87"/>
    <mergeCell ref="A10:A21"/>
    <mergeCell ref="A62:A73"/>
    <mergeCell ref="G62:G74"/>
    <mergeCell ref="A23:A34"/>
    <mergeCell ref="G23:G35"/>
    <mergeCell ref="A36:A47"/>
    <mergeCell ref="G36:G48"/>
    <mergeCell ref="A49:A60"/>
    <mergeCell ref="G49:G61"/>
    <mergeCell ref="A3:H3"/>
    <mergeCell ref="A4:B6"/>
    <mergeCell ref="C4:H4"/>
    <mergeCell ref="G5:J5"/>
    <mergeCell ref="A8:B8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4DC0-298B-4B8F-9746-F3FABF852F5D}">
  <dimension ref="B1:Q51"/>
  <sheetViews>
    <sheetView showGridLines="0" topLeftCell="A24" workbookViewId="0">
      <selection activeCell="H47" sqref="H47"/>
    </sheetView>
  </sheetViews>
  <sheetFormatPr defaultColWidth="9.1328125" defaultRowHeight="13"/>
  <cols>
    <col min="3" max="8" width="11.7265625" customWidth="1"/>
    <col min="10" max="10" width="10" bestFit="1" customWidth="1"/>
    <col min="14" max="14" width="9.26953125" bestFit="1" customWidth="1"/>
    <col min="15" max="19" width="9.54296875" bestFit="1" customWidth="1"/>
    <col min="27" max="27" width="10" bestFit="1" customWidth="1"/>
  </cols>
  <sheetData>
    <row r="1" spans="2:17" ht="20.5">
      <c r="B1" s="43" t="s">
        <v>80</v>
      </c>
      <c r="C1" s="43"/>
    </row>
    <row r="3" spans="2:17">
      <c r="B3" s="44"/>
      <c r="C3" t="s">
        <v>81</v>
      </c>
    </row>
    <row r="7" spans="2:17" ht="18">
      <c r="C7" s="45" t="s">
        <v>110</v>
      </c>
    </row>
    <row r="9" spans="2:17">
      <c r="C9">
        <v>2015</v>
      </c>
      <c r="D9">
        <v>2016</v>
      </c>
      <c r="E9">
        <v>2017</v>
      </c>
      <c r="F9">
        <v>2018</v>
      </c>
      <c r="G9">
        <v>2019</v>
      </c>
      <c r="H9">
        <v>2020</v>
      </c>
      <c r="I9">
        <v>2021</v>
      </c>
      <c r="J9">
        <v>2022</v>
      </c>
    </row>
    <row r="10" spans="2:17">
      <c r="B10" t="s">
        <v>530</v>
      </c>
      <c r="C10">
        <v>1119</v>
      </c>
      <c r="D10">
        <v>1137</v>
      </c>
      <c r="E10">
        <v>1060</v>
      </c>
    </row>
    <row r="11" spans="2:17">
      <c r="B11" t="s">
        <v>531</v>
      </c>
      <c r="C11">
        <v>1041</v>
      </c>
      <c r="D11">
        <v>790</v>
      </c>
      <c r="E11">
        <v>775</v>
      </c>
      <c r="F11">
        <v>998</v>
      </c>
    </row>
    <row r="12" spans="2:17">
      <c r="C12">
        <v>1041</v>
      </c>
      <c r="D12">
        <v>790</v>
      </c>
      <c r="E12">
        <v>775</v>
      </c>
      <c r="F12">
        <v>998</v>
      </c>
      <c r="G12">
        <v>480</v>
      </c>
      <c r="H12">
        <v>480</v>
      </c>
      <c r="M12">
        <v>1160</v>
      </c>
      <c r="N12">
        <v>139</v>
      </c>
      <c r="O12">
        <f>M12/N12</f>
        <v>8.3453237410071939</v>
      </c>
      <c r="P12">
        <f>N12/M12</f>
        <v>0.11982758620689656</v>
      </c>
      <c r="Q12">
        <f>N12*M12</f>
        <v>161240</v>
      </c>
    </row>
    <row r="13" spans="2:17">
      <c r="B13" t="s">
        <v>532</v>
      </c>
      <c r="C13" s="32">
        <f>Reykjavík!C4</f>
        <v>121822</v>
      </c>
      <c r="D13" s="32">
        <f>Reykjavík!D4</f>
        <v>122460</v>
      </c>
      <c r="E13" s="32">
        <f>Reykjavík!E4</f>
        <v>123246</v>
      </c>
      <c r="F13" s="32">
        <f>Reykjavík!F4</f>
        <v>126041</v>
      </c>
      <c r="G13" s="32">
        <f>Reykjavík!G4</f>
        <v>128793</v>
      </c>
      <c r="H13" s="32">
        <f>Reykjavík!H4</f>
        <v>131136</v>
      </c>
      <c r="I13" s="32">
        <f>Reykjavík!I4</f>
        <v>133262</v>
      </c>
      <c r="J13" s="32">
        <f>Reykjavík!J4</f>
        <v>135688</v>
      </c>
      <c r="L13" s="858"/>
      <c r="M13">
        <v>1137</v>
      </c>
      <c r="N13">
        <v>143</v>
      </c>
      <c r="O13">
        <f>M13/N13</f>
        <v>7.9510489510489508</v>
      </c>
      <c r="P13">
        <f>N13/M13</f>
        <v>0.12576956904133685</v>
      </c>
      <c r="Q13">
        <f>N13*M13</f>
        <v>162591</v>
      </c>
    </row>
    <row r="14" spans="2:17">
      <c r="B14" t="s">
        <v>533</v>
      </c>
      <c r="C14" s="32">
        <f>Reykjavík!C5</f>
        <v>211066</v>
      </c>
      <c r="D14" s="32">
        <f>Reykjavík!D5</f>
        <v>213402</v>
      </c>
      <c r="E14" s="32">
        <f>Reykjavík!E5</f>
        <v>216658</v>
      </c>
      <c r="F14" s="32">
        <f>Reykjavík!F5</f>
        <v>222263</v>
      </c>
      <c r="G14" s="32">
        <f>Reykjavík!G5</f>
        <v>227993</v>
      </c>
      <c r="H14" s="32">
        <f>Reykjavík!H5</f>
        <v>232789</v>
      </c>
      <c r="I14" s="32">
        <f>Reykjavík!I5</f>
        <v>236278</v>
      </c>
      <c r="J14" s="32">
        <f>Reykjavík!J5</f>
        <v>240638</v>
      </c>
      <c r="L14" s="858"/>
    </row>
    <row r="15" spans="2:17">
      <c r="C15" s="32">
        <f>Reykjavík!C7</f>
        <v>329100</v>
      </c>
      <c r="D15" s="32">
        <f>Reykjavík!D7</f>
        <v>332529</v>
      </c>
      <c r="E15" s="32">
        <f>Reykjavík!E7</f>
        <v>338349</v>
      </c>
      <c r="F15" s="32">
        <f>Reykjavík!F7</f>
        <v>348450</v>
      </c>
      <c r="G15" s="32">
        <f>Reykjavík!G7</f>
        <v>356991</v>
      </c>
      <c r="H15" s="32">
        <f>Reykjavík!H7</f>
        <v>364134</v>
      </c>
      <c r="I15" s="32">
        <f>Reykjavík!I7</f>
        <v>368792</v>
      </c>
      <c r="J15" s="32">
        <f>Reykjavík!J7</f>
        <v>376248</v>
      </c>
      <c r="L15" s="858"/>
    </row>
    <row r="16" spans="2:17">
      <c r="B16">
        <v>2017</v>
      </c>
      <c r="C16" s="52">
        <f t="shared" ref="C16:H16" si="0">C13/C10</f>
        <v>108.8668453976765</v>
      </c>
      <c r="D16" s="52">
        <f t="shared" si="0"/>
        <v>107.70448548812665</v>
      </c>
      <c r="E16" s="52">
        <f t="shared" si="0"/>
        <v>116.26981132075471</v>
      </c>
      <c r="F16" s="52" t="e">
        <f>F13/F10</f>
        <v>#DIV/0!</v>
      </c>
      <c r="G16" s="52" t="e">
        <f t="shared" si="0"/>
        <v>#DIV/0!</v>
      </c>
      <c r="H16" s="52" t="e">
        <f t="shared" si="0"/>
        <v>#DIV/0!</v>
      </c>
    </row>
    <row r="17" spans="2:15">
      <c r="B17">
        <v>2018</v>
      </c>
      <c r="C17" s="52">
        <f t="shared" ref="C17:H17" si="1">C13/C11</f>
        <v>117.02401536983669</v>
      </c>
      <c r="D17" s="52">
        <f t="shared" si="1"/>
        <v>155.01265822784811</v>
      </c>
      <c r="E17" s="52">
        <f t="shared" si="1"/>
        <v>159.02709677419355</v>
      </c>
      <c r="F17" s="52">
        <f t="shared" si="1"/>
        <v>126.2935871743487</v>
      </c>
      <c r="G17" s="52" t="e">
        <f t="shared" si="1"/>
        <v>#DIV/0!</v>
      </c>
      <c r="H17" s="52" t="e">
        <f t="shared" si="1"/>
        <v>#DIV/0!</v>
      </c>
    </row>
    <row r="18" spans="2:15">
      <c r="B18">
        <v>2019</v>
      </c>
      <c r="C18" s="96">
        <f t="shared" ref="C18:H18" si="2">C12*C13/1000000</f>
        <v>126.81670200000001</v>
      </c>
      <c r="D18" s="96">
        <f t="shared" si="2"/>
        <v>96.743399999999994</v>
      </c>
      <c r="E18" s="96">
        <f t="shared" si="2"/>
        <v>95.515649999999994</v>
      </c>
      <c r="F18" s="96">
        <f t="shared" si="2"/>
        <v>125.788918</v>
      </c>
      <c r="G18" s="96">
        <f t="shared" si="2"/>
        <v>61.820639999999997</v>
      </c>
      <c r="H18" s="96">
        <f t="shared" si="2"/>
        <v>62.945279999999997</v>
      </c>
    </row>
    <row r="20" spans="2:15">
      <c r="C20" s="31">
        <f>C15*60/1000*365/1000</f>
        <v>7207.29</v>
      </c>
      <c r="D20" s="31">
        <f t="shared" ref="D20:G20" si="3">D15*60/1000*365/1000</f>
        <v>7282.3851000000004</v>
      </c>
      <c r="E20" s="31">
        <f t="shared" si="3"/>
        <v>7409.8431</v>
      </c>
      <c r="F20" s="31">
        <f t="shared" si="3"/>
        <v>7631.0550000000003</v>
      </c>
      <c r="G20" s="31">
        <f t="shared" si="3"/>
        <v>7818.1028999999999</v>
      </c>
      <c r="H20" s="31">
        <f>H15*60/1000*365/1000</f>
        <v>7974.5346000000009</v>
      </c>
      <c r="I20" s="31">
        <f>I15*60/1000*365/1000</f>
        <v>8076.5447999999997</v>
      </c>
      <c r="J20" s="31">
        <f>J15*60/1000*365/1000</f>
        <v>8239.8312000000005</v>
      </c>
    </row>
    <row r="21" spans="2:15">
      <c r="B21" t="s">
        <v>562</v>
      </c>
      <c r="C21" s="31">
        <f>C13*60/1000*365/1000</f>
        <v>2667.9017999999996</v>
      </c>
      <c r="D21" s="31">
        <f t="shared" ref="D21:H21" si="4">D13*60/1000*365/1000</f>
        <v>2681.8739999999998</v>
      </c>
      <c r="E21" s="31">
        <f t="shared" si="4"/>
        <v>2699.0873999999999</v>
      </c>
      <c r="F21" s="31">
        <f t="shared" si="4"/>
        <v>2760.2979</v>
      </c>
      <c r="G21" s="31">
        <f t="shared" si="4"/>
        <v>2820.5667000000003</v>
      </c>
      <c r="H21" s="31">
        <f t="shared" si="4"/>
        <v>2871.8784000000001</v>
      </c>
      <c r="I21" s="31">
        <f>I13*60/1000*365/1000</f>
        <v>2918.4378000000002</v>
      </c>
      <c r="J21" s="31">
        <f>J13*60/1000*365/1000</f>
        <v>2971.5671999999995</v>
      </c>
      <c r="M21" t="s">
        <v>568</v>
      </c>
      <c r="N21">
        <v>0.6</v>
      </c>
      <c r="O21" t="s">
        <v>569</v>
      </c>
    </row>
    <row r="22" spans="2:15">
      <c r="B22" t="s">
        <v>560</v>
      </c>
      <c r="C22">
        <v>32.9</v>
      </c>
      <c r="D22">
        <v>32.9</v>
      </c>
      <c r="E22">
        <v>32.9</v>
      </c>
      <c r="F22">
        <v>32.9</v>
      </c>
      <c r="G22">
        <v>32.9</v>
      </c>
      <c r="H22">
        <v>32.9</v>
      </c>
      <c r="I22">
        <v>32.9</v>
      </c>
      <c r="J22">
        <v>32.9</v>
      </c>
      <c r="M22" t="s">
        <v>571</v>
      </c>
      <c r="N22">
        <v>0.1</v>
      </c>
    </row>
    <row r="23" spans="2:15">
      <c r="M23" t="s">
        <v>570</v>
      </c>
      <c r="N23">
        <f>N22*N21</f>
        <v>0.06</v>
      </c>
    </row>
    <row r="24" spans="2:15">
      <c r="B24" t="s">
        <v>567</v>
      </c>
      <c r="C24" s="31">
        <f>C21*0.01</f>
        <v>26.679017999999996</v>
      </c>
      <c r="D24" s="31">
        <f t="shared" ref="D24:G24" si="5">D21*0.01</f>
        <v>26.818739999999998</v>
      </c>
      <c r="E24" s="31">
        <f t="shared" si="5"/>
        <v>26.990873999999998</v>
      </c>
      <c r="F24" s="31">
        <f t="shared" si="5"/>
        <v>27.602979000000001</v>
      </c>
      <c r="G24" s="31">
        <f t="shared" si="5"/>
        <v>28.205667000000005</v>
      </c>
      <c r="H24" s="31">
        <f>H21*0.01</f>
        <v>28.718783999999999</v>
      </c>
      <c r="I24" s="31">
        <f>I21*0.01</f>
        <v>29.184378000000002</v>
      </c>
      <c r="J24" s="31">
        <f>J21*0.01</f>
        <v>29.715671999999994</v>
      </c>
    </row>
    <row r="25" spans="2:15">
      <c r="B25" t="s">
        <v>177</v>
      </c>
      <c r="C25" s="31">
        <f t="shared" ref="C25:J25" si="6">(C21-C24)*$N$23</f>
        <v>158.47336691999999</v>
      </c>
      <c r="D25" s="31">
        <f t="shared" si="6"/>
        <v>159.30331559999996</v>
      </c>
      <c r="E25" s="31">
        <f t="shared" si="6"/>
        <v>160.32579155999997</v>
      </c>
      <c r="F25" s="31">
        <f t="shared" si="6"/>
        <v>163.96169526</v>
      </c>
      <c r="G25" s="31">
        <f t="shared" si="6"/>
        <v>167.54166198000001</v>
      </c>
      <c r="H25" s="96">
        <f t="shared" si="6"/>
        <v>170.58957695999999</v>
      </c>
      <c r="I25" s="96">
        <f t="shared" si="6"/>
        <v>173.35520532000001</v>
      </c>
      <c r="J25" s="96">
        <f t="shared" si="6"/>
        <v>176.51109167999996</v>
      </c>
    </row>
    <row r="26" spans="2:15">
      <c r="B26" t="s">
        <v>390</v>
      </c>
      <c r="C26" s="31">
        <f>C25*28</f>
        <v>4437.2542737599997</v>
      </c>
      <c r="D26" s="31">
        <f t="shared" ref="D26:G26" si="7">D25*28</f>
        <v>4460.4928367999992</v>
      </c>
      <c r="E26" s="31">
        <f t="shared" si="7"/>
        <v>4489.1221636799992</v>
      </c>
      <c r="F26" s="31">
        <f t="shared" si="7"/>
        <v>4590.9274672800002</v>
      </c>
      <c r="G26" s="31">
        <f t="shared" si="7"/>
        <v>4691.1665354400002</v>
      </c>
      <c r="H26" s="31">
        <f>H25*28</f>
        <v>4776.5081548799999</v>
      </c>
      <c r="I26" s="31">
        <f>I25*28</f>
        <v>4853.9457489599999</v>
      </c>
      <c r="J26" s="31">
        <f>J25*28</f>
        <v>4942.3105670399991</v>
      </c>
    </row>
    <row r="32" spans="2:15">
      <c r="B32" t="s">
        <v>178</v>
      </c>
    </row>
    <row r="33" spans="2:15">
      <c r="B33" t="s">
        <v>561</v>
      </c>
      <c r="C33" s="98">
        <f>C20/C34</f>
        <v>18.247981925609967</v>
      </c>
      <c r="D33" s="98">
        <f t="shared" ref="D33:H33" si="8">D20/D34</f>
        <v>18.438113587788383</v>
      </c>
      <c r="E33" s="98">
        <f t="shared" si="8"/>
        <v>18.760821745816489</v>
      </c>
      <c r="F33" s="98">
        <f t="shared" si="8"/>
        <v>19.320903378847746</v>
      </c>
      <c r="G33" s="98">
        <f t="shared" si="8"/>
        <v>19.794485917974562</v>
      </c>
      <c r="H33" s="98">
        <f t="shared" si="8"/>
        <v>20.19055196141009</v>
      </c>
      <c r="I33" s="98">
        <f>I20/I34</f>
        <v>20.448829384106809</v>
      </c>
      <c r="J33" s="98">
        <f>J20/J34</f>
        <v>20.862250694460347</v>
      </c>
    </row>
    <row r="34" spans="2:15">
      <c r="C34" s="52">
        <v>394.96367485354602</v>
      </c>
      <c r="D34" s="52">
        <v>394.96367485354602</v>
      </c>
      <c r="E34" s="52">
        <v>394.96367485354602</v>
      </c>
      <c r="F34" s="52">
        <v>394.96367485354602</v>
      </c>
      <c r="G34" s="52">
        <v>394.96367485354602</v>
      </c>
      <c r="H34" s="52">
        <v>394.96367485354602</v>
      </c>
      <c r="I34" s="52">
        <v>394.96367485354602</v>
      </c>
      <c r="J34" s="52">
        <v>394.96367485354602</v>
      </c>
    </row>
    <row r="35" spans="2:15">
      <c r="C35" s="96">
        <f>C33/C15*C13</f>
        <v>6.7548029600171899</v>
      </c>
      <c r="D35" s="96">
        <f t="shared" ref="D35:H35" si="9">D33/D15*D13</f>
        <v>6.7901788714986226</v>
      </c>
      <c r="E35" s="96">
        <f t="shared" si="9"/>
        <v>6.8337611072735518</v>
      </c>
      <c r="F35" s="96">
        <f t="shared" si="9"/>
        <v>6.988738650519009</v>
      </c>
      <c r="G35" s="96">
        <f t="shared" si="9"/>
        <v>7.1413319238683819</v>
      </c>
      <c r="H35" s="765">
        <f t="shared" si="9"/>
        <v>7.2712469091363996</v>
      </c>
      <c r="I35" s="96">
        <f>I33/I15*I13</f>
        <v>7.3891296486497575</v>
      </c>
      <c r="J35" s="96">
        <f>J33/J15*J13</f>
        <v>7.5236468292985892</v>
      </c>
    </row>
    <row r="36" spans="2:15">
      <c r="B36" t="s">
        <v>390</v>
      </c>
      <c r="C36" s="31">
        <f>C35*265</f>
        <v>1790.0227844045553</v>
      </c>
      <c r="D36" s="31">
        <f t="shared" ref="D36:G36" si="10">D35*265</f>
        <v>1799.3974009471351</v>
      </c>
      <c r="E36" s="31">
        <f t="shared" si="10"/>
        <v>1810.9466934274913</v>
      </c>
      <c r="F36" s="31">
        <f t="shared" si="10"/>
        <v>1852.0157423875373</v>
      </c>
      <c r="G36" s="31">
        <f t="shared" si="10"/>
        <v>1892.4529598251213</v>
      </c>
      <c r="H36" s="31">
        <f>H35*265</f>
        <v>1926.8804309211459</v>
      </c>
      <c r="I36" s="31">
        <f t="shared" ref="I36" si="11">I35*265</f>
        <v>1958.1193568921858</v>
      </c>
      <c r="J36" s="31">
        <f>J35*265</f>
        <v>1993.7664097641261</v>
      </c>
    </row>
    <row r="39" spans="2:15">
      <c r="B39" t="s">
        <v>555</v>
      </c>
      <c r="C39">
        <v>1104930</v>
      </c>
      <c r="D39">
        <v>836860</v>
      </c>
      <c r="E39">
        <v>994150</v>
      </c>
      <c r="F39">
        <v>1077880</v>
      </c>
      <c r="G39">
        <v>877570</v>
      </c>
      <c r="H39">
        <v>978300</v>
      </c>
      <c r="I39">
        <f>AVERAGE(E39:H39)</f>
        <v>981975</v>
      </c>
      <c r="J39">
        <f>AVERAGE(F39:I39)</f>
        <v>978931.25</v>
      </c>
      <c r="N39">
        <v>13</v>
      </c>
      <c r="O39" t="s">
        <v>563</v>
      </c>
    </row>
    <row r="40" spans="2:15">
      <c r="B40" t="s">
        <v>556</v>
      </c>
      <c r="C40">
        <v>101757</v>
      </c>
      <c r="D40">
        <v>94470</v>
      </c>
      <c r="E40">
        <v>84854</v>
      </c>
      <c r="F40">
        <v>93006</v>
      </c>
      <c r="G40">
        <v>73380</v>
      </c>
      <c r="H40" s="31">
        <f>H39*H41</f>
        <v>90049.874234420335</v>
      </c>
      <c r="I40" s="31">
        <f>I39*I41</f>
        <v>90379.051807697251</v>
      </c>
      <c r="J40" s="31">
        <f>J39*J41</f>
        <v>86017.114672999829</v>
      </c>
      <c r="N40">
        <v>2.5</v>
      </c>
      <c r="O40" t="s">
        <v>564</v>
      </c>
    </row>
    <row r="41" spans="2:15">
      <c r="B41" t="s">
        <v>74</v>
      </c>
      <c r="C41" s="133">
        <f>C40/C39</f>
        <v>9.2093616790203905E-2</v>
      </c>
      <c r="D41" s="133">
        <f>D40/D39</f>
        <v>0.11288626532514399</v>
      </c>
      <c r="E41" s="133">
        <f>E40/E39</f>
        <v>8.5353316903887741E-2</v>
      </c>
      <c r="F41" s="133">
        <f>F40/F39</f>
        <v>8.6286042973243771E-2</v>
      </c>
      <c r="G41" s="133">
        <f>G40/G39</f>
        <v>8.3617261301092788E-2</v>
      </c>
      <c r="H41" s="133">
        <f>AVERAGE(C41:G41)</f>
        <v>9.2047300658714443E-2</v>
      </c>
      <c r="I41" s="133">
        <f t="shared" ref="I41" si="12">AVERAGE(D41:H41)</f>
        <v>9.2038037432416564E-2</v>
      </c>
      <c r="J41" s="133">
        <f>AVERAGE(E41:I41)</f>
        <v>8.7868391853871075E-2</v>
      </c>
      <c r="K41" s="133"/>
    </row>
    <row r="42" spans="2:15">
      <c r="B42" t="s">
        <v>565</v>
      </c>
      <c r="C42" s="31">
        <f t="shared" ref="C42:J42" si="13">C40*$N$39*$N$40/1000</f>
        <v>3307.1025</v>
      </c>
      <c r="D42" s="31">
        <f t="shared" si="13"/>
        <v>3070.2750000000001</v>
      </c>
      <c r="E42" s="31">
        <f t="shared" si="13"/>
        <v>2757.7550000000001</v>
      </c>
      <c r="F42" s="31">
        <f t="shared" si="13"/>
        <v>3022.6950000000002</v>
      </c>
      <c r="G42" s="31">
        <f t="shared" si="13"/>
        <v>2384.85</v>
      </c>
      <c r="H42" s="31">
        <f t="shared" si="13"/>
        <v>2926.6209126186609</v>
      </c>
      <c r="I42" s="31">
        <f t="shared" si="13"/>
        <v>2937.3191837501608</v>
      </c>
      <c r="J42" s="31">
        <f t="shared" si="13"/>
        <v>2795.5562268724943</v>
      </c>
    </row>
    <row r="43" spans="2:15">
      <c r="B43" t="s">
        <v>566</v>
      </c>
      <c r="C43" s="31">
        <f>C42*0.02*28</f>
        <v>1851.9774</v>
      </c>
      <c r="D43" s="31">
        <f t="shared" ref="D43:G43" si="14">D42*0.02*28</f>
        <v>1719.354</v>
      </c>
      <c r="E43" s="31">
        <f t="shared" si="14"/>
        <v>1544.3428000000001</v>
      </c>
      <c r="F43" s="31">
        <f t="shared" si="14"/>
        <v>1692.7092000000002</v>
      </c>
      <c r="G43" s="31">
        <f t="shared" si="14"/>
        <v>1335.5159999999998</v>
      </c>
      <c r="H43" s="31">
        <f>H42*0.02*28</f>
        <v>1638.9077110664502</v>
      </c>
      <c r="I43" s="31">
        <f>I42*0.02*28</f>
        <v>1644.8987429000899</v>
      </c>
      <c r="J43" s="31">
        <f>J42*0.02*28</f>
        <v>1565.5114870485968</v>
      </c>
      <c r="K43" s="765">
        <f>J43/28</f>
        <v>55.911124537449886</v>
      </c>
    </row>
    <row r="50" spans="14:14">
      <c r="N50" s="858"/>
    </row>
    <row r="51" spans="14:14">
      <c r="N51" s="85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1F1D8-DE4C-4404-974B-DB5A096E327B}">
  <dimension ref="A1:AK129"/>
  <sheetViews>
    <sheetView showGridLines="0" topLeftCell="A100" zoomScale="90" zoomScaleNormal="90" workbookViewId="0">
      <selection activeCell="G126" sqref="G126"/>
    </sheetView>
  </sheetViews>
  <sheetFormatPr defaultColWidth="9.1328125" defaultRowHeight="13"/>
  <cols>
    <col min="2" max="2" width="18.86328125" customWidth="1"/>
    <col min="3" max="3" width="12.40625" customWidth="1"/>
    <col min="4" max="4" width="10.40625" customWidth="1"/>
    <col min="6" max="6" width="9.7265625" customWidth="1"/>
    <col min="7" max="7" width="10.26953125" bestFit="1" customWidth="1"/>
    <col min="8" max="9" width="13.40625" customWidth="1"/>
    <col min="11" max="11" width="12.86328125" customWidth="1"/>
    <col min="12" max="12" width="13.26953125" customWidth="1"/>
    <col min="15" max="15" width="11.54296875" bestFit="1" customWidth="1"/>
    <col min="19" max="19" width="9.54296875" bestFit="1" customWidth="1"/>
    <col min="20" max="20" width="10.54296875" bestFit="1" customWidth="1"/>
    <col min="26" max="26" width="18.86328125" bestFit="1" customWidth="1"/>
  </cols>
  <sheetData>
    <row r="1" spans="1:27" ht="14.25">
      <c r="A1" s="400"/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</row>
    <row r="2" spans="1:27" ht="21.25" thickBot="1">
      <c r="A2" s="984" t="s">
        <v>266</v>
      </c>
      <c r="B2" s="984"/>
      <c r="C2" s="984"/>
      <c r="D2" s="984"/>
      <c r="E2" s="984"/>
      <c r="F2" s="984"/>
      <c r="G2" s="984"/>
      <c r="H2" s="984"/>
      <c r="I2" s="984"/>
      <c r="J2" s="984"/>
      <c r="K2" s="984"/>
      <c r="L2" s="984"/>
      <c r="N2" s="43" t="s">
        <v>80</v>
      </c>
      <c r="O2" s="43"/>
    </row>
    <row r="3" spans="1:27" ht="25.25">
      <c r="A3" s="985"/>
      <c r="B3" s="986"/>
      <c r="C3" s="991" t="s">
        <v>112</v>
      </c>
      <c r="D3" s="992"/>
      <c r="E3" s="992"/>
      <c r="F3" s="992"/>
      <c r="G3" s="992"/>
      <c r="H3" s="992"/>
      <c r="I3" s="992"/>
      <c r="J3" s="992"/>
      <c r="K3" s="992"/>
      <c r="L3" s="992"/>
    </row>
    <row r="4" spans="1:27" ht="25.25">
      <c r="A4" s="987"/>
      <c r="B4" s="988"/>
      <c r="C4" s="323"/>
      <c r="D4" s="444"/>
      <c r="E4" s="444"/>
      <c r="F4" s="324"/>
      <c r="G4" s="327"/>
      <c r="H4" s="994"/>
      <c r="I4" s="328"/>
      <c r="J4" s="1045" t="s">
        <v>363</v>
      </c>
      <c r="K4" s="1046"/>
      <c r="L4" s="1046"/>
      <c r="N4" s="44"/>
      <c r="O4" t="s">
        <v>81</v>
      </c>
    </row>
    <row r="5" spans="1:27" ht="25.25">
      <c r="A5" s="989"/>
      <c r="B5" s="990"/>
      <c r="C5" s="329"/>
      <c r="D5" s="445"/>
      <c r="E5" s="445"/>
      <c r="F5" s="447"/>
      <c r="G5" s="333"/>
      <c r="H5" s="995"/>
      <c r="I5" s="334"/>
      <c r="J5" s="335"/>
      <c r="K5" s="336"/>
      <c r="L5" s="336"/>
    </row>
    <row r="6" spans="1:27" ht="20.5">
      <c r="A6" s="338"/>
      <c r="B6" s="339"/>
      <c r="C6" s="340"/>
      <c r="D6" s="341"/>
      <c r="E6" s="341">
        <v>28</v>
      </c>
      <c r="F6" s="342">
        <v>265</v>
      </c>
      <c r="G6" s="343"/>
      <c r="H6" s="996"/>
      <c r="I6" s="334"/>
      <c r="J6" s="344"/>
      <c r="K6" s="414"/>
      <c r="L6" s="345"/>
      <c r="N6" s="43" t="s">
        <v>31</v>
      </c>
    </row>
    <row r="7" spans="1:27" ht="15" thickBot="1">
      <c r="A7" s="1025" t="s">
        <v>268</v>
      </c>
      <c r="B7" s="1026"/>
      <c r="C7" s="347" t="s">
        <v>414</v>
      </c>
      <c r="D7" s="348" t="s">
        <v>432</v>
      </c>
      <c r="E7" s="1053" t="s">
        <v>434</v>
      </c>
      <c r="F7" s="1054"/>
      <c r="G7" s="404"/>
      <c r="H7" s="350" t="s">
        <v>164</v>
      </c>
      <c r="I7" s="405" t="s">
        <v>493</v>
      </c>
      <c r="J7" s="351"/>
      <c r="K7" s="419" t="s">
        <v>493</v>
      </c>
      <c r="L7" s="420" t="s">
        <v>65</v>
      </c>
      <c r="R7">
        <v>28</v>
      </c>
      <c r="T7">
        <v>265</v>
      </c>
    </row>
    <row r="8" spans="1:27" ht="15" thickBot="1">
      <c r="A8" s="352"/>
      <c r="B8" s="353"/>
      <c r="C8" s="442"/>
      <c r="D8" s="443"/>
      <c r="E8" s="443" t="s">
        <v>391</v>
      </c>
      <c r="F8" s="443" t="s">
        <v>52</v>
      </c>
      <c r="G8" s="705" t="s">
        <v>65</v>
      </c>
      <c r="H8" s="355" t="s">
        <v>273</v>
      </c>
      <c r="I8" s="356"/>
      <c r="J8" s="357"/>
      <c r="K8" s="415"/>
      <c r="L8" s="421"/>
      <c r="N8" t="s">
        <v>433</v>
      </c>
      <c r="R8" s="25" t="s">
        <v>177</v>
      </c>
      <c r="T8" t="s">
        <v>178</v>
      </c>
      <c r="V8" t="s">
        <v>415</v>
      </c>
    </row>
    <row r="9" spans="1:27" ht="14.25">
      <c r="A9" s="976">
        <v>2016</v>
      </c>
      <c r="B9" t="s">
        <v>384</v>
      </c>
      <c r="C9" s="359">
        <v>378477</v>
      </c>
      <c r="D9" s="360">
        <v>247</v>
      </c>
      <c r="E9" s="360">
        <f>D9*$R$10*$E$6/1000</f>
        <v>77.09692712481332</v>
      </c>
      <c r="F9" s="360">
        <f>D9*(($S$10*$E$6+($T$10+$Y$10)*$F$6))/1000</f>
        <v>14.766627441289181</v>
      </c>
      <c r="G9" s="362">
        <f>E9+F9</f>
        <v>91.863554566102493</v>
      </c>
      <c r="H9" s="406">
        <f>G9</f>
        <v>91.863554566102493</v>
      </c>
      <c r="I9" s="406"/>
      <c r="J9" s="363"/>
      <c r="K9" s="364"/>
      <c r="L9" s="365"/>
      <c r="N9" t="s">
        <v>391</v>
      </c>
      <c r="O9" t="s">
        <v>392</v>
      </c>
      <c r="Q9" s="446" t="s">
        <v>406</v>
      </c>
      <c r="R9" t="s">
        <v>391</v>
      </c>
      <c r="S9" t="s">
        <v>52</v>
      </c>
      <c r="T9" t="s">
        <v>52</v>
      </c>
      <c r="U9" t="s">
        <v>402</v>
      </c>
      <c r="V9" t="s">
        <v>408</v>
      </c>
      <c r="W9" t="s">
        <v>409</v>
      </c>
      <c r="X9" t="s">
        <v>410</v>
      </c>
      <c r="Y9" t="s">
        <v>411</v>
      </c>
    </row>
    <row r="10" spans="1:27" ht="14.25">
      <c r="A10" s="969"/>
      <c r="B10" t="s">
        <v>387</v>
      </c>
      <c r="C10" s="367">
        <v>11949</v>
      </c>
      <c r="D10" s="368">
        <v>13</v>
      </c>
      <c r="E10" s="368">
        <f>D10*$R$11*$E$6/1000</f>
        <v>4.3479836101767999</v>
      </c>
      <c r="F10" s="368">
        <f>D10*(($S$11*$E$6+($T$11+$Y$11)*$F$6))/1000</f>
        <v>1.0120039672145935</v>
      </c>
      <c r="G10" s="370">
        <f>E10+F10</f>
        <v>5.3599875773913936</v>
      </c>
      <c r="H10" s="407">
        <f>G10+G9</f>
        <v>97.223542143493887</v>
      </c>
      <c r="I10" s="407"/>
      <c r="J10" s="363"/>
      <c r="K10" s="364"/>
      <c r="L10" s="371"/>
      <c r="N10" t="s">
        <v>52</v>
      </c>
      <c r="O10" t="s">
        <v>396</v>
      </c>
      <c r="Q10" t="s">
        <v>384</v>
      </c>
      <c r="R10" s="96">
        <v>11.14761814991517</v>
      </c>
      <c r="S10" s="96">
        <v>1.0784697573920701</v>
      </c>
      <c r="T10" s="96">
        <v>7.2979379999999996E-2</v>
      </c>
      <c r="U10" s="96">
        <v>20.166250000000002</v>
      </c>
      <c r="V10" s="226">
        <v>0.1925</v>
      </c>
      <c r="W10" s="226">
        <v>0.35749999999999998</v>
      </c>
      <c r="X10" s="226">
        <v>0.45</v>
      </c>
      <c r="Y10">
        <f t="shared" ref="Y10:Y17" si="0">U10*(0.001*44/28*V10+0.002*(W10+X10))</f>
        <v>3.8668784375000008E-2</v>
      </c>
      <c r="AA10" s="31"/>
    </row>
    <row r="11" spans="1:27" ht="14.25">
      <c r="A11" s="969"/>
      <c r="B11" t="s">
        <v>393</v>
      </c>
      <c r="C11" s="367">
        <f>86248</f>
        <v>86248</v>
      </c>
      <c r="D11" s="368">
        <f>51</f>
        <v>51</v>
      </c>
      <c r="E11" s="368">
        <f>D11*$R$12*$E$6/1000</f>
        <v>13.493470132854195</v>
      </c>
      <c r="F11" s="368">
        <f>D11*(($S$12*$E$6+($T$12+$Y$12)*$F$6))/1000</f>
        <v>2.0269685140733391</v>
      </c>
      <c r="G11" s="370">
        <f>E11+F11</f>
        <v>15.520438646927534</v>
      </c>
      <c r="H11" s="407">
        <f>G11+G10+G9</f>
        <v>112.74398079042142</v>
      </c>
      <c r="I11" s="407"/>
      <c r="J11" s="372"/>
      <c r="K11" s="364"/>
      <c r="L11" s="364"/>
      <c r="N11" t="s">
        <v>178</v>
      </c>
      <c r="O11" t="s">
        <v>399</v>
      </c>
      <c r="Q11" t="s">
        <v>387</v>
      </c>
      <c r="R11" s="96">
        <v>11.945009918068131</v>
      </c>
      <c r="S11" s="96">
        <v>1.1556129322983999</v>
      </c>
      <c r="T11" s="96">
        <v>0.11514180857179999</v>
      </c>
      <c r="U11" s="96">
        <v>29.473749999999999</v>
      </c>
      <c r="V11" s="226">
        <v>0.1925</v>
      </c>
      <c r="W11" s="226">
        <v>0.35749999999999998</v>
      </c>
      <c r="X11" s="226">
        <v>0.45</v>
      </c>
      <c r="Y11">
        <f t="shared" si="0"/>
        <v>5.6515915625000003E-2</v>
      </c>
      <c r="AA11" s="31"/>
    </row>
    <row r="12" spans="1:27" ht="14.25">
      <c r="A12" s="969"/>
      <c r="B12" t="s">
        <v>397</v>
      </c>
      <c r="C12" s="367">
        <f>86248*3</f>
        <v>258744</v>
      </c>
      <c r="D12" s="368">
        <f>51*3</f>
        <v>153</v>
      </c>
      <c r="E12" s="368">
        <f>D12*$R$13*$E$6/1000</f>
        <v>20.022430131134477</v>
      </c>
      <c r="F12" s="368">
        <f>D12*(($S$13*$E$6+($T$13+$Y$13)*$F$6))/1000</f>
        <v>0.99577373885213039</v>
      </c>
      <c r="G12" s="370">
        <f t="shared" ref="G12" si="1">E12+F12</f>
        <v>21.018203869986607</v>
      </c>
      <c r="H12" s="407">
        <f>SUM(G9:G12)</f>
        <v>133.76218466040802</v>
      </c>
      <c r="I12" s="407"/>
      <c r="J12" s="372"/>
      <c r="K12" s="364"/>
      <c r="L12" s="364"/>
      <c r="N12" t="s">
        <v>402</v>
      </c>
      <c r="O12" t="s">
        <v>399</v>
      </c>
      <c r="Q12" t="s">
        <v>393</v>
      </c>
      <c r="R12" s="96">
        <v>9.4492087765085397</v>
      </c>
      <c r="S12" s="96">
        <v>0.91415808731918002</v>
      </c>
      <c r="T12" s="96">
        <v>3.2046688928510002E-2</v>
      </c>
      <c r="U12" s="96">
        <v>11.130219</v>
      </c>
      <c r="V12" s="226">
        <v>0.1925</v>
      </c>
      <c r="W12" s="226">
        <v>0.35749999999999998</v>
      </c>
      <c r="X12" s="226">
        <v>0.45</v>
      </c>
      <c r="Y12">
        <f t="shared" si="0"/>
        <v>2.1342194932500003E-2</v>
      </c>
      <c r="AA12" s="31"/>
    </row>
    <row r="13" spans="1:27" ht="14.25">
      <c r="A13" s="969"/>
      <c r="B13" t="s">
        <v>400</v>
      </c>
      <c r="C13" s="367">
        <f>SUM(C9:C12)</f>
        <v>735418</v>
      </c>
      <c r="D13" s="368">
        <f>SUM(D9:D12)</f>
        <v>464</v>
      </c>
      <c r="E13" s="368">
        <f t="shared" ref="E13" si="2">SUM(E9:E12)</f>
        <v>114.96081099897879</v>
      </c>
      <c r="F13" s="368">
        <f t="shared" ref="F13" si="3">SUM(F9:F12)</f>
        <v>18.801373661429242</v>
      </c>
      <c r="G13" s="370">
        <f>E13+F13</f>
        <v>133.76218466040802</v>
      </c>
      <c r="H13" s="407">
        <f>G13</f>
        <v>133.76218466040802</v>
      </c>
      <c r="I13" s="407">
        <f>D13</f>
        <v>464</v>
      </c>
      <c r="J13" s="372"/>
      <c r="K13" s="364"/>
      <c r="L13" s="364"/>
      <c r="Q13" t="s">
        <v>397</v>
      </c>
      <c r="R13" s="96">
        <v>4.6737698718801299</v>
      </c>
      <c r="S13" s="96">
        <v>9.9161767965600001E-2</v>
      </c>
      <c r="T13" s="96"/>
      <c r="U13" s="96">
        <v>7.0411237499999997</v>
      </c>
      <c r="X13" s="226">
        <v>1</v>
      </c>
      <c r="Y13">
        <f t="shared" si="0"/>
        <v>1.4082247499999999E-2</v>
      </c>
      <c r="AA13" s="31"/>
    </row>
    <row r="14" spans="1:27" ht="14.25">
      <c r="A14" s="969"/>
      <c r="B14" t="s">
        <v>491</v>
      </c>
      <c r="C14" s="367">
        <v>26354</v>
      </c>
      <c r="D14" s="368">
        <v>49</v>
      </c>
      <c r="E14" s="368">
        <f>D14*$R$15*$E$6/1000</f>
        <v>149.77505914</v>
      </c>
      <c r="F14" s="368">
        <f>D14*(($S$15*$E$6+($T$15+$Y$15)*$F$6))/1000</f>
        <v>45.002651510642387</v>
      </c>
      <c r="G14" s="370">
        <f t="shared" ref="G14:G16" si="4">E14+F14</f>
        <v>194.77771065064238</v>
      </c>
      <c r="H14" s="407">
        <f>G14+G13</f>
        <v>328.53989531105037</v>
      </c>
      <c r="I14" s="407"/>
      <c r="J14" s="372"/>
      <c r="K14" s="364"/>
      <c r="L14" s="364"/>
      <c r="Q14" t="s">
        <v>400</v>
      </c>
      <c r="R14" s="96"/>
      <c r="T14" s="96"/>
      <c r="U14" s="96"/>
      <c r="Y14">
        <f t="shared" si="0"/>
        <v>0</v>
      </c>
      <c r="AA14" s="31"/>
    </row>
    <row r="15" spans="1:27" ht="14.25">
      <c r="A15" s="969"/>
      <c r="B15" t="s">
        <v>492</v>
      </c>
      <c r="C15" s="367">
        <v>17907</v>
      </c>
      <c r="D15" s="368">
        <v>16</v>
      </c>
      <c r="E15" s="368">
        <f>D15*$R$16*$E$6/1000</f>
        <v>33.042307878720003</v>
      </c>
      <c r="F15" s="368">
        <f>D15*(($S$16*$E$6+($T$16+$Y$16)*$F$6))/1000</f>
        <v>1.7767382506519038</v>
      </c>
      <c r="G15" s="370">
        <f t="shared" si="4"/>
        <v>34.819046129371905</v>
      </c>
      <c r="H15" s="407">
        <f>G15+G14+G13</f>
        <v>363.35894144042231</v>
      </c>
      <c r="I15" s="407"/>
      <c r="J15" s="372"/>
      <c r="K15" s="364"/>
      <c r="L15" s="364"/>
      <c r="Q15" t="s">
        <v>385</v>
      </c>
      <c r="R15" s="96">
        <v>109.16549500000001</v>
      </c>
      <c r="S15" s="96">
        <v>30.69296748</v>
      </c>
      <c r="T15" s="96">
        <v>5.7939999999999998E-2</v>
      </c>
      <c r="U15" s="96">
        <v>97.662642700000006</v>
      </c>
      <c r="V15" s="226">
        <v>0.73</v>
      </c>
      <c r="X15" s="226">
        <v>0.27</v>
      </c>
      <c r="Y15">
        <f t="shared" si="0"/>
        <v>0.16477083004100002</v>
      </c>
      <c r="AA15" s="31"/>
    </row>
    <row r="16" spans="1:27" ht="14.25">
      <c r="A16" s="969"/>
      <c r="B16" t="s">
        <v>394</v>
      </c>
      <c r="C16" s="367">
        <v>30783</v>
      </c>
      <c r="D16" s="368">
        <v>34</v>
      </c>
      <c r="E16" s="368">
        <f>D16*$R$17*$E$6/1000</f>
        <v>33.723869149599999</v>
      </c>
      <c r="F16" s="368">
        <f>D16*(($S$17*$E$6+($T$17+$Y$17)*$F$6))/1000</f>
        <v>9.5015769415239273</v>
      </c>
      <c r="G16" s="408">
        <f t="shared" si="4"/>
        <v>43.225446091123928</v>
      </c>
      <c r="H16" s="407">
        <f>G16+G15+G14+G13</f>
        <v>406.58438753154621</v>
      </c>
      <c r="I16" s="407"/>
      <c r="J16" s="372"/>
      <c r="K16" s="364"/>
      <c r="L16" s="364"/>
      <c r="Q16" t="s">
        <v>388</v>
      </c>
      <c r="R16" s="96">
        <v>73.755151514999994</v>
      </c>
      <c r="S16" s="96">
        <v>3.009973484848</v>
      </c>
      <c r="T16" s="96">
        <v>4.0448560000000003E-3</v>
      </c>
      <c r="U16" s="96">
        <v>60.225000000000001</v>
      </c>
      <c r="V16" s="226">
        <v>0.91</v>
      </c>
      <c r="X16" s="226">
        <v>0.09</v>
      </c>
      <c r="Y16">
        <f t="shared" si="0"/>
        <v>9.696225E-2</v>
      </c>
      <c r="AA16" s="31"/>
    </row>
    <row r="17" spans="1:29" ht="14.25">
      <c r="A17" s="969"/>
      <c r="B17" t="s">
        <v>416</v>
      </c>
      <c r="C17" s="367">
        <f>SUM(C14:C16)</f>
        <v>75044</v>
      </c>
      <c r="D17" s="368">
        <f>SUM(D14:D16)</f>
        <v>99</v>
      </c>
      <c r="E17" s="368">
        <f>SUM(E14:E16)</f>
        <v>216.54123616832001</v>
      </c>
      <c r="F17" s="368">
        <f>SUM(F14:F16)</f>
        <v>56.280966702818219</v>
      </c>
      <c r="G17" s="408">
        <f>E17+F17</f>
        <v>272.82220287113824</v>
      </c>
      <c r="H17" s="407">
        <f>G17+G13</f>
        <v>406.58438753154627</v>
      </c>
      <c r="I17" s="407">
        <f>D17+I13</f>
        <v>563</v>
      </c>
      <c r="J17" s="372"/>
      <c r="K17" s="364"/>
      <c r="L17" s="364"/>
      <c r="Q17" t="s">
        <v>394</v>
      </c>
      <c r="R17" s="96">
        <v>35.4242323</v>
      </c>
      <c r="S17" s="96">
        <v>9.3408676986426702</v>
      </c>
      <c r="T17" s="96">
        <v>2.1332018834830001E-2</v>
      </c>
      <c r="U17" s="96">
        <v>29.442900000000002</v>
      </c>
      <c r="V17" s="226">
        <v>1</v>
      </c>
      <c r="Y17">
        <f t="shared" si="0"/>
        <v>4.6267414285714285E-2</v>
      </c>
      <c r="AA17" s="31"/>
    </row>
    <row r="18" spans="1:29" ht="14.25">
      <c r="A18" s="969"/>
      <c r="B18" t="s">
        <v>490</v>
      </c>
      <c r="C18" s="367">
        <v>59</v>
      </c>
      <c r="D18" s="368">
        <v>12</v>
      </c>
      <c r="E18" s="368">
        <f>D18*$R$20*$E$6/1000</f>
        <v>0.504</v>
      </c>
      <c r="F18" s="368">
        <f>D18*(($S$20*$E$6+($T$20+$Y$19)*$F$6))/1000</f>
        <v>2.1309092999999999</v>
      </c>
      <c r="G18" s="408">
        <f>E18+F18</f>
        <v>2.6349092999999999</v>
      </c>
      <c r="H18" s="407">
        <f>H17+G18</f>
        <v>409.21929683154627</v>
      </c>
      <c r="I18" s="407"/>
      <c r="J18" s="372"/>
      <c r="K18" s="364"/>
      <c r="L18" s="364"/>
      <c r="R18" s="96"/>
      <c r="S18" s="96"/>
      <c r="T18" s="96"/>
      <c r="U18" s="96"/>
      <c r="V18" s="226"/>
      <c r="AA18" s="31"/>
    </row>
    <row r="19" spans="1:29" ht="14.25">
      <c r="A19" s="969"/>
      <c r="B19" t="s">
        <v>386</v>
      </c>
      <c r="C19" s="367">
        <v>3451</v>
      </c>
      <c r="D19" s="368">
        <v>841</v>
      </c>
      <c r="E19" s="368">
        <f>D19*$R$20*$E$6/1000</f>
        <v>35.322000000000003</v>
      </c>
      <c r="F19" s="368">
        <f>D19*(($S$20*$E$6+($T$20+$Y$20)*$F$6))/1000</f>
        <v>149.341226775</v>
      </c>
      <c r="G19" s="370">
        <f t="shared" ref="G19:G24" si="5">E19+F19</f>
        <v>184.663226775</v>
      </c>
      <c r="H19" s="407">
        <f>G19+G17+G16+G18</f>
        <v>503.3457850372622</v>
      </c>
      <c r="I19" s="407"/>
      <c r="J19" s="372"/>
      <c r="K19" s="364"/>
      <c r="L19" s="364"/>
      <c r="Q19" s="25" t="s">
        <v>490</v>
      </c>
      <c r="R19" s="96">
        <v>1.5</v>
      </c>
      <c r="S19">
        <v>6</v>
      </c>
      <c r="T19" s="96">
        <v>0</v>
      </c>
      <c r="U19" s="96">
        <v>22.995000000000001</v>
      </c>
      <c r="V19" s="226">
        <v>1</v>
      </c>
      <c r="Y19">
        <f>U19*(0.001*44/28*V19+0.002*(W19+X19))</f>
        <v>3.6135E-2</v>
      </c>
      <c r="AA19" s="31"/>
    </row>
    <row r="20" spans="1:29" ht="14.25">
      <c r="A20" s="969"/>
      <c r="B20" t="s">
        <v>389</v>
      </c>
      <c r="C20" s="367">
        <v>34506</v>
      </c>
      <c r="D20" s="368">
        <v>2130</v>
      </c>
      <c r="E20" s="368">
        <f>D20*$R$21*$E$6/1000</f>
        <v>89.46</v>
      </c>
      <c r="F20" s="368">
        <f>D20*(($S$21*$E$6+($T$21+$Y$21)*$F$6))/1000</f>
        <v>364.55959616505862</v>
      </c>
      <c r="G20" s="370">
        <f t="shared" si="5"/>
        <v>454.0195961650586</v>
      </c>
      <c r="H20" s="407">
        <f>G20+G16+G18</f>
        <v>499.8799515561825</v>
      </c>
      <c r="I20" s="407"/>
      <c r="J20" s="372"/>
      <c r="K20" s="364"/>
      <c r="L20" s="364"/>
      <c r="Q20" t="s">
        <v>386</v>
      </c>
      <c r="R20" s="96">
        <v>1.5</v>
      </c>
      <c r="S20">
        <v>6</v>
      </c>
      <c r="T20" s="96">
        <v>0</v>
      </c>
      <c r="U20" s="96">
        <v>22.995000000000001</v>
      </c>
      <c r="V20" s="226">
        <v>1</v>
      </c>
      <c r="Y20">
        <f>U20*(0.001*44/28*V20+0.002*(W20+X20))</f>
        <v>3.6135E-2</v>
      </c>
      <c r="AA20" s="31"/>
    </row>
    <row r="21" spans="1:29" ht="14.25">
      <c r="A21" s="969"/>
      <c r="B21" t="s">
        <v>417</v>
      </c>
      <c r="C21" s="367">
        <f>SUM(C18:C20)</f>
        <v>38016</v>
      </c>
      <c r="D21" s="368">
        <f>SUM(D18:D20)</f>
        <v>2983</v>
      </c>
      <c r="E21" s="368">
        <f>SUM(E18:E20)</f>
        <v>125.286</v>
      </c>
      <c r="F21" s="368">
        <f>SUM(F18:F20)</f>
        <v>516.03173224005866</v>
      </c>
      <c r="G21" s="370">
        <f t="shared" si="5"/>
        <v>641.3177322400586</v>
      </c>
      <c r="H21" s="407">
        <f>G21</f>
        <v>641.3177322400586</v>
      </c>
      <c r="I21" s="407">
        <f>D21+I17</f>
        <v>3546</v>
      </c>
      <c r="J21" s="344"/>
      <c r="K21" s="373"/>
      <c r="L21" s="373"/>
      <c r="Q21" t="s">
        <v>389</v>
      </c>
      <c r="R21" s="96">
        <v>1.5</v>
      </c>
      <c r="S21">
        <v>6.0000000733937204</v>
      </c>
      <c r="T21" s="96">
        <v>0</v>
      </c>
      <c r="U21" s="96">
        <v>7.5757000000000003</v>
      </c>
      <c r="V21" s="226">
        <v>1</v>
      </c>
      <c r="Y21">
        <f>U21*(0.001*44/28*V21+0.002*(W21+X21))</f>
        <v>1.1904671428571429E-2</v>
      </c>
      <c r="AA21" s="31"/>
    </row>
    <row r="22" spans="1:29" ht="14.25">
      <c r="A22" s="969"/>
      <c r="B22" t="s">
        <v>412</v>
      </c>
      <c r="C22" s="367">
        <v>67239</v>
      </c>
      <c r="D22" s="368">
        <v>700</v>
      </c>
      <c r="E22" s="368">
        <f>D22*$R$23*$E$6/1000</f>
        <v>352.80002811970957</v>
      </c>
      <c r="F22" s="368">
        <f>D22*(($S$23*$E$6+($T$23+$Y$23)*$F$6))/1000</f>
        <v>37.553459174503004</v>
      </c>
      <c r="G22" s="370">
        <f t="shared" si="5"/>
        <v>390.35348729421258</v>
      </c>
      <c r="H22" s="407">
        <f>G21+G22</f>
        <v>1031.6712195342711</v>
      </c>
      <c r="I22" s="407">
        <f>I21+D22</f>
        <v>4246</v>
      </c>
      <c r="J22" s="344"/>
      <c r="K22" s="373"/>
      <c r="L22" s="373"/>
      <c r="Q22" t="s">
        <v>417</v>
      </c>
      <c r="R22" s="96"/>
      <c r="T22" s="96"/>
      <c r="U22" s="96"/>
      <c r="V22" s="226"/>
      <c r="AA22" s="31"/>
    </row>
    <row r="23" spans="1:29" ht="14.25">
      <c r="A23" s="969"/>
      <c r="B23" t="s">
        <v>419</v>
      </c>
      <c r="C23" s="367">
        <v>1188</v>
      </c>
      <c r="D23" s="368">
        <v>30</v>
      </c>
      <c r="E23" s="368">
        <f>D23*$R$24*$E$6/1000</f>
        <v>4.2</v>
      </c>
      <c r="F23" s="368">
        <f>D23*(($S$24*$E$6+($T$24+$Y$24)*$F$6))/1000</f>
        <v>1.285928625882</v>
      </c>
      <c r="G23" s="370">
        <f t="shared" si="5"/>
        <v>5.4859286258819999</v>
      </c>
      <c r="H23" s="407">
        <f>SUM(G21:G23)</f>
        <v>1037.1571481601532</v>
      </c>
      <c r="I23" s="407">
        <f>D23+I22</f>
        <v>4276</v>
      </c>
      <c r="J23" s="344"/>
      <c r="K23" s="373"/>
      <c r="L23" s="373"/>
      <c r="Q23" t="s">
        <v>412</v>
      </c>
      <c r="R23" s="96">
        <v>18.00000143467906</v>
      </c>
      <c r="S23">
        <v>1.0900001434679101</v>
      </c>
      <c r="T23" s="96">
        <v>3.0389120972139999E-2</v>
      </c>
      <c r="U23" s="96">
        <v>28.442788199999999</v>
      </c>
      <c r="W23" s="226">
        <v>0.14000000000000001</v>
      </c>
      <c r="X23" s="226">
        <v>0.86</v>
      </c>
      <c r="Y23">
        <f>U23*(0.001*44/28*V23+0.002*(W23+X23))</f>
        <v>5.6885576399999999E-2</v>
      </c>
      <c r="AA23" s="31"/>
    </row>
    <row r="24" spans="1:29" ht="15" thickBot="1">
      <c r="A24" s="970"/>
      <c r="B24" t="s">
        <v>489</v>
      </c>
      <c r="C24" s="375">
        <v>1042468</v>
      </c>
      <c r="D24" s="376">
        <v>63042</v>
      </c>
      <c r="E24" s="368">
        <f>D24*$R$25*$E$6/1000</f>
        <v>35.303498817887991</v>
      </c>
      <c r="F24" s="368">
        <f>D24*(($S$25*$E$6+($T$25+$Y$25)*$F$6))/1000</f>
        <v>350.60690523249224</v>
      </c>
      <c r="G24" s="411">
        <f t="shared" si="5"/>
        <v>385.91040405038024</v>
      </c>
      <c r="H24" s="407">
        <f>SUM(G21:G24)+G17+G13</f>
        <v>1829.6519397420798</v>
      </c>
      <c r="I24" s="407">
        <f>I23+D24</f>
        <v>67318</v>
      </c>
      <c r="J24" s="344"/>
      <c r="K24" s="373"/>
      <c r="L24" s="373"/>
      <c r="Q24" t="s">
        <v>419</v>
      </c>
      <c r="R24" s="96">
        <v>5</v>
      </c>
      <c r="S24" s="96">
        <v>0.1200001148</v>
      </c>
      <c r="T24" s="96">
        <v>0.10842637099999999</v>
      </c>
      <c r="U24" s="96">
        <v>20.3232</v>
      </c>
      <c r="V24" s="226"/>
      <c r="W24" s="226">
        <v>0.55000000000000004</v>
      </c>
      <c r="X24" s="226">
        <v>0.45</v>
      </c>
      <c r="Y24">
        <f>U24*(0.001*44/28*V24+0.002*(W24+X24))</f>
        <v>4.0646399999999999E-2</v>
      </c>
      <c r="AA24" s="31"/>
    </row>
    <row r="25" spans="1:29" ht="15" thickBot="1">
      <c r="A25" s="379" t="s">
        <v>21</v>
      </c>
      <c r="B25" s="380">
        <f>A9</f>
        <v>2016</v>
      </c>
      <c r="C25" s="381">
        <f>SUM(C21:C24)</f>
        <v>1148911</v>
      </c>
      <c r="D25" s="381"/>
      <c r="E25" s="412">
        <f>SUM(E21:E24)+E17+E13</f>
        <v>849.09157410489627</v>
      </c>
      <c r="F25" s="412">
        <f>SUM(F21:F24)+F17+F13</f>
        <v>980.56036563718328</v>
      </c>
      <c r="G25" s="382">
        <f>E25+F25</f>
        <v>1829.6519397420795</v>
      </c>
      <c r="H25" s="382">
        <f>H24</f>
        <v>1829.6519397420798</v>
      </c>
      <c r="I25" s="382">
        <f>SUM(I21:I24)</f>
        <v>79386</v>
      </c>
      <c r="J25" s="383"/>
      <c r="K25" s="384"/>
      <c r="L25" s="384"/>
      <c r="Q25" t="s">
        <v>420</v>
      </c>
      <c r="R25" s="96">
        <v>1.9999988E-2</v>
      </c>
      <c r="S25" s="96">
        <v>0.17817542</v>
      </c>
      <c r="T25" s="96">
        <v>8.9452384050000004E-4</v>
      </c>
      <c r="U25" s="96">
        <v>0.63305800000000001</v>
      </c>
      <c r="W25" s="226">
        <v>1</v>
      </c>
      <c r="Y25">
        <f>U25*(0.001*44/28*V25+0.002*(W25+X25))</f>
        <v>1.2661160000000001E-3</v>
      </c>
      <c r="AA25" s="31"/>
    </row>
    <row r="26" spans="1:29" ht="14.25" customHeight="1">
      <c r="A26" s="969">
        <v>2017</v>
      </c>
      <c r="B26" t="s">
        <v>384</v>
      </c>
      <c r="C26" s="359">
        <v>365765</v>
      </c>
      <c r="D26" s="360">
        <v>222</v>
      </c>
      <c r="E26" s="360">
        <f>D26*$R$10*$E$6/1000</f>
        <v>69.29359441987269</v>
      </c>
      <c r="F26" s="360">
        <f>D26*(($S$10*$E$6+($T$10+$Y$10)*$F$6))/1000</f>
        <v>13.272029522130357</v>
      </c>
      <c r="G26" s="362">
        <f>E26+F26</f>
        <v>82.565623942003043</v>
      </c>
      <c r="H26" s="406">
        <f>G26</f>
        <v>82.565623942003043</v>
      </c>
      <c r="I26" s="406"/>
      <c r="J26" s="1023" t="str">
        <f>"Milli áranna "&amp; $A9 &amp;" og "&amp; $A26</f>
        <v>Milli áranna 2016 og 2017</v>
      </c>
      <c r="K26" s="416"/>
      <c r="L26" s="386">
        <f>(G26-G9)/G9</f>
        <v>-0.10121457489878551</v>
      </c>
      <c r="Y26" s="96"/>
      <c r="Z26" s="96"/>
      <c r="AA26" s="31"/>
    </row>
    <row r="27" spans="1:29" ht="14.25">
      <c r="A27" s="969"/>
      <c r="B27" t="s">
        <v>387</v>
      </c>
      <c r="C27" s="367">
        <v>11832</v>
      </c>
      <c r="D27" s="368">
        <v>19</v>
      </c>
      <c r="E27" s="368">
        <f>D27*$R$11*$E$6/1000</f>
        <v>6.3547452764122454</v>
      </c>
      <c r="F27" s="368">
        <f>D27*(($S$11*$E$6+($T$11+$Y$11)*$F$6))/1000</f>
        <v>1.4790827213136368</v>
      </c>
      <c r="G27" s="370">
        <f>E27+F27</f>
        <v>7.8338279977258818</v>
      </c>
      <c r="H27" s="407">
        <f>G27+G26</f>
        <v>90.39945193972892</v>
      </c>
      <c r="I27" s="407"/>
      <c r="J27" s="1023"/>
      <c r="K27" s="417"/>
      <c r="L27" s="386">
        <f t="shared" ref="L27:L41" si="6">(G27-G10)/G10</f>
        <v>0.46153846153846129</v>
      </c>
    </row>
    <row r="28" spans="1:29" ht="14.25">
      <c r="A28" s="969"/>
      <c r="B28" t="s">
        <v>393</v>
      </c>
      <c r="C28" s="367">
        <f>82187</f>
        <v>82187</v>
      </c>
      <c r="D28" s="368">
        <f>67</f>
        <v>67</v>
      </c>
      <c r="E28" s="368">
        <f>D28*$R$12*$E$6/1000</f>
        <v>17.726715664730023</v>
      </c>
      <c r="F28" s="368">
        <f>D28*(($S$12*$E$6+($T$12+$Y$12)*$F$6))/1000</f>
        <v>2.6628802047630145</v>
      </c>
      <c r="G28" s="370">
        <f>E28+F28</f>
        <v>20.389595869493036</v>
      </c>
      <c r="H28" s="407">
        <f>G28+G27+G26</f>
        <v>110.78904780922196</v>
      </c>
      <c r="I28" s="407"/>
      <c r="J28" s="1023"/>
      <c r="K28" s="417"/>
      <c r="L28" s="386">
        <f t="shared" si="6"/>
        <v>0.31372549019607848</v>
      </c>
    </row>
    <row r="29" spans="1:29" ht="14.25">
      <c r="A29" s="969"/>
      <c r="B29" t="s">
        <v>397</v>
      </c>
      <c r="C29" s="367">
        <f>82187*3</f>
        <v>246561</v>
      </c>
      <c r="D29" s="368">
        <f>67*3</f>
        <v>201</v>
      </c>
      <c r="E29" s="368">
        <f>D29*$R$13*$E$6/1000</f>
        <v>26.303976838941374</v>
      </c>
      <c r="F29" s="368">
        <f>D29*(($S$13*$E$6+($T$13+$Y$13)*$F$6))/1000</f>
        <v>1.3081733431978966</v>
      </c>
      <c r="G29" s="370">
        <f t="shared" ref="G29:G41" si="7">E29+F29</f>
        <v>27.612150182139271</v>
      </c>
      <c r="H29" s="407">
        <f>SUM(G26:G29)</f>
        <v>138.40119799136122</v>
      </c>
      <c r="I29" s="407"/>
      <c r="J29" s="1023"/>
      <c r="K29" s="417"/>
      <c r="L29" s="386">
        <f t="shared" si="6"/>
        <v>0.31372549019607854</v>
      </c>
      <c r="N29" t="s">
        <v>404</v>
      </c>
      <c r="Z29" s="31"/>
    </row>
    <row r="30" spans="1:29" ht="14.25">
      <c r="A30" s="969"/>
      <c r="B30" t="s">
        <v>400</v>
      </c>
      <c r="C30" s="367">
        <f>SUM(C26:C29)</f>
        <v>706345</v>
      </c>
      <c r="D30" s="368">
        <f>SUM(D26:D29)</f>
        <v>509</v>
      </c>
      <c r="E30" s="368">
        <f t="shared" ref="E30:F30" si="8">SUM(E26:E29)</f>
        <v>119.67903219995634</v>
      </c>
      <c r="F30" s="368">
        <f t="shared" si="8"/>
        <v>18.722165791404905</v>
      </c>
      <c r="G30" s="370">
        <f>E30+F30</f>
        <v>138.40119799136124</v>
      </c>
      <c r="H30" s="407">
        <f>G30</f>
        <v>138.40119799136124</v>
      </c>
      <c r="I30" s="407">
        <f>D30</f>
        <v>509</v>
      </c>
      <c r="J30" s="1023"/>
      <c r="K30" s="417">
        <f>(D30-D13)/D13</f>
        <v>9.6982758620689655E-2</v>
      </c>
      <c r="L30" s="386">
        <f t="shared" si="6"/>
        <v>3.4681052367159119E-2</v>
      </c>
      <c r="P30" t="s">
        <v>405</v>
      </c>
      <c r="R30" t="s">
        <v>178</v>
      </c>
      <c r="S30" t="s">
        <v>402</v>
      </c>
      <c r="Z30" s="226">
        <v>0.1</v>
      </c>
    </row>
    <row r="31" spans="1:29" ht="14.25">
      <c r="A31" s="969"/>
      <c r="B31" t="s">
        <v>491</v>
      </c>
      <c r="C31" s="367">
        <v>26742</v>
      </c>
      <c r="D31" s="368">
        <v>47</v>
      </c>
      <c r="E31" s="368">
        <f>D31*$R$15*$E$6/1000</f>
        <v>143.66179141999999</v>
      </c>
      <c r="F31" s="368">
        <f>D31*(($S$15*$E$6+($T$15+$Y$15)*$F$6))/1000</f>
        <v>43.165808591840658</v>
      </c>
      <c r="G31" s="370">
        <f>E31+F31</f>
        <v>186.82760001184064</v>
      </c>
      <c r="H31" s="407">
        <f>G31+G30</f>
        <v>325.22879800320186</v>
      </c>
      <c r="I31" s="407"/>
      <c r="J31" s="1023"/>
      <c r="K31" s="417"/>
      <c r="L31" s="386">
        <f t="shared" si="6"/>
        <v>-4.0816326530612256E-2</v>
      </c>
      <c r="N31" t="s">
        <v>406</v>
      </c>
      <c r="O31" t="s">
        <v>407</v>
      </c>
      <c r="P31" t="s">
        <v>391</v>
      </c>
      <c r="Q31" t="s">
        <v>52</v>
      </c>
      <c r="R31" t="s">
        <v>52</v>
      </c>
      <c r="T31" t="s">
        <v>408</v>
      </c>
      <c r="U31" t="s">
        <v>409</v>
      </c>
      <c r="V31" t="s">
        <v>410</v>
      </c>
      <c r="AC31" t="s">
        <v>411</v>
      </c>
    </row>
    <row r="32" spans="1:29" ht="14.25">
      <c r="A32" s="969"/>
      <c r="B32" t="s">
        <v>492</v>
      </c>
      <c r="C32" s="367">
        <v>19757</v>
      </c>
      <c r="D32" s="368">
        <v>10</v>
      </c>
      <c r="E32" s="368">
        <f>D32*$R$16*$E$6/1000</f>
        <v>20.651442424199995</v>
      </c>
      <c r="F32" s="368">
        <f>D32*(($S$16*$E$6+($T$16+$Y$16)*$F$6))/1000</f>
        <v>1.1104614066574399</v>
      </c>
      <c r="G32" s="370">
        <f t="shared" si="7"/>
        <v>21.761903830857435</v>
      </c>
      <c r="H32" s="407">
        <f>G32+G31+G30</f>
        <v>346.99070183405934</v>
      </c>
      <c r="I32" s="407"/>
      <c r="J32" s="1023"/>
      <c r="K32" s="417"/>
      <c r="L32" s="386">
        <f t="shared" si="6"/>
        <v>-0.37500000000000017</v>
      </c>
      <c r="N32" t="s">
        <v>384</v>
      </c>
      <c r="O32">
        <v>91</v>
      </c>
      <c r="P32" s="52">
        <v>11.3285397553413</v>
      </c>
      <c r="Q32" s="96">
        <v>0.98551229379973004</v>
      </c>
      <c r="R32">
        <v>7.2979379999999996E-2</v>
      </c>
      <c r="S32">
        <v>20.170000000000002</v>
      </c>
      <c r="T32" s="226">
        <v>0.1925</v>
      </c>
      <c r="U32" s="226">
        <v>0.35749999999999998</v>
      </c>
      <c r="V32" s="226">
        <v>0.45</v>
      </c>
      <c r="W32" s="31">
        <f>(O32*((P32+Q32)*$Z$2+(R32)*$AB$2))/1000</f>
        <v>0</v>
      </c>
      <c r="Y32" s="96">
        <f>O32*P32*$Z$2/1000</f>
        <v>0</v>
      </c>
      <c r="Z32">
        <f>O32*((Q32*$Z$2+(R32+AC32)*$AB$2)*(U32+T32))/1000</f>
        <v>0</v>
      </c>
      <c r="AC32">
        <f t="shared" ref="AC32:AC38" si="9">S32*(0.001*44/28*T32+0.002*(U32+V32))</f>
        <v>3.8675975000000008E-2</v>
      </c>
    </row>
    <row r="33" spans="1:29" ht="14.25">
      <c r="A33" s="969"/>
      <c r="B33" t="s">
        <v>394</v>
      </c>
      <c r="C33" s="367">
        <v>31765</v>
      </c>
      <c r="D33" s="368">
        <v>42</v>
      </c>
      <c r="E33" s="368">
        <f>D33*$R$17*$E$6/1000</f>
        <v>41.658897184799997</v>
      </c>
      <c r="F33" s="368">
        <f>D33*(($S$17*$E$6+($T$17+$Y$17)*$F$6))/1000</f>
        <v>11.737242104235438</v>
      </c>
      <c r="G33" s="408">
        <f t="shared" si="7"/>
        <v>53.396139289035432</v>
      </c>
      <c r="H33" s="407">
        <f>G33+G32+G31+G30</f>
        <v>400.38684112309477</v>
      </c>
      <c r="I33" s="407"/>
      <c r="J33" s="1023"/>
      <c r="K33" s="417"/>
      <c r="L33" s="386">
        <f t="shared" si="6"/>
        <v>0.23529411764705863</v>
      </c>
      <c r="N33" t="s">
        <v>387</v>
      </c>
      <c r="O33">
        <v>5</v>
      </c>
      <c r="P33" s="52">
        <v>11.945009618499</v>
      </c>
      <c r="Q33" s="96">
        <v>1.09314132649256</v>
      </c>
      <c r="R33">
        <v>0.11514180857167</v>
      </c>
      <c r="S33">
        <v>29.47</v>
      </c>
      <c r="T33" s="226">
        <v>0.1925</v>
      </c>
      <c r="U33" s="226">
        <v>0.35749999999999998</v>
      </c>
      <c r="V33" s="226">
        <v>0.45</v>
      </c>
      <c r="W33" s="31">
        <f>(O33*((P33+Q33)*$Z$2+(R33)*$AB$2))/1000</f>
        <v>0</v>
      </c>
      <c r="Y33" s="96">
        <f>O33*P33*$Z$2/1000</f>
        <v>0</v>
      </c>
      <c r="Z33">
        <f>O33*((Q33*$Z$2+(R33+AC33)*$AB$2)*(U33+T33))/1000</f>
        <v>0</v>
      </c>
      <c r="AC33">
        <f t="shared" si="9"/>
        <v>5.6508725000000003E-2</v>
      </c>
    </row>
    <row r="34" spans="1:29" ht="14.25">
      <c r="A34" s="969"/>
      <c r="B34" t="s">
        <v>416</v>
      </c>
      <c r="C34" s="367">
        <f>SUM(C31:C33)</f>
        <v>78264</v>
      </c>
      <c r="D34" s="368">
        <f>SUM(D31:D33)</f>
        <v>99</v>
      </c>
      <c r="E34" s="368">
        <f>SUM(E31:E33)</f>
        <v>205.97213102899997</v>
      </c>
      <c r="F34" s="368">
        <f>SUM(F31:F33)</f>
        <v>56.013512102733543</v>
      </c>
      <c r="G34" s="408">
        <f>E34+F34</f>
        <v>261.98564313173353</v>
      </c>
      <c r="H34" s="407">
        <f>G34+G30</f>
        <v>400.38684112309477</v>
      </c>
      <c r="I34" s="407">
        <f>D34+I30</f>
        <v>608</v>
      </c>
      <c r="J34" s="1023"/>
      <c r="K34" s="417">
        <f>(D34-D17)/D17</f>
        <v>0</v>
      </c>
      <c r="L34" s="386">
        <f t="shared" si="6"/>
        <v>-3.9720226672765112E-2</v>
      </c>
      <c r="N34" t="s">
        <v>393</v>
      </c>
      <c r="O34">
        <v>20</v>
      </c>
      <c r="P34" s="52">
        <v>9.4000196709058201</v>
      </c>
      <c r="Q34" s="96">
        <v>0.81948295137819005</v>
      </c>
      <c r="R34">
        <v>3.2046688928570002E-2</v>
      </c>
      <c r="S34">
        <v>11.13</v>
      </c>
      <c r="T34" s="226">
        <v>0.1925</v>
      </c>
      <c r="U34" s="226">
        <v>0.35749999999999998</v>
      </c>
      <c r="V34" s="226">
        <v>0.45</v>
      </c>
      <c r="W34" s="31">
        <f>(O34*((P34+Q34)*$Z$2+(R34)*$AB$2))/1000</f>
        <v>0</v>
      </c>
      <c r="Y34" s="96">
        <f>O34*P34*$Z$2/1000</f>
        <v>0</v>
      </c>
      <c r="Z34">
        <f>O34*((Q34*$Z$2+(R34+AC34)*$AB$2)*(U34+T34))/1000</f>
        <v>0</v>
      </c>
      <c r="AC34">
        <f t="shared" si="9"/>
        <v>2.1341775000000004E-2</v>
      </c>
    </row>
    <row r="35" spans="1:29" ht="14.25">
      <c r="A35" s="969"/>
      <c r="B35" t="s">
        <v>490</v>
      </c>
      <c r="C35" s="367">
        <v>68</v>
      </c>
      <c r="D35" s="368">
        <v>13</v>
      </c>
      <c r="E35" s="368">
        <f>D35*$R$20*$E$6/1000</f>
        <v>0.54600000000000004</v>
      </c>
      <c r="F35" s="368">
        <f>D35*(($S$20*$E$6+($T$20+$Y$19)*$F$6))/1000</f>
        <v>2.3084850750000001</v>
      </c>
      <c r="G35" s="408">
        <f>E35+F35</f>
        <v>2.8544850750000004</v>
      </c>
      <c r="H35" s="407">
        <f>H34+G35</f>
        <v>403.24132619809478</v>
      </c>
      <c r="I35" s="407"/>
      <c r="J35" s="1023"/>
      <c r="K35" s="417"/>
      <c r="L35" s="386">
        <f t="shared" si="6"/>
        <v>8.3333333333333509E-2</v>
      </c>
      <c r="N35" t="s">
        <v>397</v>
      </c>
      <c r="O35">
        <v>173</v>
      </c>
      <c r="P35" s="52">
        <v>2.8365940572513599</v>
      </c>
      <c r="Q35" s="96">
        <v>5.121712047094E-2</v>
      </c>
      <c r="R35">
        <v>0</v>
      </c>
      <c r="S35">
        <v>6.52</v>
      </c>
      <c r="V35" s="226">
        <v>1</v>
      </c>
      <c r="W35" s="31">
        <f>(O35*((P35+Q35)*$Z$2+(R35)*$AB$2))/1000</f>
        <v>0</v>
      </c>
      <c r="Y35" s="96">
        <f>O35*P35*$Z$2/1000</f>
        <v>0</v>
      </c>
      <c r="Z35">
        <f>O35*((Q35*$Z$2+(R35+AC35)*$AB$2)*(U35+T35))/1000</f>
        <v>0</v>
      </c>
      <c r="AC35">
        <f t="shared" si="9"/>
        <v>1.304E-2</v>
      </c>
    </row>
    <row r="36" spans="1:29" ht="14.25">
      <c r="A36" s="969"/>
      <c r="B36" t="s">
        <v>386</v>
      </c>
      <c r="C36" s="367">
        <v>3508</v>
      </c>
      <c r="D36" s="368">
        <v>815</v>
      </c>
      <c r="E36" s="368">
        <f>D36*$R$20*$E$6/1000</f>
        <v>34.229999999999997</v>
      </c>
      <c r="F36" s="368">
        <f>D36*(($S$20*$E$6+($T$20+$Y$20)*$F$6))/1000</f>
        <v>144.72425662499998</v>
      </c>
      <c r="G36" s="370">
        <f t="shared" si="7"/>
        <v>178.95425662499997</v>
      </c>
      <c r="H36" s="407">
        <f>G36+G34+G33+G35</f>
        <v>497.19052412076894</v>
      </c>
      <c r="I36" s="407"/>
      <c r="J36" s="1023"/>
      <c r="K36" s="417"/>
      <c r="L36" s="386">
        <f t="shared" si="6"/>
        <v>-3.0915576694411563E-2</v>
      </c>
      <c r="N36" t="s">
        <v>400</v>
      </c>
      <c r="O36">
        <v>289</v>
      </c>
      <c r="P36" s="52"/>
      <c r="W36" s="31">
        <f>SUM(W32:W35)</f>
        <v>0</v>
      </c>
      <c r="Y36" s="96">
        <f>SUM(Y32:Y35)</f>
        <v>0</v>
      </c>
      <c r="Z36" s="96">
        <f>SUM(Z32:Z35)</f>
        <v>0</v>
      </c>
      <c r="AA36" s="96">
        <f>SUM(Y36:Z36)</f>
        <v>0</v>
      </c>
      <c r="AC36">
        <f t="shared" si="9"/>
        <v>0</v>
      </c>
    </row>
    <row r="37" spans="1:29" ht="14.25">
      <c r="A37" s="969"/>
      <c r="B37" t="s">
        <v>389</v>
      </c>
      <c r="C37" s="367">
        <v>36949</v>
      </c>
      <c r="D37" s="368">
        <v>4026</v>
      </c>
      <c r="E37" s="368">
        <f>D37*$R$21*$E$6/1000</f>
        <v>169.09200000000001</v>
      </c>
      <c r="F37" s="368">
        <f>D37*(($S$21*$E$6+($T$21+$Y$21)*$F$6))/1000</f>
        <v>689.06898317395576</v>
      </c>
      <c r="G37" s="370">
        <f t="shared" si="7"/>
        <v>858.16098317395574</v>
      </c>
      <c r="H37" s="407">
        <f>G37+G33+G35</f>
        <v>914.41160753799113</v>
      </c>
      <c r="I37" s="407"/>
      <c r="J37" s="1023"/>
      <c r="K37" s="417"/>
      <c r="L37" s="386">
        <f t="shared" si="6"/>
        <v>0.89014084507042235</v>
      </c>
      <c r="P37" s="52"/>
      <c r="W37" s="31"/>
      <c r="Y37" s="96"/>
      <c r="Z37" s="96"/>
      <c r="AA37" s="96"/>
    </row>
    <row r="38" spans="1:29" ht="14.25">
      <c r="A38" s="969"/>
      <c r="B38" t="s">
        <v>417</v>
      </c>
      <c r="C38" s="367">
        <f>SUM(C35:C37)</f>
        <v>40525</v>
      </c>
      <c r="D38" s="368">
        <f>SUM(D35:D37)</f>
        <v>4854</v>
      </c>
      <c r="E38" s="368">
        <f>SUM(E35:E37)</f>
        <v>203.86799999999999</v>
      </c>
      <c r="F38" s="368">
        <f>SUM(F35:F37)</f>
        <v>836.10172487395573</v>
      </c>
      <c r="G38" s="370">
        <f t="shared" si="7"/>
        <v>1039.9697248739558</v>
      </c>
      <c r="H38" s="407">
        <f>G38</f>
        <v>1039.9697248739558</v>
      </c>
      <c r="I38" s="407">
        <f>D38+I34</f>
        <v>5462</v>
      </c>
      <c r="J38" s="1023"/>
      <c r="K38" s="417">
        <f>(D38-D21)/D21</f>
        <v>0.62722091853838413</v>
      </c>
      <c r="L38" s="386">
        <f t="shared" si="6"/>
        <v>0.62161386251000061</v>
      </c>
      <c r="N38" t="s">
        <v>412</v>
      </c>
      <c r="O38">
        <v>861</v>
      </c>
      <c r="P38" s="52">
        <v>17.999998250185701</v>
      </c>
      <c r="Q38">
        <v>1.08999983348348</v>
      </c>
      <c r="R38">
        <v>3.0435187224019999E-2</v>
      </c>
      <c r="S38">
        <v>28.48</v>
      </c>
      <c r="U38" s="226">
        <v>0.14000000000000001</v>
      </c>
      <c r="V38" s="226">
        <v>0.86</v>
      </c>
      <c r="W38" s="31">
        <f>(O38*((P38+Q38)*28+(R38)*265))/1000</f>
        <v>467.16591829406514</v>
      </c>
      <c r="Y38" s="96">
        <f>O38*P38*$Z$2/1000</f>
        <v>0</v>
      </c>
      <c r="Z38">
        <f>O38*((Q38*$Z$2+(R38+AC38)*$AB$2)*(U38+T38))/1000</f>
        <v>0</v>
      </c>
      <c r="AA38" s="96">
        <f>SUM(Y38:Z38)</f>
        <v>0</v>
      </c>
      <c r="AC38">
        <f t="shared" si="9"/>
        <v>5.6960000000000004E-2</v>
      </c>
    </row>
    <row r="39" spans="1:29" ht="14.25">
      <c r="A39" s="969"/>
      <c r="B39" t="s">
        <v>412</v>
      </c>
      <c r="C39" s="367">
        <v>64816</v>
      </c>
      <c r="D39" s="368">
        <v>687</v>
      </c>
      <c r="E39" s="368">
        <f>D39*$R$23*$E$6/1000</f>
        <v>346.24802759748638</v>
      </c>
      <c r="F39" s="368">
        <f>D39*(($S$23*$E$6+($T$23+$Y$23)*$F$6))/1000</f>
        <v>36.856037789833657</v>
      </c>
      <c r="G39" s="370">
        <f t="shared" si="7"/>
        <v>383.10406538732002</v>
      </c>
      <c r="H39" s="407">
        <f>G38+G39</f>
        <v>1423.0737902612759</v>
      </c>
      <c r="I39" s="407">
        <f>I38+D39</f>
        <v>6149</v>
      </c>
      <c r="J39" s="1023"/>
      <c r="K39" s="417">
        <f>(D39-D22)/D22</f>
        <v>-1.8571428571428572E-2</v>
      </c>
      <c r="L39" s="386">
        <f t="shared" si="6"/>
        <v>-1.8571428571428687E-2</v>
      </c>
      <c r="P39" s="52"/>
      <c r="U39" s="226"/>
      <c r="V39" s="226"/>
      <c r="W39" s="31"/>
      <c r="Y39" s="96"/>
      <c r="AA39" s="96"/>
    </row>
    <row r="40" spans="1:29" ht="14.25">
      <c r="A40" s="969"/>
      <c r="B40" t="s">
        <v>419</v>
      </c>
      <c r="C40" s="367">
        <v>1300</v>
      </c>
      <c r="D40" s="368">
        <v>30</v>
      </c>
      <c r="E40" s="368">
        <f>D40*$R$24*$E$6/1000</f>
        <v>4.2</v>
      </c>
      <c r="F40" s="368">
        <f>D40*(($S$24*$E$6+($T$24+$Y$24)*$F$6))/1000</f>
        <v>1.285928625882</v>
      </c>
      <c r="G40" s="370">
        <f t="shared" si="7"/>
        <v>5.4859286258819999</v>
      </c>
      <c r="H40" s="407">
        <f>SUM(G38:G40)</f>
        <v>1428.5597188871579</v>
      </c>
      <c r="I40" s="407">
        <f>D40+I39</f>
        <v>6179</v>
      </c>
      <c r="J40" s="1023"/>
      <c r="K40" s="417">
        <f>(D40-D23)/D23</f>
        <v>0</v>
      </c>
      <c r="L40" s="386">
        <f t="shared" si="6"/>
        <v>0</v>
      </c>
      <c r="Y40">
        <f>O32*((31.37+6.92)*28+241.39*265)/1000</f>
        <v>5918.6827700000003</v>
      </c>
    </row>
    <row r="41" spans="1:29" ht="15" thickBot="1">
      <c r="A41" s="1022"/>
      <c r="B41" t="s">
        <v>420</v>
      </c>
      <c r="C41" s="375">
        <v>910282</v>
      </c>
      <c r="D41" s="376">
        <v>68038</v>
      </c>
      <c r="E41" s="368">
        <f>D41*$R$25*$E$6/1000</f>
        <v>38.101257139232004</v>
      </c>
      <c r="F41" s="368">
        <f>D41*(($S$25*$E$6+($T$25+$Y$25)*$F$6))/1000</f>
        <v>378.39206589588383</v>
      </c>
      <c r="G41" s="411">
        <f t="shared" si="7"/>
        <v>416.49332303511585</v>
      </c>
      <c r="H41" s="407">
        <f>SUM(G38:G41)+G34+G30</f>
        <v>2245.4398830453683</v>
      </c>
      <c r="I41" s="407">
        <f>I40+D41</f>
        <v>74217</v>
      </c>
      <c r="J41" s="1023"/>
      <c r="K41" s="417">
        <f>(D41-D24)/D24</f>
        <v>7.9248754798388374E-2</v>
      </c>
      <c r="L41" s="386">
        <f t="shared" si="6"/>
        <v>7.9248754798388499E-2</v>
      </c>
    </row>
    <row r="42" spans="1:29" ht="15" thickBot="1">
      <c r="A42" s="379" t="s">
        <v>21</v>
      </c>
      <c r="B42" s="380">
        <f>A26</f>
        <v>2017</v>
      </c>
      <c r="C42" s="381">
        <f>SUM(C38:C41)</f>
        <v>1016923</v>
      </c>
      <c r="D42" s="381"/>
      <c r="E42" s="412">
        <f>SUM(E38:E41)+E34+E30</f>
        <v>918.06844796567475</v>
      </c>
      <c r="F42" s="412">
        <f>SUM(F38:F41)+F34+F30</f>
        <v>1327.3714350796936</v>
      </c>
      <c r="G42" s="382">
        <f>E42+F42</f>
        <v>2245.4398830453683</v>
      </c>
      <c r="H42" s="382">
        <f>H41</f>
        <v>2245.4398830453683</v>
      </c>
      <c r="I42" s="382">
        <f>SUM(I38:I41)</f>
        <v>92007</v>
      </c>
      <c r="J42" s="1024"/>
      <c r="K42" s="397">
        <f>(I42-I25)/I25</f>
        <v>0.15898269216234601</v>
      </c>
      <c r="L42" s="398">
        <f>(G42-G25)/G25</f>
        <v>0.227249748584368</v>
      </c>
      <c r="N42" t="s">
        <v>379</v>
      </c>
      <c r="R42" t="s">
        <v>380</v>
      </c>
      <c r="U42" t="s">
        <v>381</v>
      </c>
      <c r="W42" t="s">
        <v>382</v>
      </c>
    </row>
    <row r="43" spans="1:29" ht="14.25" customHeight="1">
      <c r="A43" s="969">
        <v>2018</v>
      </c>
      <c r="B43" t="s">
        <v>384</v>
      </c>
      <c r="C43" s="359">
        <v>345103</v>
      </c>
      <c r="D43" s="360">
        <v>158</v>
      </c>
      <c r="E43" s="360">
        <f>D43*$R$10*$E$6/1000</f>
        <v>49.317062695224713</v>
      </c>
      <c r="F43" s="360">
        <f>D43*(($S$10*$E$6+($T$10+$Y$10)*$F$6))/1000</f>
        <v>9.445858849083768</v>
      </c>
      <c r="G43" s="362">
        <f>E43+F43</f>
        <v>58.762921544308483</v>
      </c>
      <c r="H43" s="406">
        <f>G43</f>
        <v>58.762921544308483</v>
      </c>
      <c r="I43" s="406"/>
      <c r="J43" s="1023" t="str">
        <f>"Milli áranna "&amp; $A26 &amp;" og "&amp; $A43</f>
        <v>Milli áranna 2017 og 2018</v>
      </c>
      <c r="K43" s="416"/>
      <c r="L43" s="386">
        <f>(G43-G26)/G26</f>
        <v>-0.28828828828828817</v>
      </c>
      <c r="N43" t="s">
        <v>384</v>
      </c>
      <c r="O43">
        <v>344795</v>
      </c>
      <c r="P43" s="135">
        <f>O43/$O$47</f>
        <v>0.52383817298153024</v>
      </c>
      <c r="R43" t="s">
        <v>385</v>
      </c>
      <c r="S43">
        <v>26477</v>
      </c>
      <c r="T43" s="135">
        <f>S43/$S$46</f>
        <v>0.32458043715445062</v>
      </c>
      <c r="W43" t="s">
        <v>386</v>
      </c>
      <c r="X43">
        <v>3323</v>
      </c>
      <c r="Y43" s="135">
        <f>X43/X45</f>
        <v>8.2501613784199818E-2</v>
      </c>
    </row>
    <row r="44" spans="1:29" ht="14.25">
      <c r="A44" s="969"/>
      <c r="B44" t="s">
        <v>387</v>
      </c>
      <c r="C44" s="367">
        <v>11617</v>
      </c>
      <c r="D44" s="368">
        <v>16</v>
      </c>
      <c r="E44" s="368">
        <f>D44*$R$11*$E$6/1000</f>
        <v>5.3513644432945222</v>
      </c>
      <c r="F44" s="368">
        <f>D44*(($S$11*$E$6+($T$11+$Y$11)*$F$6))/1000</f>
        <v>1.2455433442641151</v>
      </c>
      <c r="G44" s="370">
        <f>E44+F44</f>
        <v>6.5969077875586368</v>
      </c>
      <c r="H44" s="407">
        <f>G44+G43</f>
        <v>65.359829331867118</v>
      </c>
      <c r="I44" s="407"/>
      <c r="J44" s="1023"/>
      <c r="K44" s="417"/>
      <c r="L44" s="386">
        <f t="shared" ref="L44:L58" si="10">(G44-G27)/G27</f>
        <v>-0.15789473684210531</v>
      </c>
      <c r="N44" t="s">
        <v>387</v>
      </c>
      <c r="O44">
        <v>11595</v>
      </c>
      <c r="P44" s="135">
        <f>O44/$O$47</f>
        <v>1.7615985196191484E-2</v>
      </c>
      <c r="R44" t="s">
        <v>388</v>
      </c>
      <c r="S44">
        <v>2640</v>
      </c>
      <c r="T44" s="135">
        <f>S44/$S$46</f>
        <v>3.2363649737045343E-2</v>
      </c>
      <c r="U44" s="135">
        <f>S44/U46</f>
        <v>4.7916364164367647E-2</v>
      </c>
      <c r="W44" t="s">
        <v>389</v>
      </c>
      <c r="X44">
        <v>36955</v>
      </c>
      <c r="Y44" s="135">
        <f>X44/X45</f>
        <v>0.91749838621580015</v>
      </c>
    </row>
    <row r="45" spans="1:29" ht="14.25">
      <c r="A45" s="969"/>
      <c r="B45" t="s">
        <v>393</v>
      </c>
      <c r="C45" s="367">
        <f>76272</f>
        <v>76272</v>
      </c>
      <c r="D45" s="368">
        <f>57</f>
        <v>57</v>
      </c>
      <c r="E45" s="368">
        <f>D45*$R$12*$E$6/1000</f>
        <v>15.080937207307628</v>
      </c>
      <c r="F45" s="368">
        <f>D45*(($S$12*$E$6+($T$12+$Y$12)*$F$6))/1000</f>
        <v>2.2654353980819675</v>
      </c>
      <c r="G45" s="370">
        <f>E45+F45</f>
        <v>17.346372605389597</v>
      </c>
      <c r="H45" s="407">
        <f>G45+G44+G43</f>
        <v>82.706201937256708</v>
      </c>
      <c r="I45" s="407"/>
      <c r="J45" s="1023"/>
      <c r="K45" s="417"/>
      <c r="L45" s="386">
        <f t="shared" si="10"/>
        <v>-0.14925373134328362</v>
      </c>
      <c r="N45" t="s">
        <v>393</v>
      </c>
      <c r="O45">
        <v>76249</v>
      </c>
      <c r="P45" s="135">
        <f>O45/$O$47</f>
        <v>0.11584314404695165</v>
      </c>
      <c r="R45" t="s">
        <v>394</v>
      </c>
      <c r="S45">
        <v>52456</v>
      </c>
      <c r="T45" s="135">
        <f>S45/$S$46</f>
        <v>0.64305591310850407</v>
      </c>
      <c r="U45" s="135">
        <f>S45/U46</f>
        <v>0.95208363583563238</v>
      </c>
      <c r="X45">
        <f>X43+X44</f>
        <v>40278</v>
      </c>
    </row>
    <row r="46" spans="1:29" ht="14.25">
      <c r="A46" s="969"/>
      <c r="B46" t="s">
        <v>397</v>
      </c>
      <c r="C46" s="367">
        <f>76272*3</f>
        <v>228816</v>
      </c>
      <c r="D46" s="368">
        <f>57*3</f>
        <v>171</v>
      </c>
      <c r="E46" s="368">
        <f>D46*$R$13*$E$6/1000</f>
        <v>22.378010146562062</v>
      </c>
      <c r="F46" s="368">
        <f>D46*(($S$13*$E$6+($T$13+$Y$13)*$F$6))/1000</f>
        <v>1.1129235904817927</v>
      </c>
      <c r="G46" s="370">
        <f t="shared" ref="G46" si="11">E46+F46</f>
        <v>23.490933737043854</v>
      </c>
      <c r="H46" s="407">
        <f>SUM(G43:G46)</f>
        <v>106.19713567430057</v>
      </c>
      <c r="I46" s="407"/>
      <c r="J46" s="1023"/>
      <c r="K46" s="417"/>
      <c r="L46" s="386">
        <f t="shared" si="10"/>
        <v>-0.14925373134328371</v>
      </c>
      <c r="N46" t="s">
        <v>397</v>
      </c>
      <c r="O46">
        <v>225570</v>
      </c>
      <c r="P46" s="135">
        <f>O46/$O$47</f>
        <v>0.34270269777532669</v>
      </c>
      <c r="S46">
        <f>SUM(S43:S45)</f>
        <v>81573</v>
      </c>
      <c r="U46">
        <f>S44+S45</f>
        <v>55096</v>
      </c>
    </row>
    <row r="47" spans="1:29" ht="14.25">
      <c r="A47" s="969"/>
      <c r="B47" t="s">
        <v>400</v>
      </c>
      <c r="C47" s="367">
        <f>SUM(C43:C46)</f>
        <v>661808</v>
      </c>
      <c r="D47" s="368">
        <f>SUM(D43:D46)</f>
        <v>402</v>
      </c>
      <c r="E47" s="368">
        <f t="shared" ref="E47" si="12">SUM(E43:E46)</f>
        <v>92.127374492388924</v>
      </c>
      <c r="F47" s="368">
        <f t="shared" ref="F47" si="13">SUM(F43:F46)</f>
        <v>14.069761181911645</v>
      </c>
      <c r="G47" s="370">
        <f>E47+F47</f>
        <v>106.19713567430057</v>
      </c>
      <c r="H47" s="407">
        <f>G47</f>
        <v>106.19713567430057</v>
      </c>
      <c r="I47" s="407">
        <f>D47</f>
        <v>402</v>
      </c>
      <c r="J47" s="1023"/>
      <c r="K47" s="417">
        <f>(D47-D30)/D30</f>
        <v>-0.21021611001964635</v>
      </c>
      <c r="L47" s="386">
        <f t="shared" si="10"/>
        <v>-0.23268629740524929</v>
      </c>
      <c r="N47" t="s">
        <v>400</v>
      </c>
      <c r="O47">
        <f>SUM(O43:O46)</f>
        <v>658209</v>
      </c>
    </row>
    <row r="48" spans="1:29" ht="14.25">
      <c r="A48" s="969"/>
      <c r="B48" t="s">
        <v>491</v>
      </c>
      <c r="C48" s="367">
        <v>26477</v>
      </c>
      <c r="D48" s="368">
        <v>50</v>
      </c>
      <c r="E48" s="368">
        <f>D48*$R$15*$E$6/1000</f>
        <v>152.83169300000003</v>
      </c>
      <c r="F48" s="368">
        <f>D48*(($S$15*$E$6+($T$15+$Y$15)*$F$6))/1000</f>
        <v>45.921072970043248</v>
      </c>
      <c r="G48" s="370">
        <f t="shared" ref="G48:G50" si="14">E48+F48</f>
        <v>198.75276597004327</v>
      </c>
      <c r="H48" s="407">
        <f>G48+G47</f>
        <v>304.94990164434387</v>
      </c>
      <c r="I48" s="407"/>
      <c r="J48" s="1023"/>
      <c r="K48" s="417"/>
      <c r="L48" s="386">
        <f t="shared" si="10"/>
        <v>6.3829787234042729E-2</v>
      </c>
    </row>
    <row r="49" spans="1:37" ht="14.25">
      <c r="A49" s="969"/>
      <c r="B49" t="s">
        <v>492</v>
      </c>
      <c r="C49" s="367">
        <v>22908</v>
      </c>
      <c r="D49" s="368">
        <v>21</v>
      </c>
      <c r="E49" s="368">
        <f>D49*$R$16*$E$6/1000</f>
        <v>43.368029090819995</v>
      </c>
      <c r="F49" s="368">
        <f>D49*(($S$16*$E$6+($T$16+$Y$16)*$F$6))/1000</f>
        <v>2.3319689539806236</v>
      </c>
      <c r="G49" s="370">
        <f t="shared" si="14"/>
        <v>45.699998044800616</v>
      </c>
      <c r="H49" s="407">
        <f>G49+G48+G47</f>
        <v>350.64989968914449</v>
      </c>
      <c r="I49" s="407"/>
      <c r="J49" s="1023"/>
      <c r="K49" s="417"/>
      <c r="L49" s="386">
        <f t="shared" si="10"/>
        <v>1.1000000000000001</v>
      </c>
      <c r="P49">
        <f>O46/(O45+O46)</f>
        <v>0.74736845592888457</v>
      </c>
    </row>
    <row r="50" spans="1:37" ht="14.25">
      <c r="A50" s="969"/>
      <c r="B50" t="s">
        <v>394</v>
      </c>
      <c r="C50" s="367">
        <v>31691</v>
      </c>
      <c r="D50" s="368">
        <v>32</v>
      </c>
      <c r="E50" s="368">
        <f>D50*$R$17*$E$6/1000</f>
        <v>31.740112140800001</v>
      </c>
      <c r="F50" s="368">
        <f>D50*(($S$17*$E$6+($T$17+$Y$17)*$F$6))/1000</f>
        <v>8.9426606508460473</v>
      </c>
      <c r="G50" s="408">
        <f t="shared" si="14"/>
        <v>40.682772791646045</v>
      </c>
      <c r="H50" s="407">
        <f>G50+G49+G48+G47</f>
        <v>391.33267248079051</v>
      </c>
      <c r="I50" s="407"/>
      <c r="J50" s="1023"/>
      <c r="K50" s="417"/>
      <c r="L50" s="386">
        <f t="shared" si="10"/>
        <v>-0.23809523809523808</v>
      </c>
      <c r="P50">
        <f>O45/(O45+O46)</f>
        <v>0.25263154407111549</v>
      </c>
    </row>
    <row r="51" spans="1:37" ht="14.25">
      <c r="A51" s="969"/>
      <c r="B51" t="s">
        <v>416</v>
      </c>
      <c r="C51" s="367">
        <f>SUM(C48:C50)</f>
        <v>81076</v>
      </c>
      <c r="D51" s="368">
        <f>SUM(D48:D50)</f>
        <v>103</v>
      </c>
      <c r="E51" s="368">
        <f>SUM(E48:E50)</f>
        <v>227.93983423162001</v>
      </c>
      <c r="F51" s="368">
        <f>SUM(F48:F50)</f>
        <v>57.195702574869912</v>
      </c>
      <c r="G51" s="408">
        <f>E51+F51</f>
        <v>285.13553680648994</v>
      </c>
      <c r="H51" s="407">
        <f>G51+G47</f>
        <v>391.33267248079051</v>
      </c>
      <c r="I51" s="407">
        <f>D51+I47</f>
        <v>505</v>
      </c>
      <c r="J51" s="1023"/>
      <c r="K51" s="417">
        <f>(D51-D34)/D34</f>
        <v>4.0404040404040407E-2</v>
      </c>
      <c r="L51" s="386">
        <f t="shared" si="10"/>
        <v>8.836321486180071E-2</v>
      </c>
      <c r="N51" t="s">
        <v>413</v>
      </c>
      <c r="W51" t="s">
        <v>421</v>
      </c>
      <c r="X51" t="s">
        <v>422</v>
      </c>
      <c r="Y51" t="s">
        <v>423</v>
      </c>
      <c r="Z51" t="s">
        <v>424</v>
      </c>
    </row>
    <row r="52" spans="1:37" ht="14.25">
      <c r="A52" s="969"/>
      <c r="B52" t="s">
        <v>490</v>
      </c>
      <c r="C52" s="367">
        <v>53</v>
      </c>
      <c r="D52" s="368">
        <v>13</v>
      </c>
      <c r="E52" s="368">
        <f>D52*$R$20*$E$6/1000</f>
        <v>0.54600000000000004</v>
      </c>
      <c r="F52" s="368">
        <f>D52*(($S$20*$E$6+($T$20+$Y$19)*$F$6))/1000</f>
        <v>2.3084850750000001</v>
      </c>
      <c r="G52" s="408">
        <f>E52+F52</f>
        <v>2.8544850750000004</v>
      </c>
      <c r="H52" s="407">
        <f>H51+G52</f>
        <v>394.18715755579052</v>
      </c>
      <c r="I52" s="407"/>
      <c r="J52" s="1023"/>
      <c r="K52" s="417"/>
      <c r="L52" s="386">
        <f t="shared" si="10"/>
        <v>0</v>
      </c>
      <c r="Q52" t="s">
        <v>405</v>
      </c>
      <c r="S52" t="s">
        <v>178</v>
      </c>
      <c r="V52" t="s">
        <v>385</v>
      </c>
      <c r="W52">
        <v>27380</v>
      </c>
      <c r="X52">
        <v>46</v>
      </c>
      <c r="Y52" s="133">
        <f t="shared" ref="Y52:Y60" si="15">X52/W52</f>
        <v>1.6800584368151935E-3</v>
      </c>
      <c r="AE52" t="s">
        <v>383</v>
      </c>
    </row>
    <row r="53" spans="1:37" ht="14.25">
      <c r="A53" s="969"/>
      <c r="B53" t="s">
        <v>386</v>
      </c>
      <c r="C53" s="367">
        <v>3270</v>
      </c>
      <c r="D53" s="368">
        <v>801</v>
      </c>
      <c r="E53" s="368">
        <f>D53*$R$20*$E$6/1000</f>
        <v>33.642000000000003</v>
      </c>
      <c r="F53" s="368">
        <f>D53*(($S$20*$E$6+($T$20+$Y$20)*$F$6))/1000</f>
        <v>142.23819577500001</v>
      </c>
      <c r="G53" s="370">
        <f t="shared" ref="G53:G58" si="16">E53+F53</f>
        <v>175.880195775</v>
      </c>
      <c r="H53" s="407">
        <f>G53+G51+G50+G52</f>
        <v>504.55299044813597</v>
      </c>
      <c r="I53" s="407"/>
      <c r="J53" s="1023"/>
      <c r="K53" s="417"/>
      <c r="L53" s="386">
        <f t="shared" si="10"/>
        <v>-1.7177914110429265E-2</v>
      </c>
      <c r="O53" t="s">
        <v>406</v>
      </c>
      <c r="P53" t="s">
        <v>407</v>
      </c>
      <c r="Q53" t="s">
        <v>391</v>
      </c>
      <c r="R53" t="s">
        <v>52</v>
      </c>
      <c r="S53" t="s">
        <v>52</v>
      </c>
      <c r="T53" s="31"/>
      <c r="V53" t="s">
        <v>427</v>
      </c>
      <c r="W53">
        <v>51248</v>
      </c>
      <c r="X53">
        <v>57</v>
      </c>
      <c r="Y53" s="133">
        <f t="shared" si="15"/>
        <v>1.1122385263815174E-3</v>
      </c>
    </row>
    <row r="54" spans="1:37" ht="14.25">
      <c r="A54" s="969"/>
      <c r="B54" t="s">
        <v>389</v>
      </c>
      <c r="C54" s="367">
        <v>37169</v>
      </c>
      <c r="D54" s="368">
        <v>1867</v>
      </c>
      <c r="E54" s="368">
        <f>D54*$R$21*$E$6/1000</f>
        <v>78.414000000000001</v>
      </c>
      <c r="F54" s="368">
        <f>D54*(($S$21*$E$6+($T$21+$Y$21)*$F$6))/1000</f>
        <v>319.54589954937296</v>
      </c>
      <c r="G54" s="370">
        <f t="shared" si="16"/>
        <v>397.95989954937295</v>
      </c>
      <c r="H54" s="407">
        <f>G54+G50+G52</f>
        <v>441.49715741601898</v>
      </c>
      <c r="I54" s="407"/>
      <c r="J54" s="1023"/>
      <c r="K54" s="417"/>
      <c r="L54" s="386">
        <f t="shared" si="10"/>
        <v>-0.53626428216592148</v>
      </c>
      <c r="O54" t="s">
        <v>384</v>
      </c>
      <c r="P54">
        <v>91</v>
      </c>
      <c r="Q54" s="96">
        <v>11.14761814991517</v>
      </c>
      <c r="R54" s="96">
        <v>1.0784697573920701</v>
      </c>
      <c r="S54">
        <v>7.2979379999999996E-2</v>
      </c>
      <c r="T54" s="31">
        <f>(P54*((Q54+R54)*$Z$2+(S54)*$AB$2))/1000</f>
        <v>0</v>
      </c>
      <c r="V54" t="s">
        <v>416</v>
      </c>
      <c r="W54">
        <f>W53+W52</f>
        <v>78628</v>
      </c>
      <c r="X54">
        <f>X53+X52</f>
        <v>103</v>
      </c>
      <c r="Y54" s="133">
        <f t="shared" si="15"/>
        <v>1.3099659154499669E-3</v>
      </c>
      <c r="Z54">
        <v>80895</v>
      </c>
      <c r="AA54">
        <f>$Y54*Z54</f>
        <v>105.96969273032506</v>
      </c>
      <c r="AB54" t="e">
        <f>#REF!</f>
        <v>#REF!</v>
      </c>
      <c r="AC54" t="e">
        <f>$Y54*AB54</f>
        <v>#REF!</v>
      </c>
      <c r="AG54" t="s">
        <v>177</v>
      </c>
      <c r="AH54" t="s">
        <v>178</v>
      </c>
      <c r="AI54" t="s">
        <v>390</v>
      </c>
    </row>
    <row r="55" spans="1:37" ht="14.25">
      <c r="A55" s="969"/>
      <c r="B55" t="s">
        <v>417</v>
      </c>
      <c r="C55" s="367">
        <f>SUM(C52:C54)</f>
        <v>40492</v>
      </c>
      <c r="D55" s="368">
        <f>SUM(D52:D54)</f>
        <v>2681</v>
      </c>
      <c r="E55" s="368">
        <f>SUM(E52:E54)</f>
        <v>112.602</v>
      </c>
      <c r="F55" s="368">
        <f>SUM(F52:F54)</f>
        <v>464.09258039937299</v>
      </c>
      <c r="G55" s="370">
        <f t="shared" si="16"/>
        <v>576.69458039937297</v>
      </c>
      <c r="H55" s="407">
        <f>G55</f>
        <v>576.69458039937297</v>
      </c>
      <c r="I55" s="407">
        <f>D55+I51</f>
        <v>3186</v>
      </c>
      <c r="J55" s="1023"/>
      <c r="K55" s="417">
        <f>(D55-D38)/D38</f>
        <v>-0.44767202307375359</v>
      </c>
      <c r="L55" s="386">
        <f t="shared" si="10"/>
        <v>-0.44546983762506326</v>
      </c>
      <c r="O55" t="s">
        <v>387</v>
      </c>
      <c r="P55">
        <v>5</v>
      </c>
      <c r="Q55" s="96">
        <v>11.945009918068131</v>
      </c>
      <c r="R55" s="96">
        <v>1.1556129322983999</v>
      </c>
      <c r="S55">
        <v>0.11514180857179999</v>
      </c>
      <c r="T55" s="31">
        <f>(P55*((Q55+R55)*$Z$2+(S55)*$AB$2))/1000</f>
        <v>0</v>
      </c>
      <c r="V55" t="s">
        <v>428</v>
      </c>
      <c r="W55">
        <v>480656</v>
      </c>
      <c r="X55">
        <v>328</v>
      </c>
      <c r="Y55" s="133">
        <f t="shared" si="15"/>
        <v>6.8240071901734295E-4</v>
      </c>
      <c r="Z55">
        <v>415619</v>
      </c>
      <c r="AA55">
        <f>$Y55*Z55</f>
        <v>283.61870443726906</v>
      </c>
      <c r="AB55" t="e">
        <f>#REF!</f>
        <v>#REF!</v>
      </c>
      <c r="AC55" t="e">
        <f>$Y55*AB55</f>
        <v>#REF!</v>
      </c>
      <c r="AE55" t="s">
        <v>395</v>
      </c>
      <c r="AG55">
        <v>1.1299999999999999</v>
      </c>
      <c r="AH55">
        <v>4.7000000000000002E-3</v>
      </c>
      <c r="AI55">
        <f>AG55*Z2+AH55*AB2</f>
        <v>0</v>
      </c>
    </row>
    <row r="56" spans="1:37" ht="14.25">
      <c r="A56" s="969"/>
      <c r="B56" t="s">
        <v>412</v>
      </c>
      <c r="C56" s="367">
        <v>53453</v>
      </c>
      <c r="D56" s="368">
        <v>473</v>
      </c>
      <c r="E56" s="368">
        <f>D56*$R$23*$E$6/1000</f>
        <v>238.39201900088946</v>
      </c>
      <c r="F56" s="368">
        <f>D56*(($S$23*$E$6+($T$23+$Y$23)*$F$6))/1000</f>
        <v>25.375408842199885</v>
      </c>
      <c r="G56" s="370">
        <f t="shared" si="16"/>
        <v>263.76742784308937</v>
      </c>
      <c r="H56" s="407">
        <f>G55+G56</f>
        <v>840.46200824246239</v>
      </c>
      <c r="I56" s="407">
        <f>I55+D56</f>
        <v>3659</v>
      </c>
      <c r="J56" s="1023"/>
      <c r="K56" s="417">
        <f>(D56-D39)/D39</f>
        <v>-0.31149927219796214</v>
      </c>
      <c r="L56" s="386">
        <f t="shared" si="10"/>
        <v>-0.31149927219796208</v>
      </c>
      <c r="O56" t="s">
        <v>393</v>
      </c>
      <c r="P56">
        <v>20</v>
      </c>
      <c r="Q56" s="96">
        <v>9.4492087765085397</v>
      </c>
      <c r="R56" s="96">
        <v>0.91415808731918002</v>
      </c>
      <c r="S56">
        <v>3.2046688928510002E-2</v>
      </c>
      <c r="T56" s="31">
        <f>(P56*((Q56+R56)*$Z$2+(S56)*$AB$2))/1000</f>
        <v>0</v>
      </c>
      <c r="Y56" s="133"/>
      <c r="AE56" t="s">
        <v>398</v>
      </c>
      <c r="AG56">
        <v>0.74</v>
      </c>
      <c r="AH56">
        <v>2.8E-3</v>
      </c>
    </row>
    <row r="57" spans="1:37" ht="14.25">
      <c r="A57" s="969"/>
      <c r="B57" t="s">
        <v>419</v>
      </c>
      <c r="C57" s="367">
        <v>1493</v>
      </c>
      <c r="D57" s="368">
        <v>36</v>
      </c>
      <c r="E57" s="368">
        <f>D57*$R$24*$E$6/1000</f>
        <v>5.04</v>
      </c>
      <c r="F57" s="368">
        <f>D57*(($S$24*$E$6+($T$24+$Y$24)*$F$6))/1000</f>
        <v>1.5431143510584002</v>
      </c>
      <c r="G57" s="370">
        <f t="shared" si="16"/>
        <v>6.5831143510584003</v>
      </c>
      <c r="H57" s="407">
        <f>SUM(G55:G57)</f>
        <v>847.04512259352077</v>
      </c>
      <c r="I57" s="407">
        <f>D57+I56</f>
        <v>3695</v>
      </c>
      <c r="J57" s="1023"/>
      <c r="K57" s="417">
        <f>(D57-D40)/D40</f>
        <v>0.2</v>
      </c>
      <c r="L57" s="386">
        <f t="shared" si="10"/>
        <v>0.20000000000000007</v>
      </c>
      <c r="O57" t="s">
        <v>397</v>
      </c>
      <c r="P57">
        <v>173</v>
      </c>
      <c r="Q57" s="96">
        <v>4.6737698718801299</v>
      </c>
      <c r="R57" s="96">
        <v>9.9161767965600001E-2</v>
      </c>
      <c r="T57" s="31">
        <f>(P57*((Q57+R57)*$Z$2+(S57)*$AB$2))/1000</f>
        <v>0</v>
      </c>
      <c r="V57" t="s">
        <v>429</v>
      </c>
      <c r="W57">
        <v>72626</v>
      </c>
      <c r="X57">
        <v>2879</v>
      </c>
      <c r="Y57" s="133">
        <f t="shared" si="15"/>
        <v>3.9641450720127779E-2</v>
      </c>
      <c r="Z57">
        <v>71500</v>
      </c>
      <c r="AA57">
        <f>$Y57*Z57</f>
        <v>2834.3637264891363</v>
      </c>
      <c r="AB57" t="e">
        <f>#REF!</f>
        <v>#REF!</v>
      </c>
      <c r="AC57" t="e">
        <f>$Y57*AB57</f>
        <v>#REF!</v>
      </c>
      <c r="AE57" t="s">
        <v>401</v>
      </c>
      <c r="AG57">
        <v>0.28999999999999998</v>
      </c>
      <c r="AH57">
        <v>1.4E-3</v>
      </c>
      <c r="AK57" t="s">
        <v>418</v>
      </c>
    </row>
    <row r="58" spans="1:37" ht="15" thickBot="1">
      <c r="A58" s="1022"/>
      <c r="B58" t="s">
        <v>420</v>
      </c>
      <c r="C58" s="375">
        <v>942993</v>
      </c>
      <c r="D58" s="376">
        <v>74042</v>
      </c>
      <c r="E58" s="368">
        <f>D58*$R$25*$E$6/1000</f>
        <v>41.463495121888002</v>
      </c>
      <c r="F58" s="368">
        <f>D58*(($S$25*$E$6+($T$25+$Y$25)*$F$6))/1000</f>
        <v>411.78319972754974</v>
      </c>
      <c r="G58" s="411">
        <f t="shared" si="16"/>
        <v>453.24669484943774</v>
      </c>
      <c r="H58" s="407">
        <f>SUM(G55:G58)+G51+G47</f>
        <v>1691.624489923749</v>
      </c>
      <c r="I58" s="407">
        <f>I57+D58</f>
        <v>77737</v>
      </c>
      <c r="J58" s="1023"/>
      <c r="K58" s="417">
        <f>(D58-D41)/D41</f>
        <v>8.8244804374026278E-2</v>
      </c>
      <c r="L58" s="386">
        <f t="shared" si="10"/>
        <v>8.8244804374026195E-2</v>
      </c>
      <c r="O58" t="s">
        <v>400</v>
      </c>
      <c r="P58">
        <v>289</v>
      </c>
      <c r="Q58" s="96"/>
      <c r="T58" s="31">
        <f>SUM(T54:T57)</f>
        <v>0</v>
      </c>
      <c r="V58" t="s">
        <v>419</v>
      </c>
      <c r="W58">
        <v>990</v>
      </c>
      <c r="X58">
        <v>31</v>
      </c>
      <c r="Y58" s="133">
        <f t="shared" si="15"/>
        <v>3.1313131313131314E-2</v>
      </c>
      <c r="Z58">
        <v>1471</v>
      </c>
      <c r="AA58">
        <f>$Y58*Z58</f>
        <v>46.061616161616165</v>
      </c>
      <c r="AB58">
        <v>2177</v>
      </c>
      <c r="AC58">
        <f>$Y58*AB58</f>
        <v>68.168686868686876</v>
      </c>
      <c r="AE58" t="s">
        <v>403</v>
      </c>
      <c r="AG58">
        <v>0.09</v>
      </c>
      <c r="AH58">
        <v>5.0000000000000001E-4</v>
      </c>
    </row>
    <row r="59" spans="1:37" ht="15" thickBot="1">
      <c r="A59" s="379" t="s">
        <v>21</v>
      </c>
      <c r="B59" s="380">
        <f>A43</f>
        <v>2018</v>
      </c>
      <c r="C59" s="381">
        <f>SUM(C55:C58)</f>
        <v>1038431</v>
      </c>
      <c r="D59" s="381"/>
      <c r="E59" s="412">
        <f>SUM(E55:E58)+E51+E47</f>
        <v>717.56472284678648</v>
      </c>
      <c r="F59" s="412">
        <f>SUM(F55:F58)+F51+F47</f>
        <v>974.05976707696254</v>
      </c>
      <c r="G59" s="382">
        <f>E59+F59</f>
        <v>1691.624489923749</v>
      </c>
      <c r="H59" s="382">
        <f>H58</f>
        <v>1691.624489923749</v>
      </c>
      <c r="I59" s="382">
        <f>SUM(I55:I58)</f>
        <v>88277</v>
      </c>
      <c r="J59" s="1024"/>
      <c r="K59" s="397">
        <f>(I59-I42)/I42</f>
        <v>-4.0540393665699351E-2</v>
      </c>
      <c r="L59" s="398">
        <f>(G59-G42)/G42</f>
        <v>-0.24664004469828402</v>
      </c>
      <c r="O59" t="s">
        <v>412</v>
      </c>
      <c r="P59">
        <v>861</v>
      </c>
      <c r="Q59" s="96">
        <v>18.00000143467906</v>
      </c>
      <c r="R59">
        <v>1.0900001434679101</v>
      </c>
      <c r="S59">
        <v>3.0389120972139999E-2</v>
      </c>
      <c r="T59" s="31">
        <f>(P59*((Q59+R59)*$Z$2+(S59)*$AB$2))/1000</f>
        <v>0</v>
      </c>
      <c r="V59" t="s">
        <v>430</v>
      </c>
      <c r="W59">
        <v>3550</v>
      </c>
      <c r="X59">
        <v>793</v>
      </c>
      <c r="Y59" s="133">
        <f t="shared" si="15"/>
        <v>0.22338028169014085</v>
      </c>
      <c r="Z59">
        <v>10929</v>
      </c>
      <c r="AA59">
        <f>$Y59*Z59</f>
        <v>2441.3230985915493</v>
      </c>
      <c r="AB59">
        <v>40278</v>
      </c>
      <c r="AC59">
        <f>$Y59*AB59</f>
        <v>8997.3109859154938</v>
      </c>
    </row>
    <row r="60" spans="1:37" ht="14.25" customHeight="1">
      <c r="A60" s="969">
        <v>2019</v>
      </c>
      <c r="B60" t="s">
        <v>384</v>
      </c>
      <c r="C60" s="359">
        <v>327993</v>
      </c>
      <c r="D60" s="360">
        <v>93</v>
      </c>
      <c r="E60" s="360">
        <f>D60*$R$10*$E$6/1000</f>
        <v>29.028397662379103</v>
      </c>
      <c r="F60" s="360">
        <f>D60*(($S$10*$E$6+($T$10+$Y$10)*$F$6))/1000</f>
        <v>5.5599042592708257</v>
      </c>
      <c r="G60" s="362">
        <f>E60+F60</f>
        <v>34.588301921649929</v>
      </c>
      <c r="H60" s="406">
        <f>G60</f>
        <v>34.588301921649929</v>
      </c>
      <c r="I60" s="406"/>
      <c r="J60" s="1023" t="str">
        <f>"Milli áranna "&amp; $A43 &amp;" og "&amp; $A60</f>
        <v>Milli áranna 2018 og 2019</v>
      </c>
      <c r="K60" s="416"/>
      <c r="L60" s="386">
        <f>(G60-G43)/G43</f>
        <v>-0.41139240506329117</v>
      </c>
      <c r="Q60" s="31"/>
      <c r="V60" t="s">
        <v>431</v>
      </c>
      <c r="W60">
        <v>238000</v>
      </c>
      <c r="X60">
        <v>53038</v>
      </c>
      <c r="Y60" s="133">
        <f t="shared" si="15"/>
        <v>0.22284873949579831</v>
      </c>
      <c r="Z60">
        <f>205121+61974</f>
        <v>267095</v>
      </c>
      <c r="AA60">
        <f>$Y60*Z60</f>
        <v>59521.784075630247</v>
      </c>
      <c r="AB60">
        <f>P60</f>
        <v>0</v>
      </c>
      <c r="AC60">
        <f>$Y60*AB60</f>
        <v>0</v>
      </c>
    </row>
    <row r="61" spans="1:37" ht="14.25">
      <c r="A61" s="969"/>
      <c r="B61" t="s">
        <v>387</v>
      </c>
      <c r="C61" s="367">
        <v>10944</v>
      </c>
      <c r="D61" s="368">
        <v>11</v>
      </c>
      <c r="E61" s="368">
        <f>D61*$R$11*$E$6/1000</f>
        <v>3.6790630547649839</v>
      </c>
      <c r="F61" s="368">
        <f>D61*(($S$11*$E$6+($T$11+$Y$11)*$F$6))/1000</f>
        <v>0.85631104918157919</v>
      </c>
      <c r="G61" s="370">
        <f>E61+F61</f>
        <v>4.5353741039465634</v>
      </c>
      <c r="H61" s="407">
        <f>G61+G60</f>
        <v>39.123676025596495</v>
      </c>
      <c r="I61" s="407"/>
      <c r="J61" s="1023"/>
      <c r="K61" s="417"/>
      <c r="L61" s="386">
        <f t="shared" ref="L61:L75" si="17">(G61-G44)/G44</f>
        <v>-0.31249999999999989</v>
      </c>
    </row>
    <row r="62" spans="1:37" ht="14.25">
      <c r="A62" s="969"/>
      <c r="B62" t="s">
        <v>393</v>
      </c>
      <c r="C62" s="367">
        <f>76610</f>
        <v>76610</v>
      </c>
      <c r="D62" s="368">
        <f>34</f>
        <v>34</v>
      </c>
      <c r="E62" s="368">
        <f>D62*$R$12*$E$6/1000</f>
        <v>8.9956467552361286</v>
      </c>
      <c r="F62" s="368">
        <f>D62*(($S$12*$E$6+($T$12+$Y$12)*$F$6))/1000</f>
        <v>1.3513123427155596</v>
      </c>
      <c r="G62" s="370">
        <f>E62+F62</f>
        <v>10.346959097951688</v>
      </c>
      <c r="H62" s="407">
        <f>G62+G61+G60</f>
        <v>49.470635123548178</v>
      </c>
      <c r="I62" s="407"/>
      <c r="J62" s="1023"/>
      <c r="K62" s="417"/>
      <c r="L62" s="386">
        <f t="shared" si="17"/>
        <v>-0.40350877192982465</v>
      </c>
    </row>
    <row r="63" spans="1:37" ht="14.25">
      <c r="A63" s="969"/>
      <c r="B63" t="s">
        <v>397</v>
      </c>
      <c r="C63" s="367">
        <f>76610*3</f>
        <v>229830</v>
      </c>
      <c r="D63" s="368">
        <f>34*3</f>
        <v>102</v>
      </c>
      <c r="E63" s="368">
        <f>D63*$R$13*$E$6/1000</f>
        <v>13.348286754089651</v>
      </c>
      <c r="F63" s="368">
        <f>D63*(($S$13*$E$6+($T$13+$Y$13)*$F$6))/1000</f>
        <v>0.66384915923475352</v>
      </c>
      <c r="G63" s="370">
        <f t="shared" ref="G63" si="18">E63+F63</f>
        <v>14.012135913324405</v>
      </c>
      <c r="H63" s="407">
        <f>SUM(G60:G63)</f>
        <v>63.482771036872592</v>
      </c>
      <c r="I63" s="407"/>
      <c r="J63" s="1023"/>
      <c r="K63" s="417"/>
      <c r="L63" s="386">
        <f t="shared" si="17"/>
        <v>-0.40350877192982448</v>
      </c>
    </row>
    <row r="64" spans="1:37" ht="14.25">
      <c r="A64" s="969"/>
      <c r="B64" t="s">
        <v>400</v>
      </c>
      <c r="C64" s="367">
        <f>SUM(C60:C63)</f>
        <v>645377</v>
      </c>
      <c r="D64" s="368">
        <f>SUM(D60:D63)</f>
        <v>240</v>
      </c>
      <c r="E64" s="368">
        <f t="shared" ref="E64" si="19">SUM(E60:E63)</f>
        <v>55.051394226469867</v>
      </c>
      <c r="F64" s="368">
        <f t="shared" ref="F64" si="20">SUM(F60:F63)</f>
        <v>8.4313768104027194</v>
      </c>
      <c r="G64" s="370">
        <f>E64+F64</f>
        <v>63.482771036872585</v>
      </c>
      <c r="H64" s="407">
        <f>G64</f>
        <v>63.482771036872585</v>
      </c>
      <c r="I64" s="407">
        <f>D64</f>
        <v>240</v>
      </c>
      <c r="J64" s="1023"/>
      <c r="K64" s="417">
        <f>(D64-D47)/D47</f>
        <v>-0.40298507462686567</v>
      </c>
      <c r="L64" s="386">
        <f t="shared" si="17"/>
        <v>-0.40221767156159516</v>
      </c>
    </row>
    <row r="65" spans="1:16" ht="14.25">
      <c r="A65" s="969"/>
      <c r="B65" t="s">
        <v>491</v>
      </c>
      <c r="C65" s="367">
        <v>26214</v>
      </c>
      <c r="D65" s="368">
        <v>53</v>
      </c>
      <c r="E65" s="368">
        <f>D65*$R$15*$E$6/1000</f>
        <v>162.00159458000002</v>
      </c>
      <c r="F65" s="368">
        <f>D65*(($S$15*$E$6+($T$15+$Y$15)*$F$6))/1000</f>
        <v>48.676337348245845</v>
      </c>
      <c r="G65" s="370">
        <f t="shared" ref="G65:G67" si="21">E65+F65</f>
        <v>210.67793192824587</v>
      </c>
      <c r="H65" s="407">
        <f>G65+G64</f>
        <v>274.16070296511845</v>
      </c>
      <c r="I65" s="407"/>
      <c r="J65" s="1023"/>
      <c r="K65" s="417"/>
      <c r="L65" s="386">
        <f t="shared" si="17"/>
        <v>6.0000000000000012E-2</v>
      </c>
    </row>
    <row r="66" spans="1:16" ht="14.25">
      <c r="A66" s="969"/>
      <c r="B66" t="s">
        <v>492</v>
      </c>
      <c r="C66" s="367">
        <v>23468</v>
      </c>
      <c r="D66" s="368">
        <v>11</v>
      </c>
      <c r="E66" s="368">
        <f>D66*$R$16*$E$6/1000</f>
        <v>22.71658666662</v>
      </c>
      <c r="F66" s="368">
        <f>D66*(($S$16*$E$6+($T$16+$Y$16)*$F$6))/1000</f>
        <v>1.2215075473231838</v>
      </c>
      <c r="G66" s="370">
        <f t="shared" si="21"/>
        <v>23.938094213943184</v>
      </c>
      <c r="H66" s="407">
        <f>G66+G65+G64</f>
        <v>298.09879717906165</v>
      </c>
      <c r="I66" s="407"/>
      <c r="J66" s="1023"/>
      <c r="K66" s="417"/>
      <c r="L66" s="386">
        <f t="shared" si="17"/>
        <v>-0.47619047619047611</v>
      </c>
    </row>
    <row r="67" spans="1:16" ht="14.25">
      <c r="A67" s="969"/>
      <c r="B67" t="s">
        <v>394</v>
      </c>
      <c r="C67" s="367">
        <v>31616</v>
      </c>
      <c r="D67" s="368">
        <v>42</v>
      </c>
      <c r="E67" s="368">
        <f>D67*$R$17*$E$6/1000</f>
        <v>41.658897184799997</v>
      </c>
      <c r="F67" s="368">
        <f>D67*(($S$17*$E$6+($T$17+$Y$17)*$F$6))/1000</f>
        <v>11.737242104235438</v>
      </c>
      <c r="G67" s="408">
        <f t="shared" si="21"/>
        <v>53.396139289035432</v>
      </c>
      <c r="H67" s="407">
        <f>G67+G66+G65+G64</f>
        <v>351.49493646809708</v>
      </c>
      <c r="I67" s="407"/>
      <c r="J67" s="1023"/>
      <c r="K67" s="417"/>
      <c r="L67" s="386">
        <f t="shared" si="17"/>
        <v>0.31249999999999994</v>
      </c>
    </row>
    <row r="68" spans="1:16" ht="14.25">
      <c r="A68" s="969"/>
      <c r="B68" t="s">
        <v>416</v>
      </c>
      <c r="C68" s="367">
        <f>SUM(C65:C67)</f>
        <v>81298</v>
      </c>
      <c r="D68" s="368">
        <f>SUM(D65:D67)</f>
        <v>106</v>
      </c>
      <c r="E68" s="368">
        <f>SUM(E65:E67)</f>
        <v>226.37707843142002</v>
      </c>
      <c r="F68" s="368">
        <f>SUM(F65:F67)</f>
        <v>61.635086999804471</v>
      </c>
      <c r="G68" s="408">
        <f>E68+F68</f>
        <v>288.0121654312245</v>
      </c>
      <c r="H68" s="407">
        <f>G68+G64</f>
        <v>351.49493646809708</v>
      </c>
      <c r="I68" s="407">
        <f>D68+I64</f>
        <v>346</v>
      </c>
      <c r="J68" s="1023"/>
      <c r="K68" s="417">
        <f>(D68-D51)/D51</f>
        <v>2.9126213592233011E-2</v>
      </c>
      <c r="L68" s="386">
        <f t="shared" si="17"/>
        <v>1.0088635941183359E-2</v>
      </c>
    </row>
    <row r="69" spans="1:16" ht="14.25">
      <c r="A69" s="969"/>
      <c r="B69" t="s">
        <v>490</v>
      </c>
      <c r="C69" s="367">
        <v>44</v>
      </c>
      <c r="D69" s="368">
        <v>10</v>
      </c>
      <c r="E69" s="368">
        <f>D69*$R$20*$E$6/1000</f>
        <v>0.42</v>
      </c>
      <c r="F69" s="368">
        <f>D69*(($S$20*$E$6+($T$20+$Y$19)*$F$6))/1000</f>
        <v>1.7757577499999999</v>
      </c>
      <c r="G69" s="408">
        <f>E69+F69</f>
        <v>2.1957577499999998</v>
      </c>
      <c r="H69" s="407">
        <f>H68+G69</f>
        <v>353.69069421809706</v>
      </c>
      <c r="I69" s="407"/>
      <c r="J69" s="1023"/>
      <c r="K69" s="417"/>
      <c r="L69" s="386">
        <f t="shared" si="17"/>
        <v>-0.23076923076923092</v>
      </c>
    </row>
    <row r="70" spans="1:16" ht="14.25">
      <c r="A70" s="969"/>
      <c r="B70" t="s">
        <v>386</v>
      </c>
      <c r="C70" s="367">
        <v>3111</v>
      </c>
      <c r="D70" s="368">
        <v>801</v>
      </c>
      <c r="E70" s="368">
        <f>D70*$R$20*$E$6/1000</f>
        <v>33.642000000000003</v>
      </c>
      <c r="F70" s="368">
        <f>D70*(($S$20*$E$6+($T$20+$Y$20)*$F$6))/1000</f>
        <v>142.23819577500001</v>
      </c>
      <c r="G70" s="370">
        <f t="shared" ref="G70:G75" si="22">E70+F70</f>
        <v>175.880195775</v>
      </c>
      <c r="H70" s="407">
        <f>G70+G68+G67+G69</f>
        <v>519.48425824525998</v>
      </c>
      <c r="I70" s="407"/>
      <c r="J70" s="1023"/>
      <c r="K70" s="417"/>
      <c r="L70" s="386">
        <f t="shared" si="17"/>
        <v>0</v>
      </c>
    </row>
    <row r="71" spans="1:16" ht="14.25">
      <c r="A71" s="969"/>
      <c r="B71" t="s">
        <v>389</v>
      </c>
      <c r="C71" s="367">
        <v>31791</v>
      </c>
      <c r="D71" s="368">
        <v>2350</v>
      </c>
      <c r="E71" s="368">
        <f>D71*$R$21*$E$6/1000</f>
        <v>98.7</v>
      </c>
      <c r="F71" s="368">
        <f>D71*(($S$21*$E$6+($T$21+$Y$21)*$F$6))/1000</f>
        <v>402.21363896144959</v>
      </c>
      <c r="G71" s="370">
        <f t="shared" si="22"/>
        <v>500.91363896144958</v>
      </c>
      <c r="H71" s="407">
        <f>G71+G67+G69</f>
        <v>556.50553600048499</v>
      </c>
      <c r="I71" s="407"/>
      <c r="J71" s="1023"/>
      <c r="K71" s="417"/>
      <c r="L71" s="386">
        <f t="shared" si="17"/>
        <v>0.25870380289234057</v>
      </c>
    </row>
    <row r="72" spans="1:16" ht="14.25">
      <c r="A72" s="969"/>
      <c r="B72" t="s">
        <v>417</v>
      </c>
      <c r="C72" s="367">
        <f>SUM(C69:C71)</f>
        <v>34946</v>
      </c>
      <c r="D72" s="368">
        <f>SUM(D69:D71)</f>
        <v>3161</v>
      </c>
      <c r="E72" s="368">
        <f>SUM(E69:E71)</f>
        <v>132.762</v>
      </c>
      <c r="F72" s="368">
        <f>SUM(F69:F71)</f>
        <v>546.22759248644957</v>
      </c>
      <c r="G72" s="370">
        <f t="shared" si="22"/>
        <v>678.98959248644951</v>
      </c>
      <c r="H72" s="407">
        <f>G72</f>
        <v>678.98959248644951</v>
      </c>
      <c r="I72" s="407">
        <f>D72+I68</f>
        <v>3507</v>
      </c>
      <c r="J72" s="1023"/>
      <c r="K72" s="417">
        <f>(D72-D55)/D55</f>
        <v>0.17903767251025737</v>
      </c>
      <c r="L72" s="386">
        <f t="shared" si="17"/>
        <v>0.17738160815770998</v>
      </c>
    </row>
    <row r="73" spans="1:16" ht="14.25">
      <c r="A73" s="969"/>
      <c r="B73" t="s">
        <v>412</v>
      </c>
      <c r="C73" s="367">
        <v>55230</v>
      </c>
      <c r="D73" s="368">
        <v>414</v>
      </c>
      <c r="E73" s="368">
        <f>D73*$R$23*$E$6/1000</f>
        <v>208.65601663079968</v>
      </c>
      <c r="F73" s="368">
        <f>D73*(($S$23*$E$6+($T$23+$Y$23)*$F$6))/1000</f>
        <v>22.210188711777491</v>
      </c>
      <c r="G73" s="370">
        <f t="shared" si="22"/>
        <v>230.86620534257719</v>
      </c>
      <c r="H73" s="407">
        <f>G72+G73</f>
        <v>909.85579782902664</v>
      </c>
      <c r="I73" s="407">
        <f>I72+D73</f>
        <v>3921</v>
      </c>
      <c r="J73" s="1023"/>
      <c r="K73" s="417">
        <f>(D73-D56)/D56</f>
        <v>-0.12473572938689217</v>
      </c>
      <c r="L73" s="386">
        <f t="shared" si="17"/>
        <v>-0.12473572938689208</v>
      </c>
    </row>
    <row r="74" spans="1:16" ht="23">
      <c r="A74" s="969"/>
      <c r="B74" t="s">
        <v>419</v>
      </c>
      <c r="C74" s="367">
        <v>1471</v>
      </c>
      <c r="D74" s="368">
        <v>8</v>
      </c>
      <c r="E74" s="368">
        <f>D74*$R$24*$E$6/1000</f>
        <v>1.1200000000000001</v>
      </c>
      <c r="F74" s="368">
        <f>D74*(($S$24*$E$6+($T$24+$Y$24)*$F$6))/1000</f>
        <v>0.34291430023520003</v>
      </c>
      <c r="G74" s="370">
        <f t="shared" si="22"/>
        <v>1.4629143002352001</v>
      </c>
      <c r="H74" s="407">
        <f>SUM(G72:G74)</f>
        <v>911.31871212926183</v>
      </c>
      <c r="I74" s="407">
        <f>D74+I73</f>
        <v>3929</v>
      </c>
      <c r="J74" s="1023"/>
      <c r="K74" s="417">
        <f>(D74-D57)/D57</f>
        <v>-0.77777777777777779</v>
      </c>
      <c r="L74" s="386">
        <f t="shared" si="17"/>
        <v>-0.77777777777777779</v>
      </c>
      <c r="O74" s="704" t="s">
        <v>111</v>
      </c>
    </row>
    <row r="75" spans="1:16" ht="15" thickBot="1">
      <c r="A75" s="1022"/>
      <c r="B75" t="s">
        <v>420</v>
      </c>
      <c r="C75" s="375">
        <v>970847</v>
      </c>
      <c r="D75" s="376">
        <v>73053</v>
      </c>
      <c r="E75" s="368">
        <f>D75*$R$25*$E$6/1000</f>
        <v>40.909655454191999</v>
      </c>
      <c r="F75" s="368">
        <f>D75*(($S$25*$E$6+($T$25+$Y$25)*$F$6))/1000</f>
        <v>406.28289470431224</v>
      </c>
      <c r="G75" s="411">
        <f t="shared" si="22"/>
        <v>447.19255015850422</v>
      </c>
      <c r="H75" s="407">
        <f>SUM(G72:G75)+G68+G64</f>
        <v>1710.0061987558631</v>
      </c>
      <c r="I75" s="407">
        <f>I74+D75</f>
        <v>76982</v>
      </c>
      <c r="J75" s="1023"/>
      <c r="K75" s="417">
        <f>(D75-D58)/D58</f>
        <v>-1.3357283703843764E-2</v>
      </c>
      <c r="L75" s="386">
        <f t="shared" si="17"/>
        <v>-1.3357283703843949E-2</v>
      </c>
    </row>
    <row r="76" spans="1:16" ht="15.25" thickBot="1">
      <c r="A76" s="379" t="s">
        <v>21</v>
      </c>
      <c r="B76" s="380">
        <f>A60</f>
        <v>2019</v>
      </c>
      <c r="C76" s="381">
        <f>SUM(C72:C75)</f>
        <v>1062494</v>
      </c>
      <c r="D76" s="381"/>
      <c r="E76" s="412">
        <f>SUM(E72:E75)+E68+E64</f>
        <v>664.87614474288148</v>
      </c>
      <c r="F76" s="412">
        <f>SUM(F72:F75)+F68+F64</f>
        <v>1045.1300540129819</v>
      </c>
      <c r="G76" s="382">
        <f>E76+F76</f>
        <v>1710.0061987558634</v>
      </c>
      <c r="H76" s="382">
        <f>H75</f>
        <v>1710.0061987558631</v>
      </c>
      <c r="I76" s="382">
        <f>SUM(I72:I75)</f>
        <v>88339</v>
      </c>
      <c r="J76" s="1024"/>
      <c r="K76" s="397">
        <f>(I76-I59)/I59</f>
        <v>7.0233469646680338E-4</v>
      </c>
      <c r="L76" s="398">
        <f>(G76-G59)/G59</f>
        <v>1.0866305697042075E-2</v>
      </c>
      <c r="P76" s="48" t="s">
        <v>103</v>
      </c>
    </row>
    <row r="77" spans="1:16" ht="14.25" customHeight="1">
      <c r="A77" s="969">
        <v>2020</v>
      </c>
      <c r="B77" t="s">
        <v>384</v>
      </c>
      <c r="C77" s="359">
        <v>315791</v>
      </c>
      <c r="D77" s="360">
        <v>139</v>
      </c>
      <c r="E77" s="360">
        <f>D77*$R$10*$E$6/1000</f>
        <v>43.386529839469837</v>
      </c>
      <c r="F77" s="360">
        <f>D77*(($S$10*$E$6+($T$10+$Y$10)*$F$6))/1000</f>
        <v>8.3099644305230616</v>
      </c>
      <c r="G77" s="767">
        <f>E77+F77</f>
        <v>51.696494269992897</v>
      </c>
      <c r="H77" s="406">
        <f>G77</f>
        <v>51.696494269992897</v>
      </c>
      <c r="I77" s="406"/>
      <c r="J77" s="1023" t="str">
        <f>"Milli áranna "&amp; $A60 &amp;" og "&amp; $A77</f>
        <v>Milli áranna 2019 og 2020</v>
      </c>
      <c r="K77" s="416"/>
      <c r="L77" s="386">
        <f>(G77-G60)/G60</f>
        <v>0.49462365591397828</v>
      </c>
      <c r="O77" t="s">
        <v>425</v>
      </c>
      <c r="P77">
        <v>56009</v>
      </c>
    </row>
    <row r="78" spans="1:16" ht="14.25">
      <c r="A78" s="969"/>
      <c r="B78" t="s">
        <v>387</v>
      </c>
      <c r="C78" s="367">
        <v>11002</v>
      </c>
      <c r="D78" s="368">
        <v>16</v>
      </c>
      <c r="E78" s="368">
        <f>D78*$R$11*$E$6/1000</f>
        <v>5.3513644432945222</v>
      </c>
      <c r="F78" s="368">
        <f>D78*(($S$11*$E$6+($T$11+$Y$11)*$F$6))/1000</f>
        <v>1.2455433442641151</v>
      </c>
      <c r="G78" s="768">
        <f>E78+F78</f>
        <v>6.5969077875586368</v>
      </c>
      <c r="H78" s="407">
        <f>G78+G77</f>
        <v>58.293402057551532</v>
      </c>
      <c r="I78" s="407"/>
      <c r="J78" s="1023"/>
      <c r="K78" s="417"/>
      <c r="L78" s="386">
        <f t="shared" ref="L78:L92" si="23">(G78-G61)/G61</f>
        <v>0.45454545454545436</v>
      </c>
      <c r="O78" t="s">
        <v>426</v>
      </c>
      <c r="P78">
        <v>10587</v>
      </c>
    </row>
    <row r="79" spans="1:16" ht="14.5">
      <c r="A79" s="969"/>
      <c r="B79" t="s">
        <v>393</v>
      </c>
      <c r="C79" s="367">
        <f>75108</f>
        <v>75108</v>
      </c>
      <c r="D79" s="368">
        <f>65</f>
        <v>65</v>
      </c>
      <c r="E79" s="368">
        <f>D79*$R$12*$E$6/1000</f>
        <v>17.197559973245543</v>
      </c>
      <c r="F79" s="368">
        <f>D79*(($S$12*$E$6+($T$12+$Y$12)*$F$6))/1000</f>
        <v>2.5833912434268052</v>
      </c>
      <c r="G79" s="768">
        <f>E79+F79</f>
        <v>19.780951216672349</v>
      </c>
      <c r="H79" s="407">
        <f>G79+G78+G77</f>
        <v>78.074353274223881</v>
      </c>
      <c r="I79" s="407"/>
      <c r="J79" s="1023"/>
      <c r="K79" s="417"/>
      <c r="L79" s="386">
        <f t="shared" si="23"/>
        <v>0.91176470588235348</v>
      </c>
      <c r="O79" s="49" t="s">
        <v>21</v>
      </c>
      <c r="P79" s="49">
        <f>P77-P78</f>
        <v>45422</v>
      </c>
    </row>
    <row r="80" spans="1:16" ht="14.25">
      <c r="A80" s="969"/>
      <c r="B80" t="s">
        <v>397</v>
      </c>
      <c r="C80" s="367">
        <f>75108*3</f>
        <v>225324</v>
      </c>
      <c r="D80" s="368">
        <f>65*3</f>
        <v>195</v>
      </c>
      <c r="E80" s="368">
        <f>D80*$R$13*$E$6/1000</f>
        <v>25.51878350046551</v>
      </c>
      <c r="F80" s="368">
        <f>D80*(($S$13*$E$6+($T$13+$Y$13)*$F$6))/1000</f>
        <v>1.2691233926546759</v>
      </c>
      <c r="G80" s="768">
        <f t="shared" ref="G80" si="24">E80+F80</f>
        <v>26.787906893120187</v>
      </c>
      <c r="H80" s="407">
        <f>SUM(G77:G80)</f>
        <v>104.86226016734406</v>
      </c>
      <c r="I80" s="407"/>
      <c r="J80" s="1023"/>
      <c r="K80" s="417"/>
      <c r="L80" s="386">
        <f t="shared" si="23"/>
        <v>0.91176470588235303</v>
      </c>
    </row>
    <row r="81" spans="1:12" ht="14.25">
      <c r="A81" s="969"/>
      <c r="B81" t="s">
        <v>400</v>
      </c>
      <c r="C81" s="367">
        <f>SUM(C77:C80)</f>
        <v>627225</v>
      </c>
      <c r="D81" s="368">
        <f>SUM(D77:D80)</f>
        <v>415</v>
      </c>
      <c r="E81" s="368">
        <f t="shared" ref="E81" si="25">SUM(E77:E80)</f>
        <v>91.454237756475408</v>
      </c>
      <c r="F81" s="368">
        <f t="shared" ref="F81" si="26">SUM(F77:F80)</f>
        <v>13.408022410868657</v>
      </c>
      <c r="G81" s="768">
        <f>E81+F81</f>
        <v>104.86226016734406</v>
      </c>
      <c r="H81" s="407">
        <f>G81</f>
        <v>104.86226016734406</v>
      </c>
      <c r="I81" s="407">
        <f>D81</f>
        <v>415</v>
      </c>
      <c r="J81" s="1023"/>
      <c r="K81" s="417">
        <f>(D81-D64)/D64</f>
        <v>0.72916666666666663</v>
      </c>
      <c r="L81" s="386">
        <f t="shared" si="23"/>
        <v>0.65182235202740446</v>
      </c>
    </row>
    <row r="82" spans="1:12" ht="14.25">
      <c r="A82" s="969"/>
      <c r="B82" t="s">
        <v>491</v>
      </c>
      <c r="C82" s="367">
        <v>25785</v>
      </c>
      <c r="D82" s="368">
        <v>49</v>
      </c>
      <c r="E82" s="368">
        <f>D82*$R$15*$E$6/1000</f>
        <v>149.77505914</v>
      </c>
      <c r="F82" s="368">
        <f>D82*(($S$15*$E$6+($T$15+$Y$15)*$F$6))/1000</f>
        <v>45.002651510642387</v>
      </c>
      <c r="G82" s="768">
        <f t="shared" ref="G82:G84" si="27">E82+F82</f>
        <v>194.77771065064238</v>
      </c>
      <c r="H82" s="407">
        <f>G82+G81</f>
        <v>299.63997081798641</v>
      </c>
      <c r="I82" s="407"/>
      <c r="J82" s="1023"/>
      <c r="K82" s="417"/>
      <c r="L82" s="386">
        <f t="shared" si="23"/>
        <v>-7.5471698113207697E-2</v>
      </c>
    </row>
    <row r="83" spans="1:12" ht="14.25">
      <c r="A83" s="969"/>
      <c r="B83" t="s">
        <v>492</v>
      </c>
      <c r="C83" s="367">
        <v>22829</v>
      </c>
      <c r="D83" s="368">
        <v>19</v>
      </c>
      <c r="E83" s="368">
        <f>D83*$R$16*$E$6/1000</f>
        <v>39.237740605980001</v>
      </c>
      <c r="F83" s="368">
        <f>D83*(($S$16*$E$6+($T$16+$Y$16)*$F$6))/1000</f>
        <v>2.1098766726491358</v>
      </c>
      <c r="G83" s="768">
        <f t="shared" si="27"/>
        <v>41.347617278629137</v>
      </c>
      <c r="H83" s="407">
        <f>G83+G82+G81</f>
        <v>340.98758809661558</v>
      </c>
      <c r="I83" s="407"/>
      <c r="J83" s="1023"/>
      <c r="K83" s="417"/>
      <c r="L83" s="386">
        <f t="shared" si="23"/>
        <v>0.72727272727272729</v>
      </c>
    </row>
    <row r="84" spans="1:12" ht="14.25">
      <c r="A84" s="969"/>
      <c r="B84" t="s">
        <v>394</v>
      </c>
      <c r="C84" s="367">
        <v>32122</v>
      </c>
      <c r="D84" s="368">
        <v>36</v>
      </c>
      <c r="E84" s="368">
        <f>D84*$R$17*$E$6/1000</f>
        <v>35.707626158399997</v>
      </c>
      <c r="F84" s="368">
        <f>D84*(($S$17*$E$6+($T$17+$Y$17)*$F$6))/1000</f>
        <v>10.060493232201805</v>
      </c>
      <c r="G84" s="769">
        <f t="shared" si="27"/>
        <v>45.768119390601804</v>
      </c>
      <c r="H84" s="407">
        <f>G84+G83+G82+G81</f>
        <v>386.75570748721736</v>
      </c>
      <c r="I84" s="407"/>
      <c r="J84" s="1023"/>
      <c r="K84" s="417"/>
      <c r="L84" s="386">
        <f t="shared" si="23"/>
        <v>-0.14285714285714277</v>
      </c>
    </row>
    <row r="85" spans="1:12" ht="14.25">
      <c r="A85" s="969"/>
      <c r="B85" t="s">
        <v>416</v>
      </c>
      <c r="C85" s="367">
        <f>SUM(C82:C84)</f>
        <v>80736</v>
      </c>
      <c r="D85" s="367">
        <f>SUM(D82:D84)</f>
        <v>104</v>
      </c>
      <c r="E85" s="368">
        <f>SUM(E82:E84)</f>
        <v>224.72042590437999</v>
      </c>
      <c r="F85" s="368">
        <f>SUM(F82:F84)</f>
        <v>57.173021415493331</v>
      </c>
      <c r="G85" s="769">
        <f>E85+F85</f>
        <v>281.8934473198733</v>
      </c>
      <c r="H85" s="407">
        <f>G85+G81</f>
        <v>386.75570748721736</v>
      </c>
      <c r="I85" s="407">
        <f>D85+I81</f>
        <v>519</v>
      </c>
      <c r="J85" s="1023"/>
      <c r="K85" s="417">
        <f>(D85-D68)/D68</f>
        <v>-1.8867924528301886E-2</v>
      </c>
      <c r="L85" s="386">
        <f t="shared" si="23"/>
        <v>-2.1244651600705773E-2</v>
      </c>
    </row>
    <row r="86" spans="1:12" ht="14.25">
      <c r="A86" s="969"/>
      <c r="B86" t="s">
        <v>490</v>
      </c>
      <c r="C86" s="367">
        <v>42</v>
      </c>
      <c r="D86" s="368">
        <v>11</v>
      </c>
      <c r="E86" s="368">
        <f>D86*$R$20*$E$6/1000</f>
        <v>0.46200000000000002</v>
      </c>
      <c r="F86" s="368">
        <f>D86*(($S$20*$E$6+($T$20+$Y$19)*$F$6))/1000</f>
        <v>1.9533335249999999</v>
      </c>
      <c r="G86" s="769">
        <f>E86+F86</f>
        <v>2.4153335249999999</v>
      </c>
      <c r="H86" s="407">
        <f>H85+G86</f>
        <v>389.17104101221736</v>
      </c>
      <c r="I86" s="407"/>
      <c r="J86" s="1023"/>
      <c r="K86" s="417"/>
      <c r="L86" s="386">
        <f t="shared" si="23"/>
        <v>0.10000000000000002</v>
      </c>
    </row>
    <row r="87" spans="1:12" ht="14.25">
      <c r="A87" s="969"/>
      <c r="B87" t="s">
        <v>386</v>
      </c>
      <c r="C87" s="367">
        <v>3021</v>
      </c>
      <c r="D87" s="368">
        <v>801</v>
      </c>
      <c r="E87" s="368">
        <f>D87*$R$20*$E$6/1000</f>
        <v>33.642000000000003</v>
      </c>
      <c r="F87" s="368">
        <f>D87*(($S$20*$E$6+($T$20+$Y$20)*$F$6))/1000</f>
        <v>142.23819577500001</v>
      </c>
      <c r="G87" s="768">
        <f t="shared" ref="G87:G92" si="28">E87+F87</f>
        <v>175.880195775</v>
      </c>
      <c r="H87" s="407">
        <f>G87+G85+G84+G86</f>
        <v>505.95709601047508</v>
      </c>
      <c r="I87" s="407"/>
      <c r="J87" s="1023"/>
      <c r="K87" s="417"/>
      <c r="L87" s="386">
        <f t="shared" si="23"/>
        <v>0</v>
      </c>
    </row>
    <row r="88" spans="1:12" ht="14.25">
      <c r="A88" s="969"/>
      <c r="B88" t="s">
        <v>389</v>
      </c>
      <c r="C88" s="367">
        <v>39505</v>
      </c>
      <c r="D88" s="368">
        <v>6650</v>
      </c>
      <c r="E88" s="368">
        <f>D88*$R$21*$E$6/1000</f>
        <v>279.3</v>
      </c>
      <c r="F88" s="368">
        <f>D88*(($S$21*$E$6+($T$21+$Y$21)*$F$6))/1000</f>
        <v>1138.1790208909106</v>
      </c>
      <c r="G88" s="768">
        <f t="shared" si="28"/>
        <v>1417.4790208909105</v>
      </c>
      <c r="H88" s="407">
        <f>G88+G84+G86</f>
        <v>1465.6624738065125</v>
      </c>
      <c r="I88" s="407"/>
      <c r="J88" s="1023"/>
      <c r="K88" s="417">
        <f>(D88-D71)/D71</f>
        <v>1.8297872340425532</v>
      </c>
      <c r="L88" s="386">
        <f t="shared" si="23"/>
        <v>1.8297872340425532</v>
      </c>
    </row>
    <row r="89" spans="1:12" ht="14.25">
      <c r="A89" s="969"/>
      <c r="B89" t="s">
        <v>417</v>
      </c>
      <c r="C89" s="367">
        <f>SUM(C86:C88)</f>
        <v>42568</v>
      </c>
      <c r="D89" s="368">
        <f>SUM(D86:D88)</f>
        <v>7462</v>
      </c>
      <c r="E89" s="368">
        <f>SUM(E86:E88)</f>
        <v>313.404</v>
      </c>
      <c r="F89" s="368">
        <f>SUM(F86:F88)</f>
        <v>1282.3705501909105</v>
      </c>
      <c r="G89" s="768">
        <f t="shared" si="28"/>
        <v>1595.7745501909105</v>
      </c>
      <c r="H89" s="407">
        <f>G89</f>
        <v>1595.7745501909105</v>
      </c>
      <c r="I89" s="407">
        <f>D89+I85</f>
        <v>7981</v>
      </c>
      <c r="J89" s="1023"/>
      <c r="K89" s="417">
        <f>(D89-D72)/D72</f>
        <v>1.3606453653906991</v>
      </c>
      <c r="L89" s="386">
        <f t="shared" si="23"/>
        <v>1.3502194552750191</v>
      </c>
    </row>
    <row r="90" spans="1:12" ht="14.25">
      <c r="A90" s="969"/>
      <c r="B90" t="s">
        <v>412</v>
      </c>
      <c r="C90" s="367">
        <v>58535</v>
      </c>
      <c r="D90" s="368">
        <v>464</v>
      </c>
      <c r="E90" s="368">
        <f>D90*$R$23*$E$6/1000</f>
        <v>233.85601863935037</v>
      </c>
      <c r="F90" s="368">
        <f>D90*(($S$23*$E$6+($T$23+$Y$23)*$F$6))/1000</f>
        <v>24.89257865281342</v>
      </c>
      <c r="G90" s="768">
        <f t="shared" si="28"/>
        <v>258.74859729216377</v>
      </c>
      <c r="H90" s="407">
        <f>G89+G90</f>
        <v>1854.5231474830744</v>
      </c>
      <c r="I90" s="407">
        <f>I89+D90</f>
        <v>8445</v>
      </c>
      <c r="J90" s="1023"/>
      <c r="K90" s="417">
        <f>(D90-D73)/D73</f>
        <v>0.12077294685990338</v>
      </c>
      <c r="L90" s="386">
        <f t="shared" si="23"/>
        <v>0.12077294685990321</v>
      </c>
    </row>
    <row r="91" spans="1:12" ht="14.25">
      <c r="A91" s="969"/>
      <c r="B91" t="s">
        <v>419</v>
      </c>
      <c r="C91" s="367">
        <v>1621</v>
      </c>
      <c r="D91" s="368">
        <v>36</v>
      </c>
      <c r="E91" s="368">
        <f>D91*$R$24*$E$6/1000</f>
        <v>5.04</v>
      </c>
      <c r="F91" s="368">
        <f>D91*(($S$24*$E$6+($T$24+$Y$24)*$F$6))/1000</f>
        <v>1.5431143510584002</v>
      </c>
      <c r="G91" s="768">
        <f t="shared" si="28"/>
        <v>6.5831143510584003</v>
      </c>
      <c r="H91" s="407">
        <f>SUM(G89:G91)</f>
        <v>1861.1062618341327</v>
      </c>
      <c r="I91" s="407">
        <f>D91+I90</f>
        <v>8481</v>
      </c>
      <c r="J91" s="1023"/>
      <c r="K91" s="417">
        <f>(D91-D74)/D74</f>
        <v>3.5</v>
      </c>
      <c r="L91" s="386">
        <f t="shared" si="23"/>
        <v>3.5</v>
      </c>
    </row>
    <row r="92" spans="1:12" ht="15" thickBot="1">
      <c r="A92" s="1022"/>
      <c r="B92" t="s">
        <v>420</v>
      </c>
      <c r="C92" s="375">
        <v>840842</v>
      </c>
      <c r="D92" s="376">
        <v>66089</v>
      </c>
      <c r="E92" s="368">
        <f>D92*$R$25*$E$6/1000</f>
        <v>37.009817794096001</v>
      </c>
      <c r="F92" s="368">
        <f>D92*(($S$25*$E$6+($T$25+$Y$25)*$F$6))/1000</f>
        <v>367.55273880762314</v>
      </c>
      <c r="G92" s="770">
        <f t="shared" si="28"/>
        <v>404.56255660171917</v>
      </c>
      <c r="H92" s="407">
        <f>SUM(G89:G92)+G85+G81</f>
        <v>2652.4245259230693</v>
      </c>
      <c r="I92" s="407">
        <f>I91+D92</f>
        <v>74570</v>
      </c>
      <c r="J92" s="1023"/>
      <c r="K92" s="417">
        <f>(D92-D75)/D75</f>
        <v>-9.5328049498309447E-2</v>
      </c>
      <c r="L92" s="386">
        <f t="shared" si="23"/>
        <v>-9.5328049498309295E-2</v>
      </c>
    </row>
    <row r="93" spans="1:12" ht="15" thickBot="1">
      <c r="A93" s="379" t="s">
        <v>21</v>
      </c>
      <c r="B93" s="380">
        <f>A77</f>
        <v>2020</v>
      </c>
      <c r="C93" s="381">
        <f>SUM(C89:C92)</f>
        <v>943566</v>
      </c>
      <c r="D93" s="381"/>
      <c r="E93" s="412">
        <f>SUM(E89:E92)+E85+E81</f>
        <v>905.48450009430178</v>
      </c>
      <c r="F93" s="412">
        <f>SUM(F89:F92)+F85+F81</f>
        <v>1746.9400258287676</v>
      </c>
      <c r="G93" s="771">
        <f>E93+F93</f>
        <v>2652.4245259230693</v>
      </c>
      <c r="H93" s="382">
        <f>H92</f>
        <v>2652.4245259230693</v>
      </c>
      <c r="I93" s="382">
        <f>SUM(I89:I92)</f>
        <v>99477</v>
      </c>
      <c r="J93" s="1024"/>
      <c r="K93" s="397">
        <f>(I93-I76)/I76</f>
        <v>0.12608247772784387</v>
      </c>
      <c r="L93" s="398">
        <f>(G93-G76)/G76</f>
        <v>0.5511198309414751</v>
      </c>
    </row>
    <row r="94" spans="1:12" ht="14.25">
      <c r="A94" s="969">
        <v>2021</v>
      </c>
      <c r="B94" t="s">
        <v>384</v>
      </c>
      <c r="C94" s="359">
        <v>301073</v>
      </c>
      <c r="D94" s="360">
        <v>139</v>
      </c>
      <c r="E94" s="360">
        <f>D94*$R$10*$E$6/1000</f>
        <v>43.386529839469837</v>
      </c>
      <c r="F94" s="360">
        <f>D94*(($S$10*$E$6+($T$10+$Y$10)*$F$6))/1000</f>
        <v>8.3099644305230616</v>
      </c>
      <c r="G94" s="767">
        <f>E94+F94</f>
        <v>51.696494269992897</v>
      </c>
      <c r="H94" s="406">
        <f>G94</f>
        <v>51.696494269992897</v>
      </c>
      <c r="I94" s="406"/>
      <c r="J94" s="1023" t="str">
        <f>"Milli áranna "&amp; $A77 &amp;" og "&amp; $A94</f>
        <v>Milli áranna 2020 og 2021</v>
      </c>
      <c r="K94" s="416"/>
      <c r="L94" s="386">
        <f>(G94-G77)/G77</f>
        <v>0</v>
      </c>
    </row>
    <row r="95" spans="1:12" ht="14.25">
      <c r="A95" s="969"/>
      <c r="B95" t="s">
        <v>387</v>
      </c>
      <c r="C95" s="367">
        <v>10978</v>
      </c>
      <c r="D95" s="368">
        <v>16</v>
      </c>
      <c r="E95" s="368">
        <f>D95*$R$11*$E$6/1000</f>
        <v>5.3513644432945222</v>
      </c>
      <c r="F95" s="368">
        <f>D95*(($S$11*$E$6+($T$11+$Y$11)*$F$6))/1000</f>
        <v>1.2455433442641151</v>
      </c>
      <c r="G95" s="768">
        <f>E95+F95</f>
        <v>6.5969077875586368</v>
      </c>
      <c r="H95" s="407">
        <f>G95+G94</f>
        <v>58.293402057551532</v>
      </c>
      <c r="I95" s="407"/>
      <c r="J95" s="1023"/>
      <c r="K95" s="417"/>
      <c r="L95" s="386">
        <f t="shared" ref="L95:L109" si="29">(G95-G78)/G78</f>
        <v>0</v>
      </c>
    </row>
    <row r="96" spans="1:12" ht="14.25">
      <c r="A96" s="969"/>
      <c r="B96" t="s">
        <v>393</v>
      </c>
      <c r="C96" s="367">
        <v>67063</v>
      </c>
      <c r="D96" s="368">
        <f>65</f>
        <v>65</v>
      </c>
      <c r="E96" s="368">
        <f>D96*$R$12*$E$6/1000</f>
        <v>17.197559973245543</v>
      </c>
      <c r="F96" s="368">
        <f>D96*(($S$12*$E$6+($T$12+$Y$12)*$F$6))/1000</f>
        <v>2.5833912434268052</v>
      </c>
      <c r="G96" s="768">
        <f>E96+F96</f>
        <v>19.780951216672349</v>
      </c>
      <c r="H96" s="407">
        <f>G96+G95+G94</f>
        <v>78.074353274223881</v>
      </c>
      <c r="I96" s="407"/>
      <c r="J96" s="1023"/>
      <c r="K96" s="417"/>
      <c r="L96" s="386">
        <f t="shared" si="29"/>
        <v>0</v>
      </c>
    </row>
    <row r="97" spans="1:14" ht="14.25">
      <c r="A97" s="969"/>
      <c r="B97" t="s">
        <v>397</v>
      </c>
      <c r="C97" s="367">
        <v>8133</v>
      </c>
      <c r="D97" s="368">
        <f>65*3</f>
        <v>195</v>
      </c>
      <c r="E97" s="368">
        <f>D97*$R$13*$E$6/1000</f>
        <v>25.51878350046551</v>
      </c>
      <c r="F97" s="368">
        <f>D97*(($S$13*$E$6+($T$13+$Y$13)*$F$6))/1000</f>
        <v>1.2691233926546759</v>
      </c>
      <c r="G97" s="768">
        <f t="shared" ref="G97" si="30">E97+F97</f>
        <v>26.787906893120187</v>
      </c>
      <c r="H97" s="407">
        <f>SUM(G94:G97)</f>
        <v>104.86226016734406</v>
      </c>
      <c r="I97" s="407"/>
      <c r="J97" s="1023"/>
      <c r="K97" s="417"/>
      <c r="L97" s="386">
        <f t="shared" si="29"/>
        <v>0</v>
      </c>
    </row>
    <row r="98" spans="1:14" ht="14.25">
      <c r="A98" s="969"/>
      <c r="B98" t="s">
        <v>400</v>
      </c>
      <c r="C98" s="367">
        <f>SUM(C94:C97)</f>
        <v>387247</v>
      </c>
      <c r="D98" s="368">
        <f>SUM(D94:D97)</f>
        <v>415</v>
      </c>
      <c r="E98" s="368">
        <f t="shared" ref="E98:F98" si="31">SUM(E94:E97)</f>
        <v>91.454237756475408</v>
      </c>
      <c r="F98" s="368">
        <f t="shared" si="31"/>
        <v>13.408022410868657</v>
      </c>
      <c r="G98" s="768">
        <f>E98+F98</f>
        <v>104.86226016734406</v>
      </c>
      <c r="H98" s="407">
        <f>G98</f>
        <v>104.86226016734406</v>
      </c>
      <c r="I98" s="407">
        <f>D98</f>
        <v>415</v>
      </c>
      <c r="J98" s="1023"/>
      <c r="K98" s="417">
        <f>(D98-D81)/D81</f>
        <v>0</v>
      </c>
      <c r="L98" s="386">
        <f t="shared" si="29"/>
        <v>0</v>
      </c>
    </row>
    <row r="99" spans="1:14" ht="14.25">
      <c r="A99" s="969"/>
      <c r="B99" t="s">
        <v>491</v>
      </c>
      <c r="C99" s="367">
        <v>25896</v>
      </c>
      <c r="D99" s="368">
        <v>49</v>
      </c>
      <c r="E99" s="368">
        <f>D99*$R$15*$E$6/1000</f>
        <v>149.77505914</v>
      </c>
      <c r="F99" s="368">
        <f>D99*(($S$15*$E$6+($T$15+$Y$15)*$F$6))/1000</f>
        <v>45.002651510642387</v>
      </c>
      <c r="G99" s="768">
        <f t="shared" ref="G99:G101" si="32">E99+F99</f>
        <v>194.77771065064238</v>
      </c>
      <c r="H99" s="407">
        <f>G99+G98</f>
        <v>299.63997081798641</v>
      </c>
      <c r="I99" s="407"/>
      <c r="J99" s="1023"/>
      <c r="K99" s="417"/>
      <c r="L99" s="386">
        <f t="shared" si="29"/>
        <v>0</v>
      </c>
    </row>
    <row r="100" spans="1:14" ht="14.25">
      <c r="A100" s="969"/>
      <c r="B100" t="s">
        <v>492</v>
      </c>
      <c r="C100" s="367">
        <v>22829</v>
      </c>
      <c r="D100" s="368">
        <v>19</v>
      </c>
      <c r="E100" s="368">
        <f>D100*$R$16*$E$6/1000</f>
        <v>39.237740605980001</v>
      </c>
      <c r="F100" s="368">
        <f>D100*(($S$16*$E$6+($T$16+$Y$16)*$F$6))/1000</f>
        <v>2.1098766726491358</v>
      </c>
      <c r="G100" s="768">
        <f t="shared" si="32"/>
        <v>41.347617278629137</v>
      </c>
      <c r="H100" s="407">
        <f>G100+G99+G98</f>
        <v>340.98758809661558</v>
      </c>
      <c r="I100" s="407"/>
      <c r="J100" s="1023"/>
      <c r="K100" s="417"/>
      <c r="L100" s="386">
        <f t="shared" si="29"/>
        <v>0</v>
      </c>
    </row>
    <row r="101" spans="1:14" ht="14.25">
      <c r="A101" s="969"/>
      <c r="B101" t="s">
        <v>394</v>
      </c>
      <c r="C101" s="367">
        <v>32122</v>
      </c>
      <c r="D101" s="368">
        <v>36</v>
      </c>
      <c r="E101" s="368">
        <f>D101*$R$17*$E$6/1000</f>
        <v>35.707626158399997</v>
      </c>
      <c r="F101" s="368">
        <f>D101*(($S$17*$E$6+($T$17+$Y$17)*$F$6))/1000</f>
        <v>10.060493232201805</v>
      </c>
      <c r="G101" s="769">
        <f t="shared" si="32"/>
        <v>45.768119390601804</v>
      </c>
      <c r="H101" s="407">
        <f>G101+G100+G99+G98</f>
        <v>386.75570748721736</v>
      </c>
      <c r="I101" s="407"/>
      <c r="J101" s="1023"/>
      <c r="K101" s="417"/>
      <c r="L101" s="386">
        <f t="shared" si="29"/>
        <v>0</v>
      </c>
    </row>
    <row r="102" spans="1:14" ht="14.25">
      <c r="A102" s="969"/>
      <c r="B102" t="s">
        <v>416</v>
      </c>
      <c r="C102" s="367">
        <f>SUM(C99:C101)</f>
        <v>80847</v>
      </c>
      <c r="D102" s="367">
        <f>SUM(D99:D101)</f>
        <v>104</v>
      </c>
      <c r="E102" s="368">
        <f>SUM(E99:E101)</f>
        <v>224.72042590437999</v>
      </c>
      <c r="F102" s="368">
        <f>SUM(F99:F101)</f>
        <v>57.173021415493331</v>
      </c>
      <c r="G102" s="769">
        <f>E102+F102</f>
        <v>281.8934473198733</v>
      </c>
      <c r="H102" s="407">
        <f>G102+G98</f>
        <v>386.75570748721736</v>
      </c>
      <c r="I102" s="407">
        <f>D102+I98</f>
        <v>519</v>
      </c>
      <c r="J102" s="1023"/>
      <c r="K102" s="417">
        <f>(D102-D85)/D85</f>
        <v>0</v>
      </c>
      <c r="L102" s="386">
        <f t="shared" si="29"/>
        <v>0</v>
      </c>
    </row>
    <row r="103" spans="1:14" ht="14.25">
      <c r="A103" s="969"/>
      <c r="B103" t="s">
        <v>490</v>
      </c>
      <c r="C103" s="367">
        <v>42</v>
      </c>
      <c r="D103" s="368">
        <v>11</v>
      </c>
      <c r="E103" s="368">
        <f>D103*$R$20*$E$6/1000</f>
        <v>0.46200000000000002</v>
      </c>
      <c r="F103" s="368">
        <f>D103*(($S$20*$E$6+($T$20+$Y$19)*$F$6))/1000</f>
        <v>1.9533335249999999</v>
      </c>
      <c r="G103" s="769">
        <f>E103+F103</f>
        <v>2.4153335249999999</v>
      </c>
      <c r="H103" s="407">
        <f>H102+G103</f>
        <v>389.17104101221736</v>
      </c>
      <c r="I103" s="407"/>
      <c r="J103" s="1023"/>
      <c r="K103" s="417"/>
      <c r="L103" s="386">
        <f t="shared" si="29"/>
        <v>0</v>
      </c>
    </row>
    <row r="104" spans="1:14" ht="14.25">
      <c r="A104" s="969"/>
      <c r="B104" t="s">
        <v>386</v>
      </c>
      <c r="C104" s="367">
        <v>3021</v>
      </c>
      <c r="D104" s="368">
        <v>801</v>
      </c>
      <c r="E104" s="368">
        <f>D104*$R$20*$E$6/1000</f>
        <v>33.642000000000003</v>
      </c>
      <c r="F104" s="368">
        <f>D104*(($S$20*$E$6+($T$20+$Y$20)*$F$6))/1000</f>
        <v>142.23819577500001</v>
      </c>
      <c r="G104" s="768">
        <f t="shared" ref="G104:G109" si="33">E104+F104</f>
        <v>175.880195775</v>
      </c>
      <c r="H104" s="407">
        <f>G104+G102+G101+G103</f>
        <v>505.95709601047508</v>
      </c>
      <c r="I104" s="407"/>
      <c r="J104" s="1023"/>
      <c r="K104" s="417"/>
      <c r="L104" s="386">
        <f t="shared" si="29"/>
        <v>0</v>
      </c>
    </row>
    <row r="105" spans="1:14" ht="14.25">
      <c r="A105" s="969"/>
      <c r="B105" t="s">
        <v>389</v>
      </c>
      <c r="C105" s="367">
        <v>39505</v>
      </c>
      <c r="D105" s="368">
        <v>6650</v>
      </c>
      <c r="E105" s="368">
        <f>D105*$R$21*$E$6/1000</f>
        <v>279.3</v>
      </c>
      <c r="F105" s="368">
        <f>D105*(($S$21*$E$6+($T$21+$Y$21)*$F$6))/1000</f>
        <v>1138.1790208909106</v>
      </c>
      <c r="G105" s="768">
        <f t="shared" si="33"/>
        <v>1417.4790208909105</v>
      </c>
      <c r="H105" s="407">
        <f>G105+G101+G103</f>
        <v>1465.6624738065125</v>
      </c>
      <c r="I105" s="407"/>
      <c r="J105" s="1023"/>
      <c r="K105" s="417">
        <f>(D105-D88)/D88</f>
        <v>0</v>
      </c>
      <c r="L105" s="386">
        <f t="shared" si="29"/>
        <v>0</v>
      </c>
    </row>
    <row r="106" spans="1:14" ht="14.25">
      <c r="A106" s="969"/>
      <c r="B106" t="s">
        <v>417</v>
      </c>
      <c r="C106" s="367">
        <f>SUM(C103:C105)</f>
        <v>42568</v>
      </c>
      <c r="D106" s="368">
        <f>SUM(D103:D105)</f>
        <v>7462</v>
      </c>
      <c r="E106" s="368">
        <f>SUM(E103:E105)</f>
        <v>313.404</v>
      </c>
      <c r="F106" s="368">
        <f>SUM(F103:F105)</f>
        <v>1282.3705501909105</v>
      </c>
      <c r="G106" s="768">
        <f t="shared" si="33"/>
        <v>1595.7745501909105</v>
      </c>
      <c r="H106" s="407">
        <f>G106</f>
        <v>1595.7745501909105</v>
      </c>
      <c r="I106" s="407">
        <f>D106+I102</f>
        <v>7981</v>
      </c>
      <c r="J106" s="1023"/>
      <c r="K106" s="417">
        <f>(D106-D89)/D89</f>
        <v>0</v>
      </c>
      <c r="L106" s="386">
        <f t="shared" si="29"/>
        <v>0</v>
      </c>
    </row>
    <row r="107" spans="1:14" ht="14.25">
      <c r="A107" s="969"/>
      <c r="B107" t="s">
        <v>412</v>
      </c>
      <c r="C107" s="367">
        <v>58456</v>
      </c>
      <c r="D107" s="368">
        <v>464</v>
      </c>
      <c r="E107" s="368">
        <f>D107*$R$23*$E$6/1000</f>
        <v>233.85601863935037</v>
      </c>
      <c r="F107" s="368">
        <f>D107*(($S$23*$E$6+($T$23+$Y$23)*$F$6))/1000</f>
        <v>24.89257865281342</v>
      </c>
      <c r="G107" s="768">
        <f t="shared" si="33"/>
        <v>258.74859729216377</v>
      </c>
      <c r="H107" s="407">
        <f>G106+G107</f>
        <v>1854.5231474830744</v>
      </c>
      <c r="I107" s="407">
        <f>I106+D107</f>
        <v>8445</v>
      </c>
      <c r="J107" s="1023"/>
      <c r="K107" s="417">
        <f>(D107-D90)/D90</f>
        <v>0</v>
      </c>
      <c r="L107" s="386">
        <f t="shared" si="29"/>
        <v>0</v>
      </c>
    </row>
    <row r="108" spans="1:14" ht="14.25">
      <c r="A108" s="969"/>
      <c r="B108" t="s">
        <v>419</v>
      </c>
      <c r="C108" s="367">
        <f>577+343+341+181+162+68</f>
        <v>1672</v>
      </c>
      <c r="D108" s="368">
        <v>45</v>
      </c>
      <c r="E108" s="368">
        <f>D108*$R$24*$E$6/1000</f>
        <v>6.3</v>
      </c>
      <c r="F108" s="368">
        <f>D108*(($S$24*$E$6+($T$24+$Y$24)*$F$6))/1000</f>
        <v>1.9288929388230001</v>
      </c>
      <c r="G108" s="768">
        <f t="shared" si="33"/>
        <v>8.2288929388229999</v>
      </c>
      <c r="H108" s="407">
        <f>SUM(G106:G108)</f>
        <v>1862.7520404218974</v>
      </c>
      <c r="I108" s="407">
        <f>D108+I107</f>
        <v>8490</v>
      </c>
      <c r="J108" s="1023"/>
      <c r="K108" s="417">
        <f>(D108-D91)/D91</f>
        <v>0.25</v>
      </c>
      <c r="L108" s="386">
        <f t="shared" si="29"/>
        <v>0.24999999999999994</v>
      </c>
    </row>
    <row r="109" spans="1:14" ht="15" thickBot="1">
      <c r="A109" s="1022"/>
      <c r="B109" t="s">
        <v>420</v>
      </c>
      <c r="C109" s="375">
        <v>774200</v>
      </c>
      <c r="D109" s="376">
        <v>66089</v>
      </c>
      <c r="E109" s="368">
        <f>D109*$R$25*$E$6/1000</f>
        <v>37.009817794096001</v>
      </c>
      <c r="F109" s="368">
        <f>D109*(($S$25*$E$6+($T$25+$Y$25)*$F$6))/1000</f>
        <v>367.55273880762314</v>
      </c>
      <c r="G109" s="770">
        <f t="shared" si="33"/>
        <v>404.56255660171917</v>
      </c>
      <c r="H109" s="407">
        <f>SUM(G106:G109)+G102+G98</f>
        <v>2654.0703045108339</v>
      </c>
      <c r="I109" s="407">
        <f>I108+D109</f>
        <v>74579</v>
      </c>
      <c r="J109" s="1023"/>
      <c r="K109" s="417">
        <f>(D109-D92)/D92</f>
        <v>0</v>
      </c>
      <c r="L109" s="386">
        <f t="shared" si="29"/>
        <v>0</v>
      </c>
    </row>
    <row r="110" spans="1:14" ht="15" thickBot="1">
      <c r="A110" s="379" t="s">
        <v>21</v>
      </c>
      <c r="B110" s="380">
        <f>A94</f>
        <v>2021</v>
      </c>
      <c r="C110" s="381">
        <f>SUM(C106:C109)</f>
        <v>876896</v>
      </c>
      <c r="D110" s="381"/>
      <c r="E110" s="412">
        <f>SUM(E106:E109)+E102+E98</f>
        <v>906.74450009430177</v>
      </c>
      <c r="F110" s="412">
        <f>SUM(F106:F109)+F102+F98</f>
        <v>1747.3258044165323</v>
      </c>
      <c r="G110" s="771">
        <f>E110+F110</f>
        <v>2654.0703045108339</v>
      </c>
      <c r="H110" s="382">
        <f>H109</f>
        <v>2654.0703045108339</v>
      </c>
      <c r="I110" s="382">
        <f>SUM(I106:I109)</f>
        <v>99495</v>
      </c>
      <c r="J110" s="1024"/>
      <c r="K110" s="397">
        <f>(I110-I93)/I93</f>
        <v>1.8094634940740072E-4</v>
      </c>
      <c r="L110" s="398">
        <f>(G110-G93)/G93</f>
        <v>6.2048083618586889E-4</v>
      </c>
      <c r="N110">
        <f>81576+57461+51339+48842+36806+23031+1741+277</f>
        <v>301073</v>
      </c>
    </row>
    <row r="111" spans="1:14" ht="14.25">
      <c r="A111" s="969">
        <v>2022</v>
      </c>
      <c r="B111" t="s">
        <v>384</v>
      </c>
      <c r="C111" s="359">
        <v>289128</v>
      </c>
      <c r="D111" s="360">
        <v>154</v>
      </c>
      <c r="E111" s="360">
        <f>D111*$R$10*$E$6/1000</f>
        <v>48.068529462434213</v>
      </c>
      <c r="F111" s="360">
        <f>D111*(($S$10*$E$6+($T$10+$Y$10)*$F$6))/1000</f>
        <v>9.2067231820183544</v>
      </c>
      <c r="G111" s="767">
        <f>E111+F111</f>
        <v>57.275252644452564</v>
      </c>
      <c r="H111" s="406">
        <f>G111</f>
        <v>57.275252644452564</v>
      </c>
      <c r="I111" s="406"/>
      <c r="J111" s="1023" t="str">
        <f>"Milli áranna "&amp; $A94 &amp;" og "&amp; $A111</f>
        <v>Milli áranna 2021 og 2022</v>
      </c>
      <c r="K111" s="416"/>
      <c r="L111" s="386">
        <f>(G111-G94)/G94</f>
        <v>0.10791366906474824</v>
      </c>
    </row>
    <row r="112" spans="1:14" ht="14.25">
      <c r="A112" s="969"/>
      <c r="B112" t="s">
        <v>387</v>
      </c>
      <c r="C112" s="367">
        <v>10789</v>
      </c>
      <c r="D112" s="368">
        <v>14</v>
      </c>
      <c r="E112" s="368">
        <f>D112*$R$11*$E$6/1000</f>
        <v>4.682443887882707</v>
      </c>
      <c r="F112" s="368">
        <f>D112*(($S$11*$E$6+($T$11+$Y$11)*$F$6))/1000</f>
        <v>1.0898504262311008</v>
      </c>
      <c r="G112" s="768">
        <f>E112+F112</f>
        <v>5.7722943141138074</v>
      </c>
      <c r="H112" s="407">
        <f>G112+G111</f>
        <v>63.047546958566372</v>
      </c>
      <c r="I112" s="407"/>
      <c r="J112" s="1023"/>
      <c r="K112" s="417"/>
      <c r="L112" s="386">
        <f t="shared" ref="L112:L126" si="34">(G112-G95)/G95</f>
        <v>-0.12499999999999997</v>
      </c>
    </row>
    <row r="113" spans="1:12" ht="14.25">
      <c r="A113" s="969"/>
      <c r="B113" t="s">
        <v>393</v>
      </c>
      <c r="C113" s="367">
        <v>60549</v>
      </c>
      <c r="D113" s="368">
        <v>54</v>
      </c>
      <c r="E113" s="368">
        <f>D113*$R$12*$E$6/1000</f>
        <v>14.287203670080913</v>
      </c>
      <c r="F113" s="368">
        <f>D113*(($S$12*$E$6+($T$12+$Y$12)*$F$6))/1000</f>
        <v>2.1462019560776535</v>
      </c>
      <c r="G113" s="768">
        <f>E113+F113</f>
        <v>16.433405626158567</v>
      </c>
      <c r="H113" s="407">
        <f>G113+G112+G111</f>
        <v>79.480952584724946</v>
      </c>
      <c r="I113" s="407"/>
      <c r="J113" s="1023"/>
      <c r="K113" s="417"/>
      <c r="L113" s="386">
        <f t="shared" si="34"/>
        <v>-0.16923076923076921</v>
      </c>
    </row>
    <row r="114" spans="1:12" ht="14.25">
      <c r="A114" s="969"/>
      <c r="B114" t="s">
        <v>397</v>
      </c>
      <c r="C114" s="367">
        <v>7386</v>
      </c>
      <c r="D114" s="368">
        <f>65*3</f>
        <v>195</v>
      </c>
      <c r="E114" s="368">
        <f>D114*$R$13*$E$6/1000</f>
        <v>25.51878350046551</v>
      </c>
      <c r="F114" s="368">
        <f>D114*(($S$13*$E$6+($T$13+$Y$13)*$F$6))/1000</f>
        <v>1.2691233926546759</v>
      </c>
      <c r="G114" s="768">
        <f t="shared" ref="G114" si="35">E114+F114</f>
        <v>26.787906893120187</v>
      </c>
      <c r="H114" s="407">
        <f>SUM(G111:G114)</f>
        <v>106.26885947784513</v>
      </c>
      <c r="I114" s="407"/>
      <c r="J114" s="1023"/>
      <c r="K114" s="417"/>
      <c r="L114" s="386">
        <f t="shared" si="34"/>
        <v>0</v>
      </c>
    </row>
    <row r="115" spans="1:12" ht="14.25">
      <c r="A115" s="969"/>
      <c r="B115" t="s">
        <v>400</v>
      </c>
      <c r="C115" s="367">
        <f>SUM(C111:C114)</f>
        <v>367852</v>
      </c>
      <c r="D115" s="368">
        <f>SUM(D111:D114)</f>
        <v>417</v>
      </c>
      <c r="E115" s="368">
        <f t="shared" ref="E115:F115" si="36">SUM(E111:E114)</f>
        <v>92.556960520863328</v>
      </c>
      <c r="F115" s="368">
        <f t="shared" si="36"/>
        <v>13.711898956981784</v>
      </c>
      <c r="G115" s="768">
        <f>E115+F115</f>
        <v>106.26885947784511</v>
      </c>
      <c r="H115" s="407">
        <f>G115</f>
        <v>106.26885947784511</v>
      </c>
      <c r="I115" s="407">
        <f>D115</f>
        <v>417</v>
      </c>
      <c r="J115" s="1023"/>
      <c r="K115" s="417">
        <f>(D115-D98)/D98</f>
        <v>4.8192771084337354E-3</v>
      </c>
      <c r="L115" s="386">
        <f t="shared" si="34"/>
        <v>1.3413780212788988E-2</v>
      </c>
    </row>
    <row r="116" spans="1:12" ht="14.25">
      <c r="A116" s="969"/>
      <c r="B116" t="s">
        <v>491</v>
      </c>
      <c r="C116" s="367">
        <v>25842</v>
      </c>
      <c r="D116" s="368">
        <v>51</v>
      </c>
      <c r="E116" s="368">
        <f>D116*$R$15*$E$6/1000</f>
        <v>155.88832686000003</v>
      </c>
      <c r="F116" s="368">
        <f>D116*(($S$15*$E$6+($T$15+$Y$15)*$F$6))/1000</f>
        <v>46.839494429444116</v>
      </c>
      <c r="G116" s="768">
        <f t="shared" ref="G116:G118" si="37">E116+F116</f>
        <v>202.72782128944414</v>
      </c>
      <c r="H116" s="407">
        <f>G116+G115</f>
        <v>308.99668076728926</v>
      </c>
      <c r="I116" s="407"/>
      <c r="J116" s="1023"/>
      <c r="K116" s="417"/>
      <c r="L116" s="386">
        <f t="shared" si="34"/>
        <v>4.0816326530612401E-2</v>
      </c>
    </row>
    <row r="117" spans="1:12" ht="14.25">
      <c r="A117" s="969"/>
      <c r="B117" t="s">
        <v>492</v>
      </c>
      <c r="C117" s="367">
        <v>22567</v>
      </c>
      <c r="D117" s="368">
        <v>22</v>
      </c>
      <c r="E117" s="368">
        <f>D117*$R$16*$E$6/1000</f>
        <v>45.433173333239999</v>
      </c>
      <c r="F117" s="368">
        <f>D117*(($S$16*$E$6+($T$16+$Y$16)*$F$6))/1000</f>
        <v>2.4430150946463676</v>
      </c>
      <c r="G117" s="768">
        <f t="shared" si="37"/>
        <v>47.876188427886369</v>
      </c>
      <c r="H117" s="407">
        <f>G117+G116+G115</f>
        <v>356.87286919517561</v>
      </c>
      <c r="I117" s="407"/>
      <c r="J117" s="1023"/>
      <c r="K117" s="417"/>
      <c r="L117" s="386">
        <f t="shared" si="34"/>
        <v>0.15789473684210525</v>
      </c>
    </row>
    <row r="118" spans="1:12" ht="14.25">
      <c r="A118" s="969"/>
      <c r="B118" t="s">
        <v>394</v>
      </c>
      <c r="C118" s="367">
        <v>31582</v>
      </c>
      <c r="D118" s="368">
        <v>28</v>
      </c>
      <c r="E118" s="368">
        <f>D118*$R$17*$E$6/1000</f>
        <v>27.772598123200002</v>
      </c>
      <c r="F118" s="368">
        <f>D118*(($S$17*$E$6+($T$17+$Y$17)*$F$6))/1000</f>
        <v>7.8248280694902927</v>
      </c>
      <c r="G118" s="769">
        <f t="shared" si="37"/>
        <v>35.597426192690293</v>
      </c>
      <c r="H118" s="407">
        <f>G118+G117+G116+G115</f>
        <v>392.47029538786592</v>
      </c>
      <c r="I118" s="407"/>
      <c r="J118" s="1023"/>
      <c r="K118" s="417"/>
      <c r="L118" s="386">
        <f t="shared" si="34"/>
        <v>-0.22222222222222221</v>
      </c>
    </row>
    <row r="119" spans="1:12" ht="14.25">
      <c r="A119" s="969"/>
      <c r="B119" t="s">
        <v>416</v>
      </c>
      <c r="C119" s="367">
        <f>SUM(C116:C118)</f>
        <v>79991</v>
      </c>
      <c r="D119" s="367">
        <f>SUM(D116:D118)</f>
        <v>101</v>
      </c>
      <c r="E119" s="368">
        <f>SUM(E116:E118)</f>
        <v>229.09409831644004</v>
      </c>
      <c r="F119" s="368">
        <f>SUM(F116:F118)</f>
        <v>57.10733759358078</v>
      </c>
      <c r="G119" s="769">
        <f>E119+F119</f>
        <v>286.20143591002079</v>
      </c>
      <c r="H119" s="407">
        <f>G119+G115</f>
        <v>392.47029538786592</v>
      </c>
      <c r="I119" s="407">
        <f>D119+I115</f>
        <v>518</v>
      </c>
      <c r="J119" s="1023"/>
      <c r="K119" s="417">
        <f>(D119-D102)/D102</f>
        <v>-2.8846153846153848E-2</v>
      </c>
      <c r="L119" s="386">
        <f t="shared" si="34"/>
        <v>1.5282329657202279E-2</v>
      </c>
    </row>
    <row r="120" spans="1:12" ht="14.25">
      <c r="A120" s="969"/>
      <c r="B120" t="s">
        <v>490</v>
      </c>
      <c r="C120" s="367">
        <v>42</v>
      </c>
      <c r="D120" s="368">
        <v>10</v>
      </c>
      <c r="E120" s="368">
        <f>D120*$R$20*$E$6/1000</f>
        <v>0.42</v>
      </c>
      <c r="F120" s="368">
        <f>D120*(($S$20*$E$6+($T$20+$Y$19)*$F$6))/1000</f>
        <v>1.7757577499999999</v>
      </c>
      <c r="G120" s="769">
        <f>E120+F120</f>
        <v>2.1957577499999998</v>
      </c>
      <c r="H120" s="407">
        <f>H119+G120</f>
        <v>394.6660531378659</v>
      </c>
      <c r="I120" s="407"/>
      <c r="J120" s="1023"/>
      <c r="K120" s="417"/>
      <c r="L120" s="386">
        <f t="shared" si="34"/>
        <v>-9.0909090909090925E-2</v>
      </c>
    </row>
    <row r="121" spans="1:12" ht="14.25">
      <c r="A121" s="969"/>
      <c r="B121" t="s">
        <v>386</v>
      </c>
      <c r="C121" s="882">
        <v>2958</v>
      </c>
      <c r="D121" s="368">
        <v>760</v>
      </c>
      <c r="E121" s="368">
        <f>D121*$R$20*$E$6/1000</f>
        <v>31.92</v>
      </c>
      <c r="F121" s="368">
        <f>D121*(($S$20*$E$6+($T$20+$Y$20)*$F$6))/1000</f>
        <v>134.95758900000001</v>
      </c>
      <c r="G121" s="768">
        <f t="shared" ref="G121:G126" si="38">E121+F121</f>
        <v>166.877589</v>
      </c>
      <c r="H121" s="407">
        <f>G121+G119+G118+G120</f>
        <v>490.87220885271108</v>
      </c>
      <c r="I121" s="407"/>
      <c r="J121" s="1023"/>
      <c r="K121" s="417"/>
      <c r="L121" s="386">
        <f t="shared" si="34"/>
        <v>-5.1186017478152331E-2</v>
      </c>
    </row>
    <row r="122" spans="1:12" ht="14.25">
      <c r="A122" s="969"/>
      <c r="B122" t="s">
        <v>389</v>
      </c>
      <c r="C122" s="882">
        <f>19333+9867+7682</f>
        <v>36882</v>
      </c>
      <c r="D122" s="368">
        <v>6730</v>
      </c>
      <c r="E122" s="368">
        <f>D122*$R$21*$E$6/1000</f>
        <v>282.66000000000003</v>
      </c>
      <c r="F122" s="368">
        <f>D122*(($S$21*$E$6+($T$21+$Y$21)*$F$6))/1000</f>
        <v>1151.8714000895982</v>
      </c>
      <c r="G122" s="768">
        <f t="shared" si="38"/>
        <v>1434.5314000895983</v>
      </c>
      <c r="H122" s="407">
        <f>G122+G118+G120</f>
        <v>1472.3245840322886</v>
      </c>
      <c r="I122" s="407"/>
      <c r="J122" s="1023"/>
      <c r="K122" s="417">
        <f>(D122-D105)/D105</f>
        <v>1.2030075187969926E-2</v>
      </c>
      <c r="L122" s="386">
        <f t="shared" si="34"/>
        <v>1.2030075187969985E-2</v>
      </c>
    </row>
    <row r="123" spans="1:12" ht="14.25">
      <c r="A123" s="969"/>
      <c r="B123" t="s">
        <v>417</v>
      </c>
      <c r="C123" s="882">
        <f>SUM(C120:C122)</f>
        <v>39882</v>
      </c>
      <c r="D123" s="368">
        <f>SUM(D120:D122)</f>
        <v>7500</v>
      </c>
      <c r="E123" s="368">
        <f>SUM(E120:E122)</f>
        <v>315</v>
      </c>
      <c r="F123" s="368">
        <f>SUM(F120:F122)</f>
        <v>1288.6047468395982</v>
      </c>
      <c r="G123" s="768">
        <f t="shared" si="38"/>
        <v>1603.6047468395982</v>
      </c>
      <c r="H123" s="407">
        <f>G123</f>
        <v>1603.6047468395982</v>
      </c>
      <c r="I123" s="407">
        <f>D123+I119</f>
        <v>8018</v>
      </c>
      <c r="J123" s="1023"/>
      <c r="K123" s="417">
        <f>(D123-D106)/D106</f>
        <v>5.0924685071026534E-3</v>
      </c>
      <c r="L123" s="386">
        <f t="shared" si="34"/>
        <v>4.9068313865206683E-3</v>
      </c>
    </row>
    <row r="124" spans="1:12" ht="14.25">
      <c r="A124" s="969"/>
      <c r="B124" t="s">
        <v>412</v>
      </c>
      <c r="C124" s="882">
        <v>53046</v>
      </c>
      <c r="D124" s="368">
        <v>313</v>
      </c>
      <c r="E124" s="368">
        <f>D124*$R$23*$E$6/1000</f>
        <v>157.75201257352728</v>
      </c>
      <c r="F124" s="368">
        <f>D124*(($S$23*$E$6+($T$23+$Y$23)*$F$6))/1000</f>
        <v>16.791761030884913</v>
      </c>
      <c r="G124" s="768">
        <f t="shared" si="38"/>
        <v>174.54377360441219</v>
      </c>
      <c r="H124" s="407">
        <f>G123+G124</f>
        <v>1778.1485204440105</v>
      </c>
      <c r="I124" s="407">
        <f>I123+D124</f>
        <v>8331</v>
      </c>
      <c r="J124" s="1023"/>
      <c r="K124" s="417">
        <f>(D124-D107)/D107</f>
        <v>-0.32543103448275862</v>
      </c>
      <c r="L124" s="386">
        <f t="shared" si="34"/>
        <v>-0.32543103448275862</v>
      </c>
    </row>
    <row r="125" spans="1:12" ht="14.25">
      <c r="A125" s="969"/>
      <c r="B125" t="s">
        <v>419</v>
      </c>
      <c r="C125" s="882">
        <v>1883</v>
      </c>
      <c r="D125" s="368">
        <v>49</v>
      </c>
      <c r="E125" s="368">
        <f>D125*$R$24*$E$6/1000</f>
        <v>6.86</v>
      </c>
      <c r="F125" s="368">
        <f>D125*(($S$24*$E$6+($T$24+$Y$24)*$F$6))/1000</f>
        <v>2.1003500889405999</v>
      </c>
      <c r="G125" s="768">
        <f t="shared" si="38"/>
        <v>8.9603500889406007</v>
      </c>
      <c r="H125" s="407">
        <f>SUM(G123:G125)</f>
        <v>1787.1088705329512</v>
      </c>
      <c r="I125" s="407">
        <f>D125+I124</f>
        <v>8380</v>
      </c>
      <c r="J125" s="1023"/>
      <c r="K125" s="417">
        <f>(D125-D108)/D108</f>
        <v>8.8888888888888892E-2</v>
      </c>
      <c r="L125" s="386">
        <f t="shared" si="34"/>
        <v>8.8888888888888989E-2</v>
      </c>
    </row>
    <row r="126" spans="1:12" ht="15" thickBot="1">
      <c r="A126" s="1022"/>
      <c r="B126" t="s">
        <v>420</v>
      </c>
      <c r="C126" s="883">
        <v>719612</v>
      </c>
      <c r="D126" s="376">
        <v>63013</v>
      </c>
      <c r="E126" s="368">
        <f>D126*$R$25*$E$6/1000</f>
        <v>35.287258827631995</v>
      </c>
      <c r="F126" s="368">
        <f>D126*(($S$25*$E$6+($T$25+$Y$25)*$F$6))/1000</f>
        <v>350.44562227427798</v>
      </c>
      <c r="G126" s="770">
        <f t="shared" si="38"/>
        <v>385.73288110190998</v>
      </c>
      <c r="H126" s="407">
        <f>SUM(G123:G126)+G119+G115</f>
        <v>2565.3120470227273</v>
      </c>
      <c r="I126" s="407">
        <f>I125+D126</f>
        <v>71393</v>
      </c>
      <c r="J126" s="1023"/>
      <c r="K126" s="417">
        <f>(D126-D109)/D109</f>
        <v>-4.6543297674348227E-2</v>
      </c>
      <c r="L126" s="386">
        <f t="shared" si="34"/>
        <v>-4.6543297674348262E-2</v>
      </c>
    </row>
    <row r="127" spans="1:12" ht="15" thickBot="1">
      <c r="A127" s="379" t="s">
        <v>21</v>
      </c>
      <c r="B127" s="380">
        <f>A111</f>
        <v>2022</v>
      </c>
      <c r="C127" s="381">
        <f>SUM(C123:C126)</f>
        <v>814423</v>
      </c>
      <c r="D127" s="381"/>
      <c r="E127" s="412">
        <f>SUM(E123:E126)+E119+E115</f>
        <v>836.55033023846261</v>
      </c>
      <c r="F127" s="412">
        <f>SUM(F123:F126)+F119+F115</f>
        <v>1728.7617167842641</v>
      </c>
      <c r="G127" s="771">
        <f>E127+F127</f>
        <v>2565.3120470227268</v>
      </c>
      <c r="H127" s="382">
        <f>H126</f>
        <v>2565.3120470227273</v>
      </c>
      <c r="I127" s="382">
        <f>SUM(I123:I126)</f>
        <v>96122</v>
      </c>
      <c r="J127" s="1024"/>
      <c r="K127" s="397">
        <f>(I127-I110)/I110</f>
        <v>-3.3901201065380172E-2</v>
      </c>
      <c r="L127" s="398">
        <f>(G127-G110)/G110</f>
        <v>-3.3442315878842541E-2</v>
      </c>
    </row>
    <row r="128" spans="1:12">
      <c r="D128" s="858"/>
    </row>
    <row r="129" spans="4:4">
      <c r="D129" s="25"/>
    </row>
  </sheetData>
  <mergeCells count="20">
    <mergeCell ref="A111:A126"/>
    <mergeCell ref="J111:J127"/>
    <mergeCell ref="A94:A109"/>
    <mergeCell ref="J94:J110"/>
    <mergeCell ref="J77:J93"/>
    <mergeCell ref="E7:F7"/>
    <mergeCell ref="A9:A24"/>
    <mergeCell ref="A26:A41"/>
    <mergeCell ref="J26:J42"/>
    <mergeCell ref="A7:B7"/>
    <mergeCell ref="A43:A58"/>
    <mergeCell ref="J43:J59"/>
    <mergeCell ref="A60:A75"/>
    <mergeCell ref="J60:J76"/>
    <mergeCell ref="A77:A92"/>
    <mergeCell ref="A2:L2"/>
    <mergeCell ref="A3:B5"/>
    <mergeCell ref="C3:L3"/>
    <mergeCell ref="H4:H6"/>
    <mergeCell ref="J4:L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906C-B4A7-4107-B3FB-DCBB0BBAC777}">
  <dimension ref="A4:A20"/>
  <sheetViews>
    <sheetView showGridLines="0" workbookViewId="0"/>
  </sheetViews>
  <sheetFormatPr defaultColWidth="9.1328125" defaultRowHeight="13"/>
  <cols>
    <col min="1" max="16384" width="9.1328125" style="432"/>
  </cols>
  <sheetData>
    <row r="4" spans="1:1">
      <c r="A4" s="432">
        <v>2020</v>
      </c>
    </row>
    <row r="5" spans="1:1">
      <c r="A5" s="432" t="s">
        <v>628</v>
      </c>
    </row>
    <row r="6" spans="1:1">
      <c r="A6" s="432" t="s">
        <v>629</v>
      </c>
    </row>
    <row r="7" spans="1:1">
      <c r="A7" s="432" t="s">
        <v>558</v>
      </c>
    </row>
    <row r="8" spans="1:1">
      <c r="A8" s="432" t="s">
        <v>559</v>
      </c>
    </row>
    <row r="9" spans="1:1">
      <c r="A9" s="432" t="s">
        <v>557</v>
      </c>
    </row>
    <row r="10" spans="1:1">
      <c r="A10" s="438" t="s">
        <v>577</v>
      </c>
    </row>
    <row r="11" spans="1:1">
      <c r="A11" s="432" t="s">
        <v>631</v>
      </c>
    </row>
    <row r="12" spans="1:1">
      <c r="A12" s="432" t="s">
        <v>632</v>
      </c>
    </row>
    <row r="13" spans="1:1">
      <c r="A13" s="432" t="s">
        <v>630</v>
      </c>
    </row>
    <row r="14" spans="1:1">
      <c r="A14" s="432" t="s">
        <v>633</v>
      </c>
    </row>
    <row r="20" spans="1:1">
      <c r="A20" s="432">
        <v>2022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3D0E-E168-4BD2-B54D-5555CE0374FD}">
  <dimension ref="B4:AC98"/>
  <sheetViews>
    <sheetView showGridLines="0" showRowColHeaders="0" tabSelected="1" workbookViewId="0">
      <selection activeCell="C62" sqref="C62"/>
    </sheetView>
  </sheetViews>
  <sheetFormatPr defaultColWidth="9.1328125" defaultRowHeight="13"/>
  <cols>
    <col min="1" max="1" width="1.7265625" style="432" customWidth="1"/>
    <col min="2" max="2" width="32.26953125" style="432" customWidth="1"/>
    <col min="3" max="3" width="16" style="432" customWidth="1"/>
    <col min="4" max="4" width="15" style="432" customWidth="1"/>
    <col min="5" max="5" width="11.40625" style="432" customWidth="1"/>
    <col min="6" max="6" width="10.86328125" style="432" customWidth="1"/>
    <col min="7" max="7" width="16.1328125" style="432" customWidth="1"/>
    <col min="8" max="8" width="21" style="432" customWidth="1"/>
    <col min="9" max="9" width="16.1328125" style="432" customWidth="1"/>
    <col min="10" max="11" width="9.1328125" style="432"/>
    <col min="12" max="12" width="10.1328125" style="432" bestFit="1" customWidth="1"/>
    <col min="13" max="16384" width="9.1328125" style="432"/>
  </cols>
  <sheetData>
    <row r="4" spans="2:28" ht="20.5">
      <c r="B4"/>
      <c r="C4" s="756" t="s">
        <v>616</v>
      </c>
      <c r="D4" s="757">
        <v>2022</v>
      </c>
    </row>
    <row r="7" spans="2:28">
      <c r="AB7"/>
    </row>
    <row r="9" spans="2:28" ht="18">
      <c r="B9" s="433" t="s">
        <v>102</v>
      </c>
      <c r="C9" s="441" t="s">
        <v>377</v>
      </c>
    </row>
    <row r="10" spans="2:28" ht="13.75" thickBot="1">
      <c r="C10" s="434" t="s">
        <v>21</v>
      </c>
      <c r="D10" s="434" t="s">
        <v>3</v>
      </c>
      <c r="E10" s="434" t="s">
        <v>14</v>
      </c>
      <c r="F10" s="434" t="s">
        <v>5</v>
      </c>
    </row>
    <row r="11" spans="2:28" ht="16" thickTop="1" thickBot="1">
      <c r="B11" s="435" t="s">
        <v>6</v>
      </c>
      <c r="C11" s="436">
        <f>C12+C14+C15</f>
        <v>35958.291891643195</v>
      </c>
      <c r="D11" s="437">
        <f>C15</f>
        <v>10358.140059643192</v>
      </c>
      <c r="E11" s="437">
        <f>C11-C13-C15</f>
        <v>25309.562992000006</v>
      </c>
      <c r="F11" s="437">
        <f>C13</f>
        <v>290.58884</v>
      </c>
    </row>
    <row r="12" spans="2:28" ht="13.75" thickTop="1">
      <c r="B12" s="432" t="s">
        <v>67</v>
      </c>
      <c r="C12" s="437">
        <f>INDEX(Reykjavík!$A$2:$J$60,MATCH("Losun vegna raforku",Reykjavík!$A$2:$A$60,0),MATCH($D$4,Reykjavík!$A$3:$J$3,0))</f>
        <v>6618.9558319999996</v>
      </c>
    </row>
    <row r="13" spans="2:28">
      <c r="B13" s="438" t="s">
        <v>624</v>
      </c>
      <c r="C13" s="437">
        <f>INDEX(Reykjavík!$A$2:$J$60,MATCH(" Þar af vegna dreifitapa",Reykjavík!$A$2:$A$60,0),MATCH($D$4,Reykjavík!$A$3:$J$3,0))</f>
        <v>290.58884</v>
      </c>
    </row>
    <row r="14" spans="2:28">
      <c r="B14" s="432" t="s">
        <v>104</v>
      </c>
      <c r="C14" s="437">
        <f>INDEX(Reykjavík!$A$2:$J$60,MATCH("Losun vegna hitaveitu",Reykjavík!$A$2:$A$60,0),MATCH($D$4,Reykjavík!$A$3:$J$3,0))</f>
        <v>18981.196</v>
      </c>
      <c r="G14" s="438"/>
    </row>
    <row r="15" spans="2:28">
      <c r="B15" s="432" t="s">
        <v>687</v>
      </c>
      <c r="C15" s="437">
        <f>INDEX(Reykjavík!$A$100:$J$140,MATCH("byggingariðnaður - orka á verkstað",Reykjavík!$A$100:$A$140,0),MATCH($D$4,Reykjavík!$A$3:$J$3,0))</f>
        <v>10358.140059643192</v>
      </c>
      <c r="G15" s="438"/>
    </row>
    <row r="16" spans="2:28" ht="15.25" thickBot="1">
      <c r="B16" s="435" t="s">
        <v>78</v>
      </c>
      <c r="C16" s="436">
        <f>C17+C18+C19</f>
        <v>398465.92200513411</v>
      </c>
      <c r="D16" s="437">
        <f>C16</f>
        <v>398465.92200513411</v>
      </c>
    </row>
    <row r="17" spans="2:29" ht="13.75" thickTop="1">
      <c r="B17" s="432" t="s">
        <v>105</v>
      </c>
      <c r="C17" s="437">
        <f>INDEX(Reykjavík!$A$2:$J$60,MATCH("Losun vegna götuumferðar",Reykjavík!$A$2:$A$60,0),MATCH($D$4,Reykjavík!$A$3:$J$3,0))</f>
        <v>339943.74539936369</v>
      </c>
      <c r="AC17"/>
    </row>
    <row r="18" spans="2:29">
      <c r="B18" s="432" t="s">
        <v>106</v>
      </c>
      <c r="C18" s="437">
        <f>INDEX(Reykjavík!$A$2:$J$60,MATCH("Losun vegna skipa",Reykjavík!$A$2:$A$60,0),MATCH($D$4,Reykjavík!$A$3:$J$3,0))</f>
        <v>52583</v>
      </c>
    </row>
    <row r="19" spans="2:29">
      <c r="B19" s="432" t="s">
        <v>107</v>
      </c>
      <c r="C19" s="437">
        <f>INDEX(Reykjavík!$A$2:$J$60,MATCH("Losun vegna flugumferðar",Reykjavík!$A$2:$A$60,0),MATCH($D$4,Reykjavík!$A$3:$J$3,0))</f>
        <v>5939.1766057704244</v>
      </c>
    </row>
    <row r="20" spans="2:29" ht="15.25" thickBot="1">
      <c r="B20" s="435" t="s">
        <v>32</v>
      </c>
      <c r="C20" s="436">
        <f>C21-C22+C23-C24+C25+C26</f>
        <v>45958.8191730935</v>
      </c>
      <c r="D20" s="437">
        <f>C20-C25</f>
        <v>42988.252345609377</v>
      </c>
      <c r="F20" s="437">
        <f>C25</f>
        <v>2970.5668274841223</v>
      </c>
    </row>
    <row r="21" spans="2:29" ht="13.75" thickTop="1">
      <c r="B21" s="432" t="s">
        <v>108</v>
      </c>
      <c r="C21" s="437">
        <f>INDEX(Reykjavík!$A$2:$J$60,MATCH("Losun vegna urðunar",Reykjavík!$A$2:$A$60,0),MATCH($D$4,Reykjavík!$A$3:$J$3,0))</f>
        <v>56534.799968472958</v>
      </c>
    </row>
    <row r="22" spans="2:29">
      <c r="B22" s="438" t="s">
        <v>604</v>
      </c>
      <c r="C22" s="437">
        <f>C21-INDEX(Reykjavík!$A$2:$J$60,MATCH("urðun úrgangs reykjavíkur",Reykjavík!$A$2:$A$60,0),MATCH($D$4,Reykjavík!$A$3:$J$3,0))</f>
        <v>24656.651304828156</v>
      </c>
      <c r="E22" s="437"/>
    </row>
    <row r="23" spans="2:29">
      <c r="B23" s="438" t="s">
        <v>55</v>
      </c>
      <c r="C23" s="437">
        <f>INDEX(Reykjavík!$A$2:$J$60,MATCH("losun vegna jarðgerðar",Reykjavík!$A$2:$A$60,0),MATCH($D$4,Reykjavík!$A$3:$J$3,0))</f>
        <v>4626.1120000000001</v>
      </c>
    </row>
    <row r="24" spans="2:29">
      <c r="B24" s="438" t="s">
        <v>604</v>
      </c>
      <c r="C24" s="437">
        <f>C23-INDEX(Reykjavík!$A$2:$J$60,MATCH("jarðgerð úrgangs reykjavíkur",Reykjavík!$A$2:$A$60,0),MATCH($D$4,Reykjavík!$A$3:$J$3,0))</f>
        <v>2017.5967818881477</v>
      </c>
    </row>
    <row r="25" spans="2:29">
      <c r="B25" s="432" t="s">
        <v>109</v>
      </c>
      <c r="C25" s="437">
        <f>INDEX(Reykjavík!$A$2:$J$60,MATCH("Losun vegna brennslu",Reykjavík!$A$2:$A$60,0),MATCH($D$4,Reykjavík!$A$3:$J$3,0))</f>
        <v>2970.5668274841223</v>
      </c>
    </row>
    <row r="26" spans="2:29">
      <c r="B26" s="432" t="s">
        <v>110</v>
      </c>
      <c r="C26" s="437">
        <f>INDEX(Reykjavík!$A$2:$J$60,MATCH("Losun vegna fráveitu",Reykjavík!$A$2:$A$60,0),MATCH($D$4,Reykjavík!$A$3:$J$3,0))</f>
        <v>8501.5884638527223</v>
      </c>
    </row>
    <row r="27" spans="2:29" ht="15.25" thickBot="1">
      <c r="B27" s="435" t="s">
        <v>495</v>
      </c>
      <c r="C27" s="436">
        <f>C28+C29</f>
        <v>47987.31204702273</v>
      </c>
      <c r="D27" s="437">
        <f>C27</f>
        <v>47987.31204702273</v>
      </c>
    </row>
    <row r="28" spans="2:29" ht="13.75" thickTop="1">
      <c r="B28" s="432" t="s">
        <v>112</v>
      </c>
      <c r="C28" s="437">
        <f>INDEX(Reykjavík!$A$2:$J$60,MATCH("Losun vegna búfjárræktunar",Reykjavík!$A$2:$A$60,0),MATCH($D$4,Reykjavík!$A$3:$J$3,0))</f>
        <v>2565.3120470227268</v>
      </c>
    </row>
    <row r="29" spans="2:29">
      <c r="B29" s="432" t="s">
        <v>111</v>
      </c>
      <c r="C29" s="432">
        <f>INDEX(Reykjavík!$A$2:$J$60,MATCH("Losun vegna landnotkunar",Reykjavík!$A$2:$A$60,0),MATCH($D$4,Reykjavík!$A$3:$J$3,0))</f>
        <v>45422</v>
      </c>
    </row>
    <row r="30" spans="2:29" ht="15.25" thickBot="1">
      <c r="B30" s="435" t="s">
        <v>547</v>
      </c>
      <c r="C30" s="436">
        <f>C31+C33+C32</f>
        <v>114326.52478127295</v>
      </c>
      <c r="D30" s="437">
        <f>C30-C32-C33</f>
        <v>39452.006822297313</v>
      </c>
      <c r="E30" s="439"/>
      <c r="F30" s="437">
        <f>C32+C33</f>
        <v>74874.517958975644</v>
      </c>
    </row>
    <row r="31" spans="2:29" ht="13.75" thickTop="1">
      <c r="B31" s="752" t="s">
        <v>48</v>
      </c>
      <c r="C31" s="748">
        <f>INDEX(Reykjavík!$A$2:$J$140,MATCH("Samtals losun vegna efnanotkunar",Reykjavík!$A$2:$A$140,0),MATCH($D$4,Reykjavík!$A$3:$J$3,0))</f>
        <v>39452.00682229732</v>
      </c>
      <c r="D31" s="437"/>
      <c r="E31" s="439"/>
      <c r="F31" s="437"/>
    </row>
    <row r="32" spans="2:29">
      <c r="B32" s="752" t="s">
        <v>684</v>
      </c>
      <c r="C32" s="748">
        <f>INDEX(Reykjavík!$A$2:$J$140,MATCH("byggingariðnaður - efni",Reykjavík!$A$2:$A$140,0),MATCH($D$4,Reykjavík!$A$3:$J$3,0))</f>
        <v>68054.941422967138</v>
      </c>
      <c r="F32" s="437"/>
    </row>
    <row r="33" spans="2:6">
      <c r="B33" s="752" t="s">
        <v>42</v>
      </c>
      <c r="C33" s="748">
        <f>INDEX(Reykjavík!$A$2:$J$140,MATCH("losun matvælaframleiðslu í RVK",Reykjavík!$A$2:$A$140,0),MATCH($D$4,Reykjavík!$A$3:$J$3,0))</f>
        <v>6819.5765360085006</v>
      </c>
      <c r="F33" s="437"/>
    </row>
    <row r="34" spans="2:6" ht="14.5">
      <c r="B34" s="440" t="s">
        <v>21</v>
      </c>
      <c r="C34" s="775">
        <f>C27+C20+C16+C11+C30</f>
        <v>642696.86989816651</v>
      </c>
      <c r="D34" s="775">
        <f>SUM(D11:D32)</f>
        <v>539251.6332797067</v>
      </c>
      <c r="E34" s="775">
        <f>SUM(E11:E32)</f>
        <v>25309.562992000006</v>
      </c>
      <c r="F34" s="775">
        <f>SUM(F11:F32)</f>
        <v>78135.673626459771</v>
      </c>
    </row>
    <row r="35" spans="2:6">
      <c r="B35" s="778" t="s">
        <v>619</v>
      </c>
      <c r="C35" s="776">
        <f>Reykjavík!L164</f>
        <v>4.7365785470945587</v>
      </c>
      <c r="D35" s="776">
        <f>Reykjavík!L165</f>
        <v>3.9742028276613017</v>
      </c>
      <c r="E35" s="777">
        <f>Reykjavík!L166</f>
        <v>0.18652764424267437</v>
      </c>
      <c r="F35" s="777">
        <f>Reykjavík!L167</f>
        <v>0.57584807519058245</v>
      </c>
    </row>
    <row r="39" spans="2:6">
      <c r="D39" s="437"/>
    </row>
    <row r="48" spans="2:6">
      <c r="F48" s="437"/>
    </row>
    <row r="49" spans="2:6">
      <c r="F49" s="437"/>
    </row>
    <row r="50" spans="2:6">
      <c r="F50" s="437"/>
    </row>
    <row r="51" spans="2:6">
      <c r="F51" s="437"/>
    </row>
    <row r="52" spans="2:6">
      <c r="F52" s="437"/>
    </row>
    <row r="53" spans="2:6">
      <c r="F53" s="437"/>
    </row>
    <row r="54" spans="2:6">
      <c r="F54" s="437"/>
    </row>
    <row r="55" spans="2:6">
      <c r="F55" s="437"/>
    </row>
    <row r="56" spans="2:6">
      <c r="F56" s="437"/>
    </row>
    <row r="57" spans="2:6">
      <c r="F57" s="437"/>
    </row>
    <row r="61" spans="2:6">
      <c r="B61" s="759" t="s">
        <v>615</v>
      </c>
      <c r="C61" s="759" t="s">
        <v>621</v>
      </c>
    </row>
    <row r="62" spans="2:6" ht="18">
      <c r="B62" s="758" t="s">
        <v>614</v>
      </c>
      <c r="C62" s="758" t="s">
        <v>548</v>
      </c>
    </row>
    <row r="77" spans="7:8" ht="15.25">
      <c r="G77" s="754">
        <f>Reykjavík!L131</f>
        <v>480092.4442298708</v>
      </c>
      <c r="H77" s="749" t="s">
        <v>617</v>
      </c>
    </row>
    <row r="78" spans="7:8" ht="15.25">
      <c r="G78" s="755">
        <f>Reykjavík!L162</f>
        <v>3.5382085684059814</v>
      </c>
      <c r="H78" s="749" t="s">
        <v>618</v>
      </c>
    </row>
    <row r="85" spans="2:3">
      <c r="B85" s="759" t="s">
        <v>615</v>
      </c>
      <c r="C85" s="759" t="s">
        <v>621</v>
      </c>
    </row>
    <row r="86" spans="2:3" ht="18">
      <c r="B86" s="758" t="s">
        <v>614</v>
      </c>
      <c r="C86" s="758" t="s">
        <v>549</v>
      </c>
    </row>
    <row r="97" spans="7:8" ht="15.25">
      <c r="G97" s="754">
        <f>Reykjavík!L132</f>
        <v>567822.35193919088</v>
      </c>
      <c r="H97" s="749" t="s">
        <v>617</v>
      </c>
    </row>
    <row r="98" spans="7:8" ht="15.25">
      <c r="G98" s="755">
        <f>Reykjavík!L163</f>
        <v>4.184764695029707</v>
      </c>
      <c r="H98" s="749" t="s">
        <v>618</v>
      </c>
    </row>
  </sheetData>
  <sheetProtection algorithmName="SHA-512" hashValue="9B3b7YUaTxZWuawdANEj/1Nwk3aA6fgeHOPe4vJv/jV7ZwntAMLsBq4Ry9MLgdepV55VyLIDVd6MK5vkqle3eQ==" saltValue="9/+aSPlttLwJxEkDpbIs5w==" spinCount="100000" sheet="1"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3E34C25-EE92-4947-BE41-B0F371D4EAF2}">
          <x14:formula1>
            <xm:f>Reykjavík!$D$3:$J$3</xm:f>
          </x14:formula1>
          <xm:sqref>D4</xm:sqref>
        </x14:dataValidation>
        <x14:dataValidation type="list" allowBlank="1" showInputMessage="1" showErrorMessage="1" xr:uid="{44E761EC-1901-4D9E-9026-3055F4F3E89A}">
          <x14:formula1>
            <xm:f>Reykjavík!$O$118:$T$118</xm:f>
          </x14:formula1>
          <xm:sqref>B62 B86</xm:sqref>
        </x14:dataValidation>
        <x14:dataValidation type="list" allowBlank="1" showInputMessage="1" showErrorMessage="1" xr:uid="{B541C18B-30E1-45D0-A621-103DCE61DD1D}">
          <x14:formula1>
            <xm:f>OFFSET(Reykjavík!$O$118,1,MATCH($B62,Reykjavík!$O$118:$T$118,0)-1,COUNTA(OFFSET(Reykjavík!$O$118,1,MATCH($B62,Reykjavík!$O$118:$T$118,0)-1,7,1)),1)</xm:f>
          </x14:formula1>
          <xm:sqref>C62 C86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BA52-C874-41B4-B6E8-24A5306B3580}">
  <dimension ref="B4:AC98"/>
  <sheetViews>
    <sheetView showGridLines="0" workbookViewId="0">
      <selection activeCell="C86" sqref="C86:D86"/>
    </sheetView>
  </sheetViews>
  <sheetFormatPr defaultColWidth="9.1328125" defaultRowHeight="13"/>
  <cols>
    <col min="1" max="1" width="1.7265625" style="432" customWidth="1"/>
    <col min="2" max="2" width="32.26953125" style="432" customWidth="1"/>
    <col min="3" max="3" width="16" style="432" customWidth="1"/>
    <col min="4" max="4" width="15" style="432" customWidth="1"/>
    <col min="5" max="5" width="11.40625" style="432" customWidth="1"/>
    <col min="6" max="6" width="10.86328125" style="432" customWidth="1"/>
    <col min="7" max="7" width="16.1328125" style="432" customWidth="1"/>
    <col min="8" max="8" width="21" style="432" customWidth="1"/>
    <col min="9" max="9" width="16.1328125" style="432" customWidth="1"/>
    <col min="10" max="11" width="9.1328125" style="432"/>
    <col min="12" max="12" width="10.1328125" style="432" bestFit="1" customWidth="1"/>
    <col min="13" max="16384" width="9.1328125" style="432"/>
  </cols>
  <sheetData>
    <row r="4" spans="2:28" ht="20.5">
      <c r="B4"/>
      <c r="C4" s="756" t="s">
        <v>698</v>
      </c>
      <c r="D4" s="757">
        <v>2022</v>
      </c>
    </row>
    <row r="7" spans="2:28">
      <c r="AB7"/>
    </row>
    <row r="9" spans="2:28" ht="18.75">
      <c r="B9" s="433" t="s">
        <v>699</v>
      </c>
      <c r="C9" s="441" t="s">
        <v>700</v>
      </c>
    </row>
    <row r="10" spans="2:28" ht="13.75" thickBot="1">
      <c r="C10" s="434" t="s">
        <v>457</v>
      </c>
      <c r="D10" s="434" t="s">
        <v>701</v>
      </c>
      <c r="E10" s="434" t="s">
        <v>702</v>
      </c>
      <c r="F10" s="434" t="s">
        <v>703</v>
      </c>
    </row>
    <row r="11" spans="2:28" ht="16" thickTop="1" thickBot="1">
      <c r="B11" s="435" t="s">
        <v>704</v>
      </c>
      <c r="C11" s="436">
        <f>C12+C14+C15</f>
        <v>35958.291891643195</v>
      </c>
      <c r="D11" s="437">
        <f>C15</f>
        <v>10358.140059643192</v>
      </c>
      <c r="E11" s="437">
        <f>C11-C13-C15</f>
        <v>25309.562992000006</v>
      </c>
      <c r="F11" s="437">
        <f>C13</f>
        <v>290.58884</v>
      </c>
    </row>
    <row r="12" spans="2:28" ht="13.75" thickTop="1">
      <c r="B12" s="432" t="s">
        <v>705</v>
      </c>
      <c r="C12" s="437">
        <f>INDEX(Reykjavík!$A$2:$J$60,MATCH("Losun vegna raforku",Reykjavík!$A$2:$A$60,0),MATCH($D$4,Reykjavík!$A$3:$J$3,0))</f>
        <v>6618.9558319999996</v>
      </c>
    </row>
    <row r="13" spans="2:28">
      <c r="B13" s="438" t="s">
        <v>706</v>
      </c>
      <c r="C13" s="437">
        <f>INDEX(Reykjavík!$A$2:$J$60,MATCH(" Þar af vegna dreifitapa",Reykjavík!$A$2:$A$60,0),MATCH($D$4,Reykjavík!$A$3:$J$3,0))</f>
        <v>290.58884</v>
      </c>
    </row>
    <row r="14" spans="2:28">
      <c r="B14" s="432" t="s">
        <v>707</v>
      </c>
      <c r="C14" s="437">
        <f>INDEX(Reykjavík!$A$2:$J$60,MATCH("Losun vegna hitaveitu",Reykjavík!$A$2:$A$60,0),MATCH($D$4,Reykjavík!$A$3:$J$3,0))</f>
        <v>18981.196</v>
      </c>
      <c r="G14" s="438"/>
    </row>
    <row r="15" spans="2:28">
      <c r="B15" s="432" t="s">
        <v>708</v>
      </c>
      <c r="C15" s="437">
        <f>INDEX(Reykjavík!$A$100:$J$140,MATCH("byggingariðnaður - orka á verkstað",Reykjavík!$A$100:$A$140,0),MATCH($D$4,Reykjavík!$A$3:$J$3,0))</f>
        <v>10358.140059643192</v>
      </c>
      <c r="G15" s="438"/>
    </row>
    <row r="16" spans="2:28" ht="15.25" thickBot="1">
      <c r="B16" s="435" t="s">
        <v>709</v>
      </c>
      <c r="C16" s="436">
        <f>C17+C18+C19</f>
        <v>398465.92200513411</v>
      </c>
      <c r="D16" s="437">
        <f>C16</f>
        <v>398465.92200513411</v>
      </c>
    </row>
    <row r="17" spans="2:29" ht="13.75" thickTop="1">
      <c r="B17" s="432" t="s">
        <v>710</v>
      </c>
      <c r="C17" s="437">
        <f>INDEX(Reykjavík!$A$2:$J$60,MATCH("Losun vegna götuumferðar",Reykjavík!$A$2:$A$60,0),MATCH($D$4,Reykjavík!$A$3:$J$3,0))</f>
        <v>339943.74539936369</v>
      </c>
      <c r="AC17"/>
    </row>
    <row r="18" spans="2:29">
      <c r="B18" s="432" t="s">
        <v>711</v>
      </c>
      <c r="C18" s="437">
        <f>INDEX(Reykjavík!$A$2:$J$60,MATCH("Losun vegna skipa",Reykjavík!$A$2:$A$60,0),MATCH($D$4,Reykjavík!$A$3:$J$3,0))</f>
        <v>52583</v>
      </c>
    </row>
    <row r="19" spans="2:29">
      <c r="B19" s="432" t="s">
        <v>712</v>
      </c>
      <c r="C19" s="437">
        <f>INDEX(Reykjavík!$A$2:$J$60,MATCH("Losun vegna flugumferðar",Reykjavík!$A$2:$A$60,0),MATCH($D$4,Reykjavík!$A$3:$J$3,0))</f>
        <v>5939.1766057704244</v>
      </c>
    </row>
    <row r="20" spans="2:29" ht="15.25" thickBot="1">
      <c r="B20" s="435" t="s">
        <v>713</v>
      </c>
      <c r="C20" s="436">
        <f>C21-C22+C23-C24+C25+C26</f>
        <v>45958.8191730935</v>
      </c>
      <c r="D20" s="437">
        <f>C20-C25</f>
        <v>42988.252345609377</v>
      </c>
      <c r="F20" s="437">
        <f>C25</f>
        <v>2970.5668274841223</v>
      </c>
    </row>
    <row r="21" spans="2:29" ht="13.75" thickTop="1">
      <c r="B21" s="432" t="s">
        <v>714</v>
      </c>
      <c r="C21" s="437">
        <f>INDEX(Reykjavík!$A$2:$J$60,MATCH("Losun vegna urðunar",Reykjavík!$A$2:$A$60,0),MATCH($D$4,Reykjavík!$A$3:$J$3,0))</f>
        <v>56534.799968472958</v>
      </c>
    </row>
    <row r="22" spans="2:29">
      <c r="B22" s="438" t="s">
        <v>715</v>
      </c>
      <c r="C22" s="437">
        <f>C21-INDEX(Reykjavík!$A$2:$J$60,MATCH("urðun úrgangs reykjavíkur",Reykjavík!$A$2:$A$60,0),MATCH($D$4,Reykjavík!$A$3:$J$3,0))</f>
        <v>24656.651304828156</v>
      </c>
      <c r="E22" s="437"/>
    </row>
    <row r="23" spans="2:29">
      <c r="B23" s="438" t="s">
        <v>716</v>
      </c>
      <c r="C23" s="437">
        <f>INDEX(Reykjavík!$A$2:$J$60,MATCH("losun vegna jarðgerðar",Reykjavík!$A$2:$A$60,0),MATCH($D$4,Reykjavík!$A$3:$J$3,0))</f>
        <v>4626.1120000000001</v>
      </c>
    </row>
    <row r="24" spans="2:29">
      <c r="B24" s="438" t="s">
        <v>715</v>
      </c>
      <c r="C24" s="437">
        <f>C23-INDEX(Reykjavík!$A$2:$J$60,MATCH("jarðgerð úrgangs reykjavíkur",Reykjavík!$A$2:$A$60,0),MATCH($D$4,Reykjavík!$A$3:$J$3,0))</f>
        <v>2017.5967818881477</v>
      </c>
    </row>
    <row r="25" spans="2:29">
      <c r="B25" s="432" t="s">
        <v>717</v>
      </c>
      <c r="C25" s="437">
        <f>INDEX(Reykjavík!$A$2:$J$60,MATCH("Losun vegna brennslu",Reykjavík!$A$2:$A$60,0),MATCH($D$4,Reykjavík!$A$3:$J$3,0))</f>
        <v>2970.5668274841223</v>
      </c>
    </row>
    <row r="26" spans="2:29">
      <c r="B26" s="432" t="s">
        <v>718</v>
      </c>
      <c r="C26" s="437">
        <f>INDEX(Reykjavík!$A$2:$J$60,MATCH("Losun vegna fráveitu",Reykjavík!$A$2:$A$60,0),MATCH($D$4,Reykjavík!$A$3:$J$3,0))</f>
        <v>8501.5884638527223</v>
      </c>
    </row>
    <row r="27" spans="2:29" ht="15.25" thickBot="1">
      <c r="B27" s="435" t="s">
        <v>719</v>
      </c>
      <c r="C27" s="436">
        <f>C28+C29</f>
        <v>47987.31204702273</v>
      </c>
      <c r="D27" s="437">
        <f>C27</f>
        <v>47987.31204702273</v>
      </c>
    </row>
    <row r="28" spans="2:29" ht="13.75" thickTop="1">
      <c r="B28" s="432" t="s">
        <v>720</v>
      </c>
      <c r="C28" s="437">
        <f>INDEX(Reykjavík!$A$2:$J$60,MATCH("Losun vegna búfjárræktunar",Reykjavík!$A$2:$A$60,0),MATCH($D$4,Reykjavík!$A$3:$J$3,0))</f>
        <v>2565.3120470227268</v>
      </c>
    </row>
    <row r="29" spans="2:29">
      <c r="B29" s="432" t="s">
        <v>721</v>
      </c>
      <c r="C29" s="432">
        <f>INDEX(Reykjavík!$A$2:$J$60,MATCH("Losun vegna landnotkunar",Reykjavík!$A$2:$A$60,0),MATCH($D$4,Reykjavík!$A$3:$J$3,0))</f>
        <v>45422</v>
      </c>
    </row>
    <row r="30" spans="2:29" ht="15.25" thickBot="1">
      <c r="B30" s="435" t="s">
        <v>722</v>
      </c>
      <c r="C30" s="436">
        <f>C31+C33+C32</f>
        <v>114326.52478127295</v>
      </c>
      <c r="D30" s="437">
        <f>C30-C32-C33</f>
        <v>39452.006822297313</v>
      </c>
      <c r="E30" s="439"/>
      <c r="F30" s="437">
        <f>C32+C33</f>
        <v>74874.517958975644</v>
      </c>
    </row>
    <row r="31" spans="2:29" ht="13.75" thickTop="1">
      <c r="B31" s="752" t="s">
        <v>723</v>
      </c>
      <c r="C31" s="748">
        <f>INDEX(Reykjavík!$A$2:$J$140,MATCH("Samtals losun vegna efnanotkunar",Reykjavík!$A$2:$A$140,0),MATCH($D$4,Reykjavík!$A$3:$J$3,0))</f>
        <v>39452.00682229732</v>
      </c>
      <c r="D31" s="437"/>
      <c r="E31" s="439"/>
      <c r="F31" s="437"/>
    </row>
    <row r="32" spans="2:29">
      <c r="B32" s="752" t="s">
        <v>724</v>
      </c>
      <c r="C32" s="748">
        <f>INDEX(Reykjavík!$A$2:$J$140,MATCH("byggingariðnaður - efni",Reykjavík!$A$2:$A$140,0),MATCH($D$4,Reykjavík!$A$3:$J$3,0))</f>
        <v>68054.941422967138</v>
      </c>
      <c r="F32" s="437"/>
    </row>
    <row r="33" spans="2:6">
      <c r="B33" s="752" t="s">
        <v>725</v>
      </c>
      <c r="C33" s="748">
        <f>INDEX(Reykjavík!$A$2:$J$140,MATCH("losun matvælaframleiðslu í RVK",Reykjavík!$A$2:$A$140,0),MATCH($D$4,Reykjavík!$A$3:$J$3,0))</f>
        <v>6819.5765360085006</v>
      </c>
      <c r="F33" s="437"/>
    </row>
    <row r="34" spans="2:6" ht="14.5">
      <c r="B34" s="440" t="s">
        <v>457</v>
      </c>
      <c r="C34" s="775">
        <f>C27+C20+C16+C11+C30</f>
        <v>642696.86989816651</v>
      </c>
      <c r="D34" s="775">
        <f>SUM(D11:D32)</f>
        <v>539251.6332797067</v>
      </c>
      <c r="E34" s="775">
        <f>SUM(E11:E32)</f>
        <v>25309.562992000006</v>
      </c>
      <c r="F34" s="775">
        <f>SUM(F11:F32)</f>
        <v>78135.673626459771</v>
      </c>
    </row>
    <row r="35" spans="2:6">
      <c r="B35" s="778" t="s">
        <v>726</v>
      </c>
      <c r="C35" s="776">
        <f>Reykjavík!L164</f>
        <v>4.7365785470945587</v>
      </c>
      <c r="D35" s="776">
        <f>Reykjavík!L165</f>
        <v>3.9742028276613017</v>
      </c>
      <c r="E35" s="777">
        <f>Reykjavík!L166</f>
        <v>0.18652764424267437</v>
      </c>
      <c r="F35" s="777">
        <f>Reykjavík!L167</f>
        <v>0.57584807519058245</v>
      </c>
    </row>
    <row r="39" spans="2:6">
      <c r="D39" s="437"/>
    </row>
    <row r="40" spans="2:6">
      <c r="F40" s="437"/>
    </row>
    <row r="41" spans="2:6">
      <c r="F41" s="437"/>
    </row>
    <row r="42" spans="2:6">
      <c r="F42" s="437"/>
    </row>
    <row r="43" spans="2:6">
      <c r="F43" s="437"/>
    </row>
    <row r="44" spans="2:6">
      <c r="F44" s="437"/>
    </row>
    <row r="45" spans="2:6">
      <c r="F45" s="437"/>
    </row>
    <row r="46" spans="2:6">
      <c r="F46" s="437"/>
    </row>
    <row r="47" spans="2:6">
      <c r="F47" s="437"/>
    </row>
    <row r="48" spans="2:6">
      <c r="F48" s="437"/>
    </row>
    <row r="49" spans="2:6">
      <c r="F49" s="437"/>
    </row>
    <row r="50" spans="2:6">
      <c r="F50" s="437"/>
    </row>
    <row r="51" spans="2:6">
      <c r="F51" s="437"/>
    </row>
    <row r="52" spans="2:6">
      <c r="F52" s="437"/>
    </row>
    <row r="53" spans="2:6">
      <c r="F53" s="437"/>
    </row>
    <row r="54" spans="2:6">
      <c r="F54" s="437"/>
    </row>
    <row r="55" spans="2:6">
      <c r="F55" s="437"/>
    </row>
    <row r="56" spans="2:6">
      <c r="F56" s="437"/>
    </row>
    <row r="57" spans="2:6">
      <c r="F57" s="437"/>
    </row>
    <row r="61" spans="2:6">
      <c r="B61" s="759" t="s">
        <v>727</v>
      </c>
      <c r="C61" s="897" t="s">
        <v>728</v>
      </c>
      <c r="D61" s="897"/>
    </row>
    <row r="62" spans="2:6" ht="18">
      <c r="B62" s="758" t="s">
        <v>729</v>
      </c>
      <c r="C62" s="896" t="s">
        <v>548</v>
      </c>
      <c r="D62" s="896"/>
    </row>
    <row r="77" spans="7:8" ht="18.25">
      <c r="G77" s="754">
        <f>Reykjavík!L131</f>
        <v>480092.4442298708</v>
      </c>
      <c r="H77" s="749" t="s">
        <v>730</v>
      </c>
    </row>
    <row r="78" spans="7:8" ht="18.25">
      <c r="G78" s="755">
        <f>Reykjavík!L162</f>
        <v>3.5382085684059814</v>
      </c>
      <c r="H78" s="749" t="s">
        <v>731</v>
      </c>
    </row>
    <row r="85" spans="2:4">
      <c r="B85" s="759" t="s">
        <v>727</v>
      </c>
      <c r="C85" s="897" t="s">
        <v>728</v>
      </c>
      <c r="D85" s="897"/>
    </row>
    <row r="86" spans="2:4" ht="18">
      <c r="B86" s="758" t="s">
        <v>729</v>
      </c>
      <c r="C86" s="896" t="s">
        <v>549</v>
      </c>
      <c r="D86" s="896"/>
    </row>
    <row r="97" spans="7:8" ht="18.25">
      <c r="G97" s="754">
        <f>Reykjavík!L132</f>
        <v>567822.35193919088</v>
      </c>
      <c r="H97" s="749" t="s">
        <v>730</v>
      </c>
    </row>
    <row r="98" spans="7:8" ht="18.25">
      <c r="G98" s="755">
        <f>Reykjavík!L163</f>
        <v>4.184764695029707</v>
      </c>
      <c r="H98" s="749" t="s">
        <v>731</v>
      </c>
    </row>
  </sheetData>
  <sheetProtection algorithmName="SHA-512" hashValue="50CJJUT86LIYUHFppeB/42c2sbT6Vekb4s5IF8ZAkMCxqM1otnMvQvcTbKRNn0jFdwAM69AFVjL7x2V96waxww==" saltValue="C8iiSeCjQpU1kd4DXPPstg==" spinCount="100000" sheet="1" selectLockedCells="1"/>
  <dataConsolidate/>
  <mergeCells count="4">
    <mergeCell ref="C62:D62"/>
    <mergeCell ref="C86:D86"/>
    <mergeCell ref="C85:D85"/>
    <mergeCell ref="C61:D6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DBA9BC3-4396-492B-BCE8-4CC3CCA453E9}">
          <x14:formula1>
            <xm:f>Reykjavík!$C$3:$J$3</xm:f>
          </x14:formula1>
          <xm:sqref>D4</xm:sqref>
        </x14:dataValidation>
        <x14:dataValidation type="list" allowBlank="1" showInputMessage="1" showErrorMessage="1" xr:uid="{707473D4-E65E-4868-9791-D0654D4474FD}">
          <x14:formula1>
            <xm:f>Reykjavík!$O$140:$T$140</xm:f>
          </x14:formula1>
          <xm:sqref>B62</xm:sqref>
        </x14:dataValidation>
        <x14:dataValidation type="list" allowBlank="1" showInputMessage="1" showErrorMessage="1" xr:uid="{3CFD5E24-10AB-438C-AE3C-BC62C65FD037}">
          <x14:formula1>
            <xm:f>OFFSET(Reykjavík!$O$118,1,MATCH($B86,Reykjavík!$O$118:$T$118,0)-1,COUNTA(OFFSET(Reykjavík!$O$118,1,MATCH($B86,Reykjavík!$O$118:$T$118,0)-1,7,1)),1)</xm:f>
          </x14:formula1>
          <xm:sqref>C86</xm:sqref>
        </x14:dataValidation>
        <x14:dataValidation type="list" allowBlank="1" showInputMessage="1" showErrorMessage="1" xr:uid="{B57EE335-AE50-42EA-A469-76EFF3CBFC89}">
          <x14:formula1>
            <xm:f>OFFSET(Reykjavík!$O$140,1,MATCH($B62,Reykjavík!$O$140:$T$140,0)-1,COUNTA(OFFSET(Reykjavík!$O$140,1,MATCH($B62,Reykjavík!$O$140:$T$140,0)-1,7,1)),1)</xm:f>
          </x14:formula1>
          <xm:sqref>C62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74A4-8F4B-4B23-8AE5-D33F075DEAF2}">
  <dimension ref="A1:Z236"/>
  <sheetViews>
    <sheetView showGridLines="0" topLeftCell="B1" workbookViewId="0">
      <selection activeCell="K11" sqref="K11"/>
    </sheetView>
  </sheetViews>
  <sheetFormatPr defaultRowHeight="13"/>
  <cols>
    <col min="1" max="1" width="31.40625" customWidth="1"/>
    <col min="2" max="2" width="10.1328125" customWidth="1"/>
    <col min="3" max="3" width="12.7265625" bestFit="1" customWidth="1"/>
    <col min="4" max="4" width="11.40625" customWidth="1"/>
    <col min="5" max="5" width="12.7265625" bestFit="1" customWidth="1"/>
    <col min="6" max="6" width="15.40625" customWidth="1"/>
    <col min="7" max="7" width="12.86328125" bestFit="1" customWidth="1"/>
    <col min="8" max="10" width="12.1328125" customWidth="1"/>
    <col min="11" max="11" width="12.7265625" bestFit="1" customWidth="1"/>
    <col min="12" max="12" width="18.7265625" customWidth="1"/>
    <col min="14" max="14" width="10.1328125" bestFit="1" customWidth="1"/>
    <col min="16" max="16" width="11.26953125" bestFit="1" customWidth="1"/>
    <col min="17" max="17" width="10.7265625" customWidth="1"/>
    <col min="19" max="19" width="11.26953125" bestFit="1" customWidth="1"/>
    <col min="20" max="20" width="12.40625" bestFit="1" customWidth="1"/>
    <col min="21" max="21" width="11.26953125" bestFit="1" customWidth="1"/>
    <col min="23" max="23" width="10.86328125" bestFit="1" customWidth="1"/>
    <col min="26" max="26" width="22.7265625" customWidth="1"/>
  </cols>
  <sheetData>
    <row r="1" spans="1:22" ht="47">
      <c r="A1" s="10" t="s">
        <v>376</v>
      </c>
      <c r="B1" s="8"/>
      <c r="C1" s="9"/>
      <c r="D1" s="9"/>
      <c r="E1" s="9"/>
      <c r="F1" s="9"/>
      <c r="G1" s="9"/>
      <c r="H1" s="9"/>
      <c r="I1" s="9"/>
      <c r="J1" s="9"/>
    </row>
    <row r="2" spans="1:22" ht="23.5">
      <c r="A2" s="10"/>
      <c r="B2" s="8"/>
      <c r="C2" s="9"/>
      <c r="D2" s="9"/>
      <c r="E2" s="9"/>
      <c r="F2" s="9"/>
      <c r="G2" s="9"/>
      <c r="H2" s="9"/>
      <c r="I2" s="9"/>
      <c r="J2" s="9"/>
    </row>
    <row r="3" spans="1:22" ht="21" customHeight="1">
      <c r="A3" s="6" t="s">
        <v>71</v>
      </c>
      <c r="B3" s="4" t="s">
        <v>0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  <c r="I3" s="5">
        <v>2021</v>
      </c>
      <c r="J3" s="5">
        <v>2022</v>
      </c>
    </row>
    <row r="4" spans="1:22" ht="21" customHeight="1">
      <c r="A4" s="11" t="s">
        <v>72</v>
      </c>
      <c r="B4" s="7"/>
      <c r="C4" s="32">
        <v>121822</v>
      </c>
      <c r="D4" s="32">
        <v>122460</v>
      </c>
      <c r="E4" s="32">
        <v>123246</v>
      </c>
      <c r="F4" s="32">
        <v>126041</v>
      </c>
      <c r="G4" s="32">
        <v>128793</v>
      </c>
      <c r="H4" s="26">
        <v>131136</v>
      </c>
      <c r="I4" s="26">
        <v>133262</v>
      </c>
      <c r="J4" s="26">
        <f>V5</f>
        <v>135688</v>
      </c>
      <c r="K4" s="764">
        <f>J4*3.8</f>
        <v>515614.39999999997</v>
      </c>
      <c r="L4" t="s">
        <v>77</v>
      </c>
      <c r="O4">
        <v>2015</v>
      </c>
      <c r="P4">
        <v>2016</v>
      </c>
      <c r="Q4">
        <v>2017</v>
      </c>
      <c r="R4">
        <v>2018</v>
      </c>
      <c r="S4">
        <v>2019</v>
      </c>
      <c r="T4">
        <v>2020</v>
      </c>
      <c r="U4">
        <v>2021</v>
      </c>
      <c r="V4">
        <v>2022</v>
      </c>
    </row>
    <row r="5" spans="1:22" ht="21" customHeight="1">
      <c r="A5" s="13" t="s">
        <v>73</v>
      </c>
      <c r="B5" s="7"/>
      <c r="C5" s="32">
        <f>SUM(O5:O10)</f>
        <v>211066</v>
      </c>
      <c r="D5" s="32">
        <f t="shared" ref="D5:I5" si="0">SUM(P5:P10)</f>
        <v>213402</v>
      </c>
      <c r="E5" s="32">
        <f t="shared" si="0"/>
        <v>216658</v>
      </c>
      <c r="F5" s="32">
        <f t="shared" si="0"/>
        <v>222263</v>
      </c>
      <c r="G5" s="32">
        <f t="shared" si="0"/>
        <v>227993</v>
      </c>
      <c r="H5" s="26">
        <f t="shared" si="0"/>
        <v>232789</v>
      </c>
      <c r="I5" s="26">
        <f t="shared" si="0"/>
        <v>236278</v>
      </c>
      <c r="J5" s="26">
        <f>V11</f>
        <v>240638</v>
      </c>
      <c r="L5">
        <f>J4/I4</f>
        <v>1.0182047395356515</v>
      </c>
      <c r="N5" t="s">
        <v>634</v>
      </c>
      <c r="O5" s="32">
        <v>121822</v>
      </c>
      <c r="P5" s="32">
        <v>122460</v>
      </c>
      <c r="Q5" s="32">
        <v>123246</v>
      </c>
      <c r="R5" s="32">
        <v>126041</v>
      </c>
      <c r="S5" s="32">
        <v>128793</v>
      </c>
      <c r="T5" s="32">
        <v>131136</v>
      </c>
      <c r="U5" s="32">
        <v>133262</v>
      </c>
      <c r="V5" s="32">
        <v>135688</v>
      </c>
    </row>
    <row r="6" spans="1:22" ht="21" customHeight="1">
      <c r="A6" s="11" t="s">
        <v>74</v>
      </c>
      <c r="B6" s="7"/>
      <c r="C6" s="41">
        <f t="shared" ref="C6:H6" si="1">C4/C5</f>
        <v>0.57717491211279881</v>
      </c>
      <c r="D6" s="41">
        <f t="shared" si="1"/>
        <v>0.57384654314392558</v>
      </c>
      <c r="E6" s="41">
        <f t="shared" si="1"/>
        <v>0.56885044632554538</v>
      </c>
      <c r="F6" s="41">
        <f t="shared" si="1"/>
        <v>0.56708044073912434</v>
      </c>
      <c r="G6" s="41">
        <f t="shared" si="1"/>
        <v>0.5648989223353349</v>
      </c>
      <c r="H6" s="42">
        <f t="shared" si="1"/>
        <v>0.56332558669009269</v>
      </c>
      <c r="I6" s="42">
        <f>I4/I5</f>
        <v>0.56400511262157293</v>
      </c>
      <c r="J6" s="42">
        <f>J4/J5</f>
        <v>0.56386771831547799</v>
      </c>
      <c r="L6" s="42">
        <f>1.046/L5</f>
        <v>1.0272983019869113</v>
      </c>
      <c r="N6" t="s">
        <v>635</v>
      </c>
      <c r="O6" s="32">
        <v>33205</v>
      </c>
      <c r="P6" s="32">
        <v>34140</v>
      </c>
      <c r="Q6" s="32">
        <v>35246</v>
      </c>
      <c r="R6" s="32">
        <v>35970</v>
      </c>
      <c r="S6" s="32">
        <v>36975</v>
      </c>
      <c r="T6" s="32">
        <v>37959</v>
      </c>
      <c r="U6" s="32">
        <v>38332</v>
      </c>
      <c r="V6" s="32">
        <v>38998</v>
      </c>
    </row>
    <row r="7" spans="1:22" ht="21" customHeight="1">
      <c r="A7" s="11" t="s">
        <v>75</v>
      </c>
      <c r="B7" s="7"/>
      <c r="C7" s="32">
        <f>O12</f>
        <v>329100</v>
      </c>
      <c r="D7" s="32">
        <f t="shared" ref="D7:I7" si="2">P12</f>
        <v>332529</v>
      </c>
      <c r="E7" s="32">
        <f t="shared" si="2"/>
        <v>338349</v>
      </c>
      <c r="F7" s="32">
        <f t="shared" si="2"/>
        <v>348450</v>
      </c>
      <c r="G7" s="32">
        <f t="shared" si="2"/>
        <v>356991</v>
      </c>
      <c r="H7" s="26">
        <f t="shared" si="2"/>
        <v>364134</v>
      </c>
      <c r="I7" s="26">
        <f t="shared" si="2"/>
        <v>368792</v>
      </c>
      <c r="J7" s="26">
        <f>V12</f>
        <v>376248</v>
      </c>
      <c r="N7" t="s">
        <v>636</v>
      </c>
      <c r="O7" s="32">
        <v>4411</v>
      </c>
      <c r="P7" s="32">
        <v>4415</v>
      </c>
      <c r="Q7" s="32">
        <v>4450</v>
      </c>
      <c r="R7" s="32">
        <v>4575</v>
      </c>
      <c r="S7" s="32">
        <v>4664</v>
      </c>
      <c r="T7" s="32">
        <v>4726</v>
      </c>
      <c r="U7" s="32">
        <v>4715</v>
      </c>
      <c r="V7" s="32">
        <v>4720</v>
      </c>
    </row>
    <row r="8" spans="1:22" ht="21" customHeight="1">
      <c r="A8" s="11" t="s">
        <v>76</v>
      </c>
      <c r="B8" s="7"/>
      <c r="C8" s="41">
        <f t="shared" ref="C8:H8" si="3">C5/C7</f>
        <v>0.64134305682163473</v>
      </c>
      <c r="D8" s="41">
        <f t="shared" si="3"/>
        <v>0.64175455373817025</v>
      </c>
      <c r="E8" s="41">
        <f t="shared" si="3"/>
        <v>0.6403388217491407</v>
      </c>
      <c r="F8" s="41">
        <f t="shared" si="3"/>
        <v>0.63786196010905438</v>
      </c>
      <c r="G8" s="41">
        <f t="shared" si="3"/>
        <v>0.63865195481118575</v>
      </c>
      <c r="H8" s="42">
        <f t="shared" si="3"/>
        <v>0.63929487496361226</v>
      </c>
      <c r="I8" s="42">
        <f t="shared" ref="I8" si="4">I5/I7</f>
        <v>0.6406809258335322</v>
      </c>
      <c r="J8" s="42">
        <f>J5/J7</f>
        <v>0.63957283493865746</v>
      </c>
      <c r="N8" t="s">
        <v>637</v>
      </c>
      <c r="O8" s="32">
        <v>14453</v>
      </c>
      <c r="P8" s="32">
        <v>14717</v>
      </c>
      <c r="Q8" s="32">
        <v>15230</v>
      </c>
      <c r="R8" s="32">
        <v>15709</v>
      </c>
      <c r="S8" s="32">
        <v>16299</v>
      </c>
      <c r="T8" s="32">
        <v>16924</v>
      </c>
      <c r="U8" s="32">
        <v>17693</v>
      </c>
      <c r="V8" s="32">
        <v>18445</v>
      </c>
    </row>
    <row r="9" spans="1:22" ht="21" customHeight="1">
      <c r="A9" s="37" t="s">
        <v>74</v>
      </c>
      <c r="B9" s="23"/>
      <c r="C9" s="41">
        <f t="shared" ref="C9:H9" si="5">C4/C7</f>
        <v>0.3701671224551808</v>
      </c>
      <c r="D9" s="41">
        <f t="shared" si="5"/>
        <v>0.36826863220952155</v>
      </c>
      <c r="E9" s="41">
        <f t="shared" si="5"/>
        <v>0.36425702455157249</v>
      </c>
      <c r="F9" s="41">
        <f t="shared" si="5"/>
        <v>0.36171904146936434</v>
      </c>
      <c r="G9" s="41">
        <f t="shared" si="5"/>
        <v>0.3607738010201938</v>
      </c>
      <c r="H9" s="42">
        <f t="shared" si="5"/>
        <v>0.3601311605068464</v>
      </c>
      <c r="I9" s="42">
        <f t="shared" ref="I9" si="6">I4/I7</f>
        <v>0.3613473177292349</v>
      </c>
      <c r="J9" s="42">
        <f>J4/J7</f>
        <v>0.36063447513342262</v>
      </c>
      <c r="N9" t="s">
        <v>638</v>
      </c>
      <c r="O9" s="32">
        <v>27875</v>
      </c>
      <c r="P9" s="32">
        <v>28189</v>
      </c>
      <c r="Q9" s="32">
        <v>28703</v>
      </c>
      <c r="R9" s="32">
        <v>29412</v>
      </c>
      <c r="S9" s="32">
        <v>29799</v>
      </c>
      <c r="T9" s="32">
        <v>29971</v>
      </c>
      <c r="U9" s="32">
        <v>29687</v>
      </c>
      <c r="V9" s="32">
        <v>29763</v>
      </c>
    </row>
    <row r="10" spans="1:22" ht="21" customHeight="1">
      <c r="A10" s="32"/>
      <c r="B10" s="35"/>
      <c r="C10" s="32"/>
      <c r="D10" s="32"/>
      <c r="E10" s="32"/>
      <c r="F10" s="32"/>
      <c r="G10" s="32"/>
      <c r="H10" s="28"/>
      <c r="I10" s="28"/>
      <c r="J10" s="28"/>
      <c r="M10" s="33"/>
      <c r="N10" t="s">
        <v>639</v>
      </c>
      <c r="O10" s="32">
        <v>9300</v>
      </c>
      <c r="P10" s="32">
        <v>9481</v>
      </c>
      <c r="Q10" s="32">
        <v>9783</v>
      </c>
      <c r="R10" s="32">
        <v>10556</v>
      </c>
      <c r="S10" s="32">
        <v>11463</v>
      </c>
      <c r="T10" s="32">
        <v>12073</v>
      </c>
      <c r="U10" s="32">
        <v>12589</v>
      </c>
      <c r="V10" s="32">
        <v>13024</v>
      </c>
    </row>
    <row r="11" spans="1:22" ht="21" customHeight="1">
      <c r="A11" s="32"/>
      <c r="B11" s="35"/>
      <c r="C11" s="32"/>
      <c r="D11" s="32"/>
      <c r="E11" s="32"/>
      <c r="F11" s="32"/>
      <c r="G11" s="32"/>
      <c r="H11" s="28"/>
      <c r="I11" s="28"/>
      <c r="J11" s="28"/>
      <c r="M11" s="33"/>
      <c r="N11" t="s">
        <v>640</v>
      </c>
      <c r="O11" s="32">
        <f>SUM(O5:O10)</f>
        <v>211066</v>
      </c>
      <c r="P11" s="32">
        <f t="shared" ref="P11:T11" si="7">SUM(P5:P10)</f>
        <v>213402</v>
      </c>
      <c r="Q11" s="32">
        <f t="shared" si="7"/>
        <v>216658</v>
      </c>
      <c r="R11" s="32">
        <f t="shared" si="7"/>
        <v>222263</v>
      </c>
      <c r="S11" s="32">
        <f t="shared" si="7"/>
        <v>227993</v>
      </c>
      <c r="T11" s="32">
        <f t="shared" si="7"/>
        <v>232789</v>
      </c>
      <c r="U11" s="32">
        <f>SUM(U5:U10)</f>
        <v>236278</v>
      </c>
      <c r="V11" s="32">
        <f>SUM(V5:V10)</f>
        <v>240638</v>
      </c>
    </row>
    <row r="12" spans="1:22" ht="21" customHeight="1">
      <c r="A12" s="6" t="s">
        <v>33</v>
      </c>
      <c r="B12" s="4" t="s">
        <v>0</v>
      </c>
      <c r="C12" s="5">
        <v>2015</v>
      </c>
      <c r="D12" s="5">
        <v>2016</v>
      </c>
      <c r="E12" s="5">
        <v>2017</v>
      </c>
      <c r="F12" s="5">
        <v>2018</v>
      </c>
      <c r="G12" s="5">
        <v>2019</v>
      </c>
      <c r="H12" s="5">
        <v>2020</v>
      </c>
      <c r="I12" s="5">
        <v>2021</v>
      </c>
      <c r="J12" s="5">
        <v>2022</v>
      </c>
      <c r="N12" t="s">
        <v>218</v>
      </c>
      <c r="O12" s="32">
        <v>329100</v>
      </c>
      <c r="P12" s="32">
        <v>332529</v>
      </c>
      <c r="Q12" s="32">
        <v>338349</v>
      </c>
      <c r="R12" s="32">
        <v>348450</v>
      </c>
      <c r="S12" s="32">
        <v>356991</v>
      </c>
      <c r="T12" s="32">
        <v>364134</v>
      </c>
      <c r="U12" s="32">
        <v>368792</v>
      </c>
      <c r="V12" s="32">
        <v>376248</v>
      </c>
    </row>
    <row r="13" spans="1:22" ht="21" customHeight="1">
      <c r="A13" s="11" t="s">
        <v>21</v>
      </c>
      <c r="B13" s="7" t="s">
        <v>4</v>
      </c>
      <c r="C13" s="32">
        <f>SUM(C14:C17)</f>
        <v>4792599.937374494</v>
      </c>
      <c r="D13" s="32">
        <f>SUM(D14:D17)</f>
        <v>4742974.2998137753</v>
      </c>
      <c r="E13" s="32">
        <f>SUM(E14:E17)</f>
        <v>4820511.6313455394</v>
      </c>
      <c r="F13" s="32">
        <f>SUM(F14:F17)</f>
        <v>4847521.3477240102</v>
      </c>
      <c r="G13" s="32">
        <f>SUM(G14:G17)</f>
        <v>4739230.7881337218</v>
      </c>
      <c r="H13" s="26">
        <v>4509000</v>
      </c>
      <c r="I13" s="26"/>
      <c r="J13" s="26"/>
      <c r="L13" s="774" t="s">
        <v>34</v>
      </c>
      <c r="N13" s="33"/>
      <c r="O13" s="33"/>
      <c r="P13" s="33"/>
      <c r="Q13" s="33"/>
      <c r="R13" s="33"/>
    </row>
    <row r="14" spans="1:22" ht="21" customHeight="1">
      <c r="A14" s="13" t="s">
        <v>28</v>
      </c>
      <c r="B14" s="7" t="s">
        <v>4</v>
      </c>
      <c r="C14" s="32">
        <v>1852173.2603319914</v>
      </c>
      <c r="D14" s="32">
        <v>1827497.9452542874</v>
      </c>
      <c r="E14" s="32">
        <v>1870516.2136826504</v>
      </c>
      <c r="F14" s="32">
        <v>1912881.1387623274</v>
      </c>
      <c r="G14" s="32">
        <v>1854913.2341564749</v>
      </c>
      <c r="H14" s="26">
        <f>H13-SUM(H15:H17)</f>
        <v>1639300</v>
      </c>
      <c r="I14" s="26"/>
      <c r="J14" s="26"/>
      <c r="L14" t="s">
        <v>641</v>
      </c>
      <c r="N14" s="33"/>
      <c r="O14" s="33"/>
      <c r="P14" s="33"/>
      <c r="Q14" s="33"/>
      <c r="R14" s="33"/>
    </row>
    <row r="15" spans="1:22" ht="21" customHeight="1">
      <c r="A15" s="11" t="s">
        <v>30</v>
      </c>
      <c r="B15" s="7" t="s">
        <v>4</v>
      </c>
      <c r="C15" s="32">
        <v>1998359.9071267762</v>
      </c>
      <c r="D15" s="32">
        <v>1986578.5495812562</v>
      </c>
      <c r="E15" s="32">
        <v>2024053.8991116346</v>
      </c>
      <c r="F15" s="32">
        <v>2022534.9274018391</v>
      </c>
      <c r="G15" s="32">
        <v>2024369.7415438371</v>
      </c>
      <c r="H15" s="26">
        <v>1986000</v>
      </c>
      <c r="I15" s="26"/>
      <c r="J15" s="26"/>
      <c r="N15" s="33"/>
      <c r="O15" s="33"/>
      <c r="P15" s="33"/>
      <c r="Q15" s="33"/>
      <c r="R15" s="33"/>
    </row>
    <row r="16" spans="1:22" ht="21" customHeight="1">
      <c r="A16" s="11" t="s">
        <v>31</v>
      </c>
      <c r="B16" s="7" t="s">
        <v>4</v>
      </c>
      <c r="C16" s="32">
        <v>652566.7699157265</v>
      </c>
      <c r="D16" s="32">
        <v>654297.80497823202</v>
      </c>
      <c r="E16" s="32">
        <v>655941.5185512543</v>
      </c>
      <c r="F16" s="32">
        <v>631905.28155984322</v>
      </c>
      <c r="G16" s="32">
        <v>618847.81243340939</v>
      </c>
      <c r="H16" s="27">
        <v>618000</v>
      </c>
      <c r="I16" s="27"/>
      <c r="J16" s="27"/>
      <c r="K16" s="858" t="s">
        <v>692</v>
      </c>
      <c r="N16" s="33"/>
      <c r="O16" s="33"/>
      <c r="P16" s="33"/>
      <c r="Q16" s="33"/>
      <c r="R16" s="33"/>
    </row>
    <row r="17" spans="1:18" ht="21" customHeight="1">
      <c r="A17" s="11" t="s">
        <v>32</v>
      </c>
      <c r="B17" s="7" t="s">
        <v>4</v>
      </c>
      <c r="C17" s="32">
        <v>289500</v>
      </c>
      <c r="D17" s="32">
        <v>274600</v>
      </c>
      <c r="E17" s="32">
        <v>270000</v>
      </c>
      <c r="F17" s="32">
        <v>280200</v>
      </c>
      <c r="G17" s="32">
        <v>241100</v>
      </c>
      <c r="H17" s="28">
        <v>265700</v>
      </c>
      <c r="I17" s="28">
        <v>268500</v>
      </c>
      <c r="J17" s="28"/>
    </row>
    <row r="18" spans="1:18" ht="21" customHeight="1">
      <c r="A18" s="37"/>
      <c r="B18" s="23"/>
      <c r="C18" s="32"/>
      <c r="D18" s="32"/>
      <c r="E18" s="32"/>
      <c r="F18" s="32"/>
      <c r="G18" s="32"/>
      <c r="H18" s="28"/>
      <c r="I18" s="28"/>
      <c r="J18" s="28"/>
    </row>
    <row r="19" spans="1:18" ht="24.75" customHeight="1">
      <c r="A19" s="6" t="s">
        <v>28</v>
      </c>
      <c r="B19" s="4" t="s">
        <v>0</v>
      </c>
      <c r="C19" s="5">
        <v>2015</v>
      </c>
      <c r="D19" s="5">
        <v>2016</v>
      </c>
      <c r="E19" s="5">
        <v>2017</v>
      </c>
      <c r="F19" s="5">
        <v>2018</v>
      </c>
      <c r="G19" s="5">
        <v>2019</v>
      </c>
      <c r="H19" s="5">
        <v>2020</v>
      </c>
      <c r="I19" s="5">
        <v>2021</v>
      </c>
      <c r="J19" s="5">
        <v>2022</v>
      </c>
    </row>
    <row r="20" spans="1:18" ht="15" customHeight="1">
      <c r="A20" s="35" t="s">
        <v>67</v>
      </c>
      <c r="B20" s="58" t="s">
        <v>7</v>
      </c>
      <c r="C20" s="32"/>
      <c r="D20" s="32">
        <f>INDEX(Orka!$C$8:$J$12,MATCH(D$3,Orka!$C$8:$C$12,0),MATCH("Heildarorka [kwh]",Orka!$C$8:$J$8,0))</f>
        <v>983200000</v>
      </c>
      <c r="E20" s="32">
        <f>INDEX(Orka!$C$8:$J$12,MATCH(E$19,Orka!$C$8:$C$12,0),MATCH("Heildarorka [kwh]",Orka!$C$8:$J$8,0))</f>
        <v>1085400000</v>
      </c>
      <c r="F20" s="32">
        <f>INDEX(Orka!$C$14:$J$19,MATCH(F$19,Orka!$C$14:$C$19,0),MATCH("Heildarorka [kwh]",Orka!$C$8:$J$8,0))</f>
        <v>835181321.80246878</v>
      </c>
      <c r="G20" s="32">
        <f>INDEX(Orka!$C$14:$J$19,MATCH(G$19,Orka!$C$14:$C$19,0),MATCH("Heildarorka [kwh]",Orka!$C$8:$J$8,0))</f>
        <v>824597669.14894867</v>
      </c>
      <c r="H20" s="26">
        <f>INDEX(Orka!$C$14:$J$19,MATCH(H$19,Orka!$C$14:$C$19,0),MATCH("Heildarorka [kwh]",Orka!$C$8:$J$8,0))</f>
        <v>805254377.9028424</v>
      </c>
      <c r="I20" s="26">
        <f>IFERROR(INDEX(Orka!$C$14:$J$19,MATCH(I$19,Orka!$C$14:$C$19,0),MATCH("Heildarorka [kwh]",Orka!$C$8:$J$8,0)),820000000)</f>
        <v>811671438.76758826</v>
      </c>
      <c r="J20" s="26">
        <f>IFERROR(INDEX(Orka!$C$14:$J$19,MATCH(J$19,Orka!$C$14:$C$19,0),MATCH("Heildarorka [kwh]",Orka!$C$8:$J$8,0)),820000000)</f>
        <v>827369479</v>
      </c>
      <c r="L20" t="s">
        <v>512</v>
      </c>
      <c r="M20" s="33"/>
      <c r="N20" s="33"/>
      <c r="O20" s="33"/>
      <c r="P20" s="33"/>
      <c r="Q20" s="33"/>
    </row>
    <row r="21" spans="1:18" ht="15" customHeight="1">
      <c r="A21" s="35" t="s">
        <v>66</v>
      </c>
      <c r="B21" s="58" t="s">
        <v>70</v>
      </c>
      <c r="C21" s="38">
        <v>10.4</v>
      </c>
      <c r="D21" s="38">
        <f>INDEX(Orka!$C$8:$J$12,MATCH(D$19,Orka!$C$8:$C$12,0),MATCH("Stuðull [g CO2 íg/kwh]",Orka!$C$8:$J$8,0))</f>
        <v>8.9</v>
      </c>
      <c r="E21" s="38">
        <f>INDEX(Orka!$C$8:$J$12,MATCH(E$19,Orka!$C$8:$C$12,0),MATCH("Stuðull [g CO2 íg/kwh]",Orka!$C$8:$J$8,0))</f>
        <v>8.1</v>
      </c>
      <c r="F21" s="38">
        <f>INDEX(Orka!$C$14:$J$19,MATCH(F$19,Orka!$C$14:$C$19,0),MATCH("Stuðull [g CO2 íg/kwh]",Orka!$C$14:$J$14,0))</f>
        <v>7.9</v>
      </c>
      <c r="G21" s="38">
        <f>INDEX(Orka!$C$14:$J$19,MATCH(G$19,Orka!$C$14:$C$19,0),MATCH("Stuðull [g CO2 íg/kwh]",Orka!$C$14:$J$14,0))</f>
        <v>8</v>
      </c>
      <c r="H21" s="57">
        <f>INDEX(Orka!$C$14:$J$19,MATCH(H$19,Orka!$C$14:$C$19,0),MATCH("Stuðull [g CO2 íg/kwh]",Orka!$C$14:$J$14,0))</f>
        <v>8.3000000000000007</v>
      </c>
      <c r="I21" s="57">
        <f>INDEX(Orka!$C$14:$J$19,MATCH(I$19,Orka!$C$14:$C$19,0),MATCH("Stuðull [g CO2 íg/kwh]",Orka!$C$14:$J$14,0))</f>
        <v>7.7</v>
      </c>
      <c r="J21" s="57">
        <f>INDEX(Orka!$C$14:$J$19,MATCH(J$19,Orka!$C$14:$C$19,0),MATCH("Stuðull [g CO2 íg/kwh]",Orka!$C$14:$J$14,0))</f>
        <v>8</v>
      </c>
      <c r="M21" s="33"/>
      <c r="N21" s="33"/>
      <c r="O21" s="33"/>
      <c r="P21" s="33"/>
      <c r="Q21" s="33"/>
    </row>
    <row r="22" spans="1:18" ht="15" customHeight="1">
      <c r="A22" s="100" t="s">
        <v>101</v>
      </c>
      <c r="B22" s="59" t="s">
        <v>4</v>
      </c>
      <c r="C22" s="38"/>
      <c r="D22" s="32">
        <f>INDEX(Orka!$C$8:$J$12,MATCH(D$19,Orka!$C$8:$C$12,0),MATCH("Losun [tCO2 íg]",Orka!$C$8:$J$8,0))</f>
        <v>8750.48</v>
      </c>
      <c r="E22" s="32">
        <f>INDEX(Orka!$C$8:$J$12,MATCH(E$19,Orka!$C$8:$C$12,0),MATCH("Losun [tCO2 íg]",Orka!$C$8:$J$8,0))</f>
        <v>8791.74</v>
      </c>
      <c r="F22" s="32">
        <f>INDEX(Orka!$C$14:$J$19,MATCH(F$19,Orka!$C$14:$C$19,0),MATCH("Losun [tCO2 íg]",Orka!$C$14:$J$14,0))</f>
        <v>6597.9324422395039</v>
      </c>
      <c r="G22" s="32">
        <f>INDEX(Orka!$C$14:$J$19,MATCH(G$19,Orka!$C$14:$C$19,0),MATCH("Losun [tCO2 íg]",Orka!$C$14:$J$14,0))</f>
        <v>6596.781353191589</v>
      </c>
      <c r="H22" s="60">
        <f>INDEX(Orka!$C$14:$J$19,MATCH(H$19,Orka!$C$14:$C$19,0),MATCH("Losun [tCO2 íg]",Orka!$C$14:$J$14,0))</f>
        <v>6683.6113365935926</v>
      </c>
      <c r="I22" s="60">
        <f>INDEX(Orka!$C$14:$J$19,MATCH(I$19,Orka!$C$14:$C$19,0),MATCH("Losun [tCO2 íg]",Orka!$C$14:$J$14,0))</f>
        <v>6249.8700785104293</v>
      </c>
      <c r="J22" s="60">
        <f>INDEX(Orka!$C$14:$J$19,MATCH(J$19,Orka!$C$14:$C$19,0),MATCH("Losun [tCO2 íg]",Orka!$C$14:$J$14,0))</f>
        <v>6618.9558319999996</v>
      </c>
      <c r="M22" s="33"/>
      <c r="N22" s="33"/>
      <c r="O22" s="33"/>
      <c r="P22" s="33"/>
      <c r="Q22" s="33"/>
    </row>
    <row r="23" spans="1:18" ht="15" customHeight="1">
      <c r="A23" s="100" t="s">
        <v>623</v>
      </c>
      <c r="B23" s="59" t="s">
        <v>4</v>
      </c>
      <c r="C23" s="38"/>
      <c r="D23" s="32"/>
      <c r="E23" s="32"/>
      <c r="F23" s="32">
        <f>Orka!L19</f>
        <v>241.92783673950339</v>
      </c>
      <c r="G23" s="32">
        <f>Orka!L18</f>
        <v>224.03085719158972</v>
      </c>
      <c r="H23" s="60">
        <f>Orka!L17</f>
        <v>293.42737599359168</v>
      </c>
      <c r="I23" s="60">
        <f>Orka!L16</f>
        <v>274.38504202023893</v>
      </c>
      <c r="J23" s="60">
        <f>Orka!L15</f>
        <v>290.58884</v>
      </c>
      <c r="M23" s="33"/>
      <c r="N23" s="33"/>
      <c r="O23" s="33"/>
      <c r="P23" s="33"/>
      <c r="Q23" s="33"/>
    </row>
    <row r="24" spans="1:18" ht="15" customHeight="1">
      <c r="A24" s="35" t="s">
        <v>135</v>
      </c>
      <c r="B24" s="59" t="s">
        <v>96</v>
      </c>
      <c r="C24" s="38"/>
      <c r="D24" s="38">
        <f>INDEX(Orka!$C$25:$J$34,MATCH(D$19,Orka!$C$25:$C$34,0),MATCH("Vatnsvinnsla hitaveitu í RVK [GL]",Orka!$C$25:$J$25,0))</f>
        <v>69.45</v>
      </c>
      <c r="E24" s="38">
        <f>INDEX(Orka!$C$25:$J$34,MATCH(E$19,Orka!$C$25:$C$34,0),MATCH("Vatnsvinnsla hitaveitu í RVK [GL]",Orka!$C$25:$J$25,0))</f>
        <v>72.64</v>
      </c>
      <c r="F24" s="38">
        <f>INDEX(Orka!$C$25:$J$34,MATCH(F$19,Orka!$C$25:$C$34,0),MATCH("Vatnsvinnsla hitaveitu í RVK [GL]",Orka!$C$25:$J$25,0))</f>
        <v>77.52</v>
      </c>
      <c r="G24" s="38">
        <f>INDEX(Orka!$C$25:$J$34,MATCH(G$19,Orka!$C$25:$C$34,0),MATCH("Vatnsvinnsla hitaveitu í RVK [GL]",Orka!$C$25:$J$25,0))</f>
        <v>75.430000000000007</v>
      </c>
      <c r="H24" s="57">
        <f>INDEX(Orka!$C$25:$J$34,MATCH(H$19,Orka!$C$25:$C$34,0),MATCH("Vatnsvinnsla hitaveitu í RVK [GL]",Orka!$C$25:$J$25,0))</f>
        <v>82.53</v>
      </c>
      <c r="I24" s="57">
        <f>INDEX(Orka!$C$25:$J$34,MATCH(I$19,Orka!$C$25:$C$34,0),MATCH("Vatnsvinnsla hitaveitu í RVK [GL]",Orka!$C$25:$J$25,0))</f>
        <v>80.510000000000005</v>
      </c>
      <c r="J24" s="57">
        <f>INDEX(Orka!$C$25:$J$34,MATCH(J$19,Orka!$C$25:$C$34,0),MATCH("Vatnsvinnsla hitaveitu í RVK [GL]",Orka!$C$25:$J$25,0))</f>
        <v>79.819999999999993</v>
      </c>
      <c r="K24" s="858" t="s">
        <v>691</v>
      </c>
      <c r="L24" s="773" t="s">
        <v>513</v>
      </c>
      <c r="M24" s="33"/>
      <c r="N24" s="33"/>
      <c r="O24" s="33"/>
      <c r="P24" s="33"/>
      <c r="Q24" s="33"/>
    </row>
    <row r="25" spans="1:18" ht="15" customHeight="1">
      <c r="A25" s="35" t="s">
        <v>66</v>
      </c>
      <c r="B25" s="58" t="s">
        <v>136</v>
      </c>
      <c r="C25" s="38"/>
      <c r="D25" s="32">
        <f>INDEX(Orka!$C$25:$J$34,MATCH(D$19,Orka!$C$25:$C$34,0),MATCH("Stuðull [g CO2 íg/m3]",Orka!$C$25:$J$25,0))</f>
        <v>220.4</v>
      </c>
      <c r="E25" s="32">
        <f>INDEX(Orka!$C$25:$J$34,MATCH(E$19,Orka!$C$25:$C$34,0),MATCH("Stuðull [g CO2 íg/m3]",Orka!$C$25:$J$25,0))</f>
        <v>203</v>
      </c>
      <c r="F25" s="38">
        <f>INDEX(Orka!$C$25:$J$34,MATCH(F$19,Orka!$C$25:$C$34,0),MATCH("Stuðull [g CO2 íg/m3]",Orka!$C$25:$J$25,0))</f>
        <v>197.2</v>
      </c>
      <c r="G25" s="38">
        <f>INDEX(Orka!$C$25:$J$34,MATCH(G$19,Orka!$C$25:$C$34,0),MATCH("Stuðull [g CO2 íg/m3]",Orka!$C$25:$J$25,0))</f>
        <v>197.2</v>
      </c>
      <c r="H25" s="57">
        <f>INDEX(Orka!$C$25:$J$34,MATCH(H$19,Orka!$C$25:$C$34,0),MATCH("Stuðull [g CO2 íg/m3]",Orka!$C$25:$J$25,0))</f>
        <v>226.2</v>
      </c>
      <c r="I25" s="57">
        <f>INDEX(Orka!$C$25:$J$34,MATCH(I$19,Orka!$C$25:$C$34,0),MATCH("Stuðull [g CO2 íg/m3]",Orka!$C$25:$J$25,0))</f>
        <v>220.39999999999998</v>
      </c>
      <c r="J25" s="57">
        <f>INDEX(Orka!$C$25:$J$34,MATCH(J$19,Orka!$C$25:$C$34,0),MATCH("Stuðull [g CO2 íg/m3]",Orka!$C$25:$J$25,0))</f>
        <v>237.8</v>
      </c>
      <c r="M25" s="33"/>
      <c r="N25" s="33"/>
      <c r="O25" s="33"/>
      <c r="P25" s="33"/>
      <c r="Q25" s="33"/>
    </row>
    <row r="26" spans="1:18" ht="15" customHeight="1">
      <c r="A26" s="100" t="s">
        <v>140</v>
      </c>
      <c r="B26" s="59" t="s">
        <v>4</v>
      </c>
      <c r="C26" s="32"/>
      <c r="D26" s="32">
        <f>INDEX(Orka!$C$25:$J$34,MATCH(D$19,Orka!$C$25:$C$34,0),MATCH("Losun [tCO2 íg]",Orka!$C$25:$J$25,0))</f>
        <v>15306.78</v>
      </c>
      <c r="E26" s="32">
        <f>INDEX(Orka!$C$25:$J$34,MATCH(E$19,Orka!$C$25:$C$34,0),MATCH("Losun [tCO2 íg]",Orka!$C$25:$J$25,0))</f>
        <v>14745.92</v>
      </c>
      <c r="F26" s="32">
        <f>INDEX(Orka!$C$25:$J$34,MATCH(F$19,Orka!$C$25:$C$34,0),MATCH("Losun [tCO2 íg]",Orka!$C$25:$J$25,0))</f>
        <v>15286.943999999998</v>
      </c>
      <c r="G26" s="32">
        <f>INDEX(Orka!$C$25:$J$34,MATCH(G$19,Orka!$C$25:$C$34,0),MATCH("Losun [tCO2 íg]",Orka!$C$25:$J$25,0))</f>
        <v>14874.796</v>
      </c>
      <c r="H26" s="26">
        <f>INDEX(Orka!$C$25:$J$34,MATCH(H$19,Orka!$C$25:$C$34,0),MATCH("Losun [tCO2 íg]",Orka!$C$25:$J$25,0))</f>
        <v>18668.286</v>
      </c>
      <c r="I26" s="26">
        <f>INDEX(Orka!$C$25:$J$34,MATCH(I$19,Orka!$C$25:$C$34,0),MATCH("Losun [tCO2 íg]",Orka!$C$25:$J$25,0))</f>
        <v>17744.403999999999</v>
      </c>
      <c r="J26" s="26">
        <f>INDEX(Orka!$C$25:$J$34,MATCH(J$19,Orka!$C$25:$C$34,0),MATCH("Losun [tCO2 íg]",Orka!$C$25:$J$25,0))</f>
        <v>18981.196</v>
      </c>
      <c r="K26" s="858" t="s">
        <v>691</v>
      </c>
      <c r="M26" s="33"/>
      <c r="N26" s="33"/>
      <c r="O26" s="33"/>
      <c r="P26" s="33"/>
      <c r="Q26" s="33"/>
    </row>
    <row r="27" spans="1:18" ht="15" customHeight="1">
      <c r="A27" s="32"/>
      <c r="B27" s="35"/>
      <c r="C27" s="32"/>
      <c r="D27" s="32"/>
      <c r="E27" s="32"/>
      <c r="F27" s="32"/>
      <c r="G27" s="32"/>
      <c r="H27" s="28"/>
      <c r="I27" s="28"/>
      <c r="J27" s="28"/>
      <c r="M27" s="33"/>
      <c r="N27" s="33"/>
      <c r="O27" s="33"/>
      <c r="P27" s="33"/>
      <c r="Q27" s="33"/>
    </row>
    <row r="28" spans="1:18" ht="24.75" customHeight="1">
      <c r="A28" s="6" t="s">
        <v>78</v>
      </c>
      <c r="B28" s="4"/>
      <c r="C28" s="5">
        <v>2015</v>
      </c>
      <c r="D28" s="5">
        <v>2016</v>
      </c>
      <c r="E28" s="5">
        <v>2017</v>
      </c>
      <c r="F28" s="5">
        <v>2018</v>
      </c>
      <c r="G28" s="5">
        <v>2019</v>
      </c>
      <c r="H28" s="5">
        <v>2020</v>
      </c>
      <c r="I28" s="5">
        <v>2021</v>
      </c>
      <c r="J28" s="5">
        <v>2022</v>
      </c>
    </row>
    <row r="29" spans="1:18" ht="15" customHeight="1">
      <c r="A29" s="35" t="s">
        <v>367</v>
      </c>
      <c r="B29" s="35" t="s">
        <v>488</v>
      </c>
      <c r="C29" s="32">
        <f>Götuumferð!X21</f>
        <v>1124.1116169619909</v>
      </c>
      <c r="D29" s="32">
        <f>Götuumferð!IK9</f>
        <v>1205.1014318343243</v>
      </c>
      <c r="E29" s="32">
        <f>Götuumferð!IF9</f>
        <v>1301.5424339599781</v>
      </c>
      <c r="F29" s="32">
        <f>Götuumferð!IA9</f>
        <v>1338.0409232983668</v>
      </c>
      <c r="G29" s="32">
        <f>Götuumferð!GK9</f>
        <v>1352.8759503865979</v>
      </c>
      <c r="H29" s="26">
        <f>Götuumferð!EU9</f>
        <v>1214.7848904384769</v>
      </c>
      <c r="I29" s="26">
        <f>Götuumferð!DD9</f>
        <v>1328.56045199959</v>
      </c>
      <c r="J29" s="26">
        <f>Götuumferð!BM9</f>
        <v>1349.3833581073591</v>
      </c>
      <c r="K29" s="858"/>
      <c r="L29" t="s">
        <v>510</v>
      </c>
      <c r="N29" s="33"/>
      <c r="O29" s="33"/>
      <c r="P29" s="33"/>
      <c r="Q29" s="33"/>
      <c r="R29" s="33"/>
    </row>
    <row r="30" spans="1:18" ht="15" customHeight="1">
      <c r="A30" s="100" t="s">
        <v>368</v>
      </c>
      <c r="B30" s="59" t="s">
        <v>4</v>
      </c>
      <c r="C30" s="38"/>
      <c r="D30" s="32">
        <f>SUM(D31:D33)</f>
        <v>311175.28168884345</v>
      </c>
      <c r="E30" s="32">
        <f t="shared" ref="E30:G30" si="8">SUM(E31:E33)</f>
        <v>336077.79629056074</v>
      </c>
      <c r="F30" s="32">
        <f t="shared" si="8"/>
        <v>345502.25418353896</v>
      </c>
      <c r="G30" s="32">
        <f t="shared" si="8"/>
        <v>351387.74283085542</v>
      </c>
      <c r="H30" s="60">
        <f>SUM(H31:H33)</f>
        <v>314219.62422918761</v>
      </c>
      <c r="I30" s="60">
        <f>SUM(I31:I33)</f>
        <v>340041.47984635551</v>
      </c>
      <c r="J30" s="60">
        <f>SUM(J31:J33)</f>
        <v>339943.74539936369</v>
      </c>
      <c r="L30" s="31" t="s">
        <v>509</v>
      </c>
      <c r="R30" s="33"/>
    </row>
    <row r="31" spans="1:18" ht="15" customHeight="1">
      <c r="A31" s="35" t="s">
        <v>503</v>
      </c>
      <c r="B31" s="59" t="s">
        <v>4</v>
      </c>
      <c r="C31" s="38"/>
      <c r="D31" s="32">
        <f>Götuumferð!IK21</f>
        <v>215949.80562994696</v>
      </c>
      <c r="E31" s="32">
        <f>Götuumferð!IF21</f>
        <v>233231.68341519832</v>
      </c>
      <c r="F31" s="32">
        <f>Götuumferð!IA21</f>
        <v>239772.08032304575</v>
      </c>
      <c r="G31" s="32">
        <f>Götuumferð!GK21</f>
        <v>242474.11516524735</v>
      </c>
      <c r="H31" s="60">
        <f>Götuumferð!EU21</f>
        <v>218748.33750437558</v>
      </c>
      <c r="I31" s="60">
        <f>Götuumferð!DD21</f>
        <v>235315.40277824379</v>
      </c>
      <c r="J31" s="886">
        <f>Götuumferð!BM21</f>
        <v>221880.71801834306</v>
      </c>
      <c r="L31" t="s">
        <v>225</v>
      </c>
      <c r="R31" s="33"/>
    </row>
    <row r="32" spans="1:18" ht="15" customHeight="1">
      <c r="A32" s="35" t="s">
        <v>504</v>
      </c>
      <c r="B32" s="59" t="s">
        <v>4</v>
      </c>
      <c r="C32" s="38"/>
      <c r="D32" s="32">
        <f>Götuumferð!IK22</f>
        <v>16107.539181567041</v>
      </c>
      <c r="E32" s="32">
        <f>Götuumferð!IF22</f>
        <v>17396.581895659609</v>
      </c>
      <c r="F32" s="32">
        <f>Götuumferð!IA22</f>
        <v>17884.42535145174</v>
      </c>
      <c r="G32" s="32">
        <f>Götuumferð!GK22</f>
        <v>18194.119507371812</v>
      </c>
      <c r="H32" s="60">
        <f>Götuumferð!EU22</f>
        <v>14249.07499839491</v>
      </c>
      <c r="I32" s="60">
        <f>Götuumferð!DD22</f>
        <v>11693.29670929022</v>
      </c>
      <c r="J32" s="886">
        <f>Götuumferð!BM22</f>
        <v>14955.122298494509</v>
      </c>
      <c r="L32" t="s">
        <v>511</v>
      </c>
      <c r="R32" s="33"/>
    </row>
    <row r="33" spans="1:18" ht="15" customHeight="1">
      <c r="A33" s="35" t="s">
        <v>505</v>
      </c>
      <c r="B33" s="59" t="s">
        <v>4</v>
      </c>
      <c r="C33" s="38"/>
      <c r="D33" s="32">
        <f>Götuumferð!IK23</f>
        <v>79117.936877329455</v>
      </c>
      <c r="E33" s="32">
        <f>Götuumferð!IF23</f>
        <v>85449.530979702788</v>
      </c>
      <c r="F33" s="32">
        <f>Götuumferð!IA23</f>
        <v>87845.748509041441</v>
      </c>
      <c r="G33" s="32">
        <f>Götuumferð!GK23</f>
        <v>90719.508158236305</v>
      </c>
      <c r="H33" s="60">
        <f>Götuumferð!EU23</f>
        <v>81222.211726417096</v>
      </c>
      <c r="I33" s="60">
        <f>Götuumferð!DD23</f>
        <v>93032.780358821503</v>
      </c>
      <c r="J33" s="886">
        <f>Götuumferð!BM23</f>
        <v>103107.90508252612</v>
      </c>
      <c r="R33" s="33"/>
    </row>
    <row r="34" spans="1:18" ht="15" customHeight="1">
      <c r="A34" s="35" t="s">
        <v>369</v>
      </c>
      <c r="B34" s="35"/>
      <c r="C34" s="32" t="e">
        <f>HLOOKUP(Skip!$AI$8,Skip!$AD$8:$AI$73,MATCH(C$28,Skip!$B$8:$B$73,0),FALSE)</f>
        <v>#N/A</v>
      </c>
      <c r="D34" s="32">
        <f>HLOOKUP(Skip!$AI$8,Skip!$AD$8:$AI$73,MATCH(D$28,Skip!$B$8:$B$73,0),FALSE)</f>
        <v>6943</v>
      </c>
      <c r="E34" s="32">
        <f>HLOOKUP(Skip!$AI$8,Skip!$AD$8:$AI$73,MATCH(E$28,Skip!$B$8:$B$73,0),FALSE)</f>
        <v>6621</v>
      </c>
      <c r="F34" s="32">
        <f>HLOOKUP(Skip!$AI$8,Skip!$AD$8:$AI$73,MATCH(F$28,Skip!$B$8:$B$73,0),FALSE)</f>
        <v>5815</v>
      </c>
      <c r="G34" s="32">
        <f>HLOOKUP(Skip!$AI$8,Skip!$AD$8:$AI$73,MATCH(G$28,Skip!$B$8:$B$73,0),FALSE)</f>
        <v>6765</v>
      </c>
      <c r="H34" s="26">
        <f>HLOOKUP(Skip!$AI$8,Skip!$AD$8:$AI$73,MATCH(H$28,Skip!$B$8:$B$73,0),FALSE)</f>
        <v>2653</v>
      </c>
      <c r="I34" s="26">
        <f>HLOOKUP(Skip!$AI$8,Skip!$AD$8:$AI$1000,MATCH(I$28,Skip!$B$8:$B$1000,0),FALSE)</f>
        <v>3476</v>
      </c>
      <c r="J34" s="26">
        <f>HLOOKUP(Skip!$AI$8,Skip!$AD$8:$AI$1000,MATCH(J$28,Skip!$B$8:$B$1000,0),FALSE)</f>
        <v>5171</v>
      </c>
      <c r="L34" t="s">
        <v>508</v>
      </c>
      <c r="M34" s="32"/>
      <c r="N34" s="32"/>
      <c r="O34" s="32"/>
      <c r="P34" s="32"/>
      <c r="Q34" s="32"/>
      <c r="R34" s="33"/>
    </row>
    <row r="35" spans="1:18" ht="15" customHeight="1">
      <c r="A35" s="100" t="s">
        <v>366</v>
      </c>
      <c r="B35" s="59" t="s">
        <v>4</v>
      </c>
      <c r="C35" s="32" t="e">
        <f>HLOOKUP(Skip!$AG$8,Skip!$AD$8:$AI$73,MATCH(C$28,Skip!$B$8:$B$73,0),FALSE)</f>
        <v>#N/A</v>
      </c>
      <c r="D35" s="35">
        <f>HLOOKUP(Skip!$AG$8,Skip!$AD$8:$AI$73,MATCH(D$28,Skip!$B$8:$B$73,0),FALSE)</f>
        <v>40017.414575000003</v>
      </c>
      <c r="E35" s="35">
        <f>HLOOKUP(Skip!$AG$8,Skip!$AD$8:$AI$73,MATCH(E$28,Skip!$B$8:$B$73,0),FALSE)</f>
        <v>35952.374654999992</v>
      </c>
      <c r="F35" s="35">
        <f>HLOOKUP(Skip!$AG$8,Skip!$AD$8:$AI$73,MATCH(F$28,Skip!$B$8:$B$73,0),FALSE)</f>
        <v>41527.022368999998</v>
      </c>
      <c r="G35" s="35">
        <f>HLOOKUP(Skip!$AG$8,Skip!$AD$8:$AI$73,MATCH(G$28,Skip!$B$8:$B$73,0),FALSE)</f>
        <v>51073.751804799998</v>
      </c>
      <c r="H35" s="26">
        <f>HLOOKUP(Skip!$AG$8,Skip!$AD$8:$AI$73,MATCH(H$28,Skip!$B$8:$B$73,0),FALSE)</f>
        <v>37572.295806000002</v>
      </c>
      <c r="I35" s="26">
        <f>HLOOKUP(Skip!$AG$8,Skip!$AD$8:$AI$703,MATCH(I$28,Skip!$B$8:$B$703,0),FALSE)</f>
        <v>35560.1</v>
      </c>
      <c r="J35" s="26">
        <f>HLOOKUP(Skip!$AG$8,Skip!$AD$8:$AI$703,MATCH(J$28,Skip!$B$8:$B$703,0),FALSE)</f>
        <v>52583</v>
      </c>
      <c r="N35" s="33"/>
      <c r="O35" s="33"/>
      <c r="P35" s="33"/>
      <c r="Q35" s="33"/>
      <c r="R35" s="33"/>
    </row>
    <row r="36" spans="1:18" ht="15" customHeight="1">
      <c r="A36" s="35" t="s">
        <v>506</v>
      </c>
      <c r="B36" s="59"/>
      <c r="C36" s="32"/>
      <c r="D36" s="35">
        <f>HLOOKUP(Flug!$AY$9,Flug!$AW$9:$BA$105,MATCH(D$28,Flug!$AX$9:$AX$105,0),FALSE)</f>
        <v>63732</v>
      </c>
      <c r="E36" s="35">
        <f>HLOOKUP(Flug!$AY$9,Flug!$AW$9:$BA$105,MATCH(E$28,Flug!$AX$9:$AX$105,0),FALSE)</f>
        <v>64656</v>
      </c>
      <c r="F36" s="35">
        <f>HLOOKUP(Flug!$AY$9,Flug!$AW$9:$BA$105,MATCH(F$28,Flug!$AX$9:$AX$105,0),FALSE)</f>
        <v>64190</v>
      </c>
      <c r="G36" s="35">
        <f>HLOOKUP(Flug!$AY$9,Flug!$AW$9:$BA$105,MATCH(G$28,Flug!$AX$9:$AX$105,0),FALSE)</f>
        <v>59689</v>
      </c>
      <c r="H36" s="26">
        <f>HLOOKUP(Flug!$AY$9,Flug!$AW$9:$BA$105,MATCH(H$28,Flug!$AX$9:$AX$105,0),FALSE)</f>
        <v>40561</v>
      </c>
      <c r="I36" s="26">
        <f>HLOOKUP(Flug!$AY$9,Flug!$AW$9:$BA$105,MATCH(I$28,Flug!$AX$9:$AX$105,0),FALSE)</f>
        <v>49012</v>
      </c>
      <c r="J36" s="26">
        <f>HLOOKUP(Flug!$AY$9,Flug!$AW$9:$BA$105,MATCH(J$28,Flug!$AX$9:$AX$105,0),FALSE)</f>
        <v>42772</v>
      </c>
      <c r="L36" s="774" t="s">
        <v>507</v>
      </c>
      <c r="N36" s="33"/>
      <c r="O36" s="33"/>
      <c r="P36" s="33"/>
      <c r="Q36" s="33"/>
      <c r="R36" s="33"/>
    </row>
    <row r="37" spans="1:18" ht="15" customHeight="1">
      <c r="A37" s="100" t="s">
        <v>370</v>
      </c>
      <c r="B37" s="59" t="s">
        <v>4</v>
      </c>
      <c r="C37" s="32"/>
      <c r="D37" s="35">
        <f>HLOOKUP(Flug!$BA$9,Flug!$AW$9:$BA$105,MATCH(D$28,Flug!$AX$9:$AX$105,0),FALSE)</f>
        <v>5400.7160188601574</v>
      </c>
      <c r="E37" s="35">
        <f>HLOOKUP(Flug!$BA$9,Flug!$AW$9:$BA$105,MATCH(E$28,Flug!$AX$9:$AX$105,0),FALSE)</f>
        <v>4792.3453956006551</v>
      </c>
      <c r="F37" s="35">
        <f>HLOOKUP(Flug!$BA$9,Flug!$AW$9:$BA$105,MATCH(F$28,Flug!$AX$9:$AX$105,0),FALSE)</f>
        <v>7325.3866733465939</v>
      </c>
      <c r="G37" s="35">
        <f>HLOOKUP(Flug!$BA$9,Flug!$AW$9:$BA$105,MATCH(G$28,Flug!$AX$9:$AX$105,0),FALSE)</f>
        <v>6937.1982702861123</v>
      </c>
      <c r="H37" s="26">
        <f>HLOOKUP(Flug!$BA$9,Flug!$AW$9:$BA$105,MATCH(H$28,Flug!$AX$9:$AX$105,0),FALSE)</f>
        <v>4542.5582514083553</v>
      </c>
      <c r="I37" s="26">
        <f>HLOOKUP(Flug!$BA$9,Flug!$AW$9:$BA$105,MATCH(I$28,Flug!$AX$9:$AX$105,0),FALSE)</f>
        <v>6698.8813711630573</v>
      </c>
      <c r="J37" s="26">
        <f>HLOOKUP(Flug!$BA$9,Flug!$AW$9:$BA$105,MATCH(J$28,Flug!$AX$9:$AX$105,0),FALSE)</f>
        <v>5939.1766057704244</v>
      </c>
      <c r="N37" s="33"/>
      <c r="O37" s="33"/>
      <c r="P37" s="33"/>
      <c r="Q37" s="33"/>
      <c r="R37" s="33"/>
    </row>
    <row r="38" spans="1:18" ht="13.5" customHeight="1">
      <c r="A38" s="1"/>
      <c r="B38" s="2"/>
      <c r="C38" s="3"/>
      <c r="D38" s="3"/>
      <c r="E38" s="3"/>
      <c r="F38" s="3"/>
      <c r="G38" s="3"/>
      <c r="H38" s="3"/>
      <c r="I38" s="3"/>
      <c r="J38" s="3"/>
    </row>
    <row r="39" spans="1:18" ht="24.75" customHeight="1">
      <c r="A39" s="6" t="s">
        <v>371</v>
      </c>
      <c r="B39" s="4" t="s">
        <v>0</v>
      </c>
      <c r="C39" s="5">
        <v>2015</v>
      </c>
      <c r="D39" s="5">
        <v>2016</v>
      </c>
      <c r="E39" s="5">
        <v>2017</v>
      </c>
      <c r="F39" s="5">
        <v>2018</v>
      </c>
      <c r="G39" s="5">
        <v>2019</v>
      </c>
      <c r="H39" s="5">
        <v>2020</v>
      </c>
      <c r="I39" s="5">
        <v>2021</v>
      </c>
      <c r="J39" s="5">
        <v>2022</v>
      </c>
      <c r="K39" s="858" t="s">
        <v>693</v>
      </c>
    </row>
    <row r="40" spans="1:18" ht="15" customHeight="1">
      <c r="A40" s="35" t="s">
        <v>372</v>
      </c>
      <c r="B40" s="35" t="s">
        <v>24</v>
      </c>
      <c r="C40" s="35">
        <f>Úrgangur!AG9</f>
        <v>92851.460999999996</v>
      </c>
      <c r="D40" s="35">
        <f>Úrgangur!AH9</f>
        <v>104269.54300000001</v>
      </c>
      <c r="E40" s="35">
        <f>Úrgangur!AI9</f>
        <v>123079.44</v>
      </c>
      <c r="F40" s="35">
        <f>Úrgangur!AJ9</f>
        <v>123080.44</v>
      </c>
      <c r="G40" s="35">
        <f>Úrgangur!AK9</f>
        <v>111254.22</v>
      </c>
      <c r="H40" s="26">
        <f>Úrgangur!AL9</f>
        <v>89065.2</v>
      </c>
      <c r="I40" s="26">
        <f>Úrgangur!AM9</f>
        <v>85542.48</v>
      </c>
      <c r="J40" s="26">
        <f>Úrgangur!AN9</f>
        <v>67484.789999999994</v>
      </c>
      <c r="L40" s="774" t="s">
        <v>514</v>
      </c>
      <c r="N40" s="33"/>
      <c r="O40" s="33"/>
      <c r="P40" s="33"/>
      <c r="Q40" s="33"/>
      <c r="R40" s="33"/>
    </row>
    <row r="41" spans="1:18" ht="15" customHeight="1">
      <c r="A41" s="35" t="s">
        <v>373</v>
      </c>
      <c r="B41" s="59" t="s">
        <v>4</v>
      </c>
      <c r="C41" s="35">
        <f>Úrgangur!AG13</f>
        <v>77785.50951133536</v>
      </c>
      <c r="D41" s="35">
        <f>Úrgangur!AH13</f>
        <v>87350.909090909088</v>
      </c>
      <c r="E41" s="35">
        <f>Úrgangur!AI13</f>
        <v>103108.73784495247</v>
      </c>
      <c r="F41" s="35">
        <f>Úrgangur!AJ13</f>
        <v>103109.57558631567</v>
      </c>
      <c r="G41" s="35">
        <f>Úrgangur!AK13</f>
        <v>93202.261922256628</v>
      </c>
      <c r="H41" s="26">
        <f>Úrgangur!AL13</f>
        <v>74613.602059842509</v>
      </c>
      <c r="I41" s="26">
        <f>Úrgangur!AM13</f>
        <v>71662.473804943307</v>
      </c>
      <c r="J41" s="26">
        <f>Úrgangur!AN13</f>
        <v>56534.799968472958</v>
      </c>
      <c r="L41" t="s">
        <v>596</v>
      </c>
      <c r="N41" s="33"/>
      <c r="O41" s="33"/>
      <c r="P41" s="33"/>
      <c r="Q41" s="33"/>
      <c r="R41" s="33"/>
    </row>
    <row r="42" spans="1:18" ht="15" customHeight="1">
      <c r="A42" s="35" t="s">
        <v>602</v>
      </c>
      <c r="B42" s="59" t="s">
        <v>4</v>
      </c>
      <c r="C42" s="35">
        <f>C41*C6</f>
        <v>44895.844615854265</v>
      </c>
      <c r="D42" s="35">
        <f>D41*D6</f>
        <v>50126.01722229748</v>
      </c>
      <c r="E42" s="35">
        <f t="shared" ref="E42:H42" si="9">E41*E6</f>
        <v>58653.451543164862</v>
      </c>
      <c r="F42" s="35">
        <f t="shared" si="9"/>
        <v>58471.423567911945</v>
      </c>
      <c r="G42" s="35">
        <f t="shared" si="9"/>
        <v>52649.857319098388</v>
      </c>
      <c r="H42" s="26">
        <f t="shared" si="9"/>
        <v>42031.751155421887</v>
      </c>
      <c r="I42" s="26">
        <f t="shared" ref="I42" si="10">I41*I6</f>
        <v>40418.00160909757</v>
      </c>
      <c r="J42" s="26">
        <f t="shared" ref="J42" si="11">J41*J6</f>
        <v>31878.148663644803</v>
      </c>
      <c r="N42" s="33"/>
      <c r="O42" s="33"/>
      <c r="P42" s="33"/>
      <c r="Q42" s="33"/>
      <c r="R42" s="33"/>
    </row>
    <row r="43" spans="1:18" ht="15" customHeight="1">
      <c r="A43" s="35" t="s">
        <v>464</v>
      </c>
      <c r="B43" s="59" t="s">
        <v>4</v>
      </c>
      <c r="C43" s="35">
        <f>Úrgangur!AG15</f>
        <v>0</v>
      </c>
      <c r="D43" s="35">
        <f>Úrgangur!AH15</f>
        <v>0</v>
      </c>
      <c r="E43" s="35">
        <f>Úrgangur!AI15</f>
        <v>0</v>
      </c>
      <c r="F43" s="35">
        <f>Úrgangur!AJ15</f>
        <v>0</v>
      </c>
      <c r="G43" s="35">
        <f>Úrgangur!AK15</f>
        <v>0</v>
      </c>
      <c r="H43" s="26">
        <f>Úrgangur!AL15</f>
        <v>361.2</v>
      </c>
      <c r="I43" s="26">
        <f>Úrgangur!AM15</f>
        <v>3095.9999999999995</v>
      </c>
      <c r="J43" s="26">
        <f>Úrgangur!AN15</f>
        <v>4626.1120000000001</v>
      </c>
      <c r="L43" s="764"/>
      <c r="N43" s="33"/>
      <c r="O43" s="33"/>
      <c r="P43" s="33"/>
      <c r="Q43" s="33"/>
      <c r="R43" s="33"/>
    </row>
    <row r="44" spans="1:18" ht="15" customHeight="1">
      <c r="A44" s="35" t="s">
        <v>603</v>
      </c>
      <c r="B44" s="59" t="s">
        <v>4</v>
      </c>
      <c r="C44" s="35"/>
      <c r="D44" s="35">
        <f>D43*D6</f>
        <v>0</v>
      </c>
      <c r="E44" s="35">
        <f t="shared" ref="E44:H44" si="12">E43*E6</f>
        <v>0</v>
      </c>
      <c r="F44" s="35">
        <f t="shared" si="12"/>
        <v>0</v>
      </c>
      <c r="G44" s="35">
        <f t="shared" si="12"/>
        <v>0</v>
      </c>
      <c r="H44" s="26">
        <f t="shared" si="12"/>
        <v>203.47320191246146</v>
      </c>
      <c r="I44" s="26">
        <f t="shared" ref="I44" si="13">I43*I6</f>
        <v>1746.1598286763895</v>
      </c>
      <c r="J44" s="26">
        <f t="shared" ref="J44" si="14">J43*J6</f>
        <v>2608.5152181118524</v>
      </c>
      <c r="N44" s="33"/>
      <c r="O44" s="33"/>
      <c r="P44" s="33"/>
      <c r="Q44" s="33"/>
      <c r="R44" s="33"/>
    </row>
    <row r="45" spans="1:18" ht="15" customHeight="1">
      <c r="A45" s="35" t="s">
        <v>374</v>
      </c>
      <c r="B45" s="35" t="s">
        <v>8</v>
      </c>
      <c r="C45" s="32"/>
      <c r="D45" s="32">
        <f>HLOOKUP(""&amp;D$39,tblBrennsla[#All],MATCH("Brennsla",tblBrennsla[[#All],[Tímabil]],0),FALSE)</f>
        <v>11019040</v>
      </c>
      <c r="E45" s="32">
        <f>HLOOKUP(""&amp;E$39,tblBrennsla[#All],MATCH(Úrgangur!$U$18,tblBrennsla[[#All],[Tímabil]],0),FALSE)</f>
        <v>11529789</v>
      </c>
      <c r="F45" s="32">
        <f>HLOOKUP(""&amp;F$39,tblBrennsla[#All],MATCH(Úrgangur!$U$18,tblBrennsla[[#All],[Tímabil]],0),FALSE)</f>
        <v>11479101</v>
      </c>
      <c r="G45" s="32">
        <f>HLOOKUP(""&amp;G$39,tblBrennsla[#All],MATCH(Úrgangur!$U$18,tblBrennsla[[#All],[Tímabil]],0),FALSE)</f>
        <v>10549953</v>
      </c>
      <c r="H45" s="26">
        <f>HLOOKUP(""&amp;H$39,tblBrennsla[#All],MATCH(Úrgangur!$U$18,tblBrennsla[[#All],[Tímabil]],0),FALSE)</f>
        <v>11023463</v>
      </c>
      <c r="I45" s="26">
        <f>HLOOKUP(""&amp;I$39,tblBrennsla[#All],MATCH(Úrgangur!$U$18,tblBrennsla[[#All],[Tímabil]],0),FALSE)</f>
        <v>12646135</v>
      </c>
      <c r="J45" s="893">
        <f>IFERROR(HLOOKUP(""&amp;I$39,tblBrennsla[#All],MATCH(Úrgangur!$U$18,tblBrennsla[[#All],[2021]],0),FALSE),AVERAGE(E45:I45))</f>
        <v>11445688.199999999</v>
      </c>
      <c r="L45" t="s">
        <v>515</v>
      </c>
      <c r="R45" s="33"/>
    </row>
    <row r="46" spans="1:18" ht="15" customHeight="1">
      <c r="A46" s="35" t="s">
        <v>535</v>
      </c>
      <c r="B46" s="35" t="s">
        <v>8</v>
      </c>
      <c r="C46" s="32"/>
      <c r="D46" s="32">
        <f>D45*D6</f>
        <v>6323238.012764642</v>
      </c>
      <c r="E46" s="32">
        <f t="shared" ref="E46:H46" si="15">E45*E6</f>
        <v>6558725.6186893638</v>
      </c>
      <c r="F46" s="32">
        <f t="shared" si="15"/>
        <v>6509573.654368923</v>
      </c>
      <c r="G46" s="32">
        <f t="shared" si="15"/>
        <v>5959657.0803884333</v>
      </c>
      <c r="H46" s="26">
        <f t="shared" si="15"/>
        <v>6209798.7618315294</v>
      </c>
      <c r="I46" s="26">
        <f t="shared" ref="I46" si="16">I45*I6</f>
        <v>7132484.7949026152</v>
      </c>
      <c r="J46" s="26">
        <f>J45*J6</f>
        <v>6453854.0898843901</v>
      </c>
      <c r="R46" s="33"/>
    </row>
    <row r="47" spans="1:18" ht="15" customHeight="1">
      <c r="A47" s="35" t="s">
        <v>375</v>
      </c>
      <c r="B47" s="59" t="s">
        <v>4</v>
      </c>
      <c r="C47" s="32"/>
      <c r="D47" s="32">
        <f>HLOOKUP(""&amp;D$39,tblBrennsla[#All],MATCH(Úrgangur!$U$26,tblBrennsla[[#All],[Tímabil]],0),FALSE)</f>
        <v>2901.3688398857967</v>
      </c>
      <c r="E47" s="32">
        <f>HLOOKUP(""&amp;E$39,tblBrennsla[#All],MATCH(Úrgangur!$U$26,tblBrennsla[[#All],[Tímabil]],0),FALSE)</f>
        <v>3009.4205059198844</v>
      </c>
      <c r="F47" s="32">
        <f>HLOOKUP(""&amp;F$39,tblBrennsla[#All],MATCH(Úrgangur!$U$26,tblBrennsla[[#All],[Tímabil]],0),FALSE)</f>
        <v>2986.8675073753684</v>
      </c>
      <c r="G47" s="32">
        <f>HLOOKUP(""&amp;G$39,tblBrennsla[#All],MATCH(Úrgangur!$U$26,tblBrennsla[[#All],[Tímabil]],0),FALSE)</f>
        <v>2734.5425420549259</v>
      </c>
      <c r="H47" s="26">
        <f>HLOOKUP(""&amp;H$39,tblBrennsla[#All],MATCH(Úrgangur!$U$26,tblBrennsla[[#All],[Tímabil]],0),FALSE)</f>
        <v>2849.3181172634768</v>
      </c>
      <c r="I47" s="26">
        <f>HLOOKUP(""&amp;I$39,tblBrennsla[#All],MATCH(Úrgangur!$U$26,tblBrennsla[[#All],[Tímabil]],0),FALSE)</f>
        <v>3272.6854648069589</v>
      </c>
      <c r="J47" s="894">
        <f>IFERROR(HLOOKUP(""&amp;J$39,tblBrennsla[#All],MATCH(Úrgangur!$U$26,tblBrennsla[[#All],[2021]],0),FALSE),AVERAGE(E47:I47))</f>
        <v>2970.5668274841223</v>
      </c>
      <c r="M47" s="32"/>
      <c r="N47" s="32"/>
      <c r="O47" s="32"/>
      <c r="P47" s="32"/>
      <c r="Q47" s="32"/>
      <c r="R47" s="33"/>
    </row>
    <row r="48" spans="1:18" ht="15" customHeight="1">
      <c r="A48" s="35" t="s">
        <v>572</v>
      </c>
      <c r="B48" s="59" t="s">
        <v>4</v>
      </c>
      <c r="C48" s="32">
        <f>Fráveita!C26</f>
        <v>4437.2542737599997</v>
      </c>
      <c r="D48" s="32">
        <f>Fráveita!D26</f>
        <v>4460.4928367999992</v>
      </c>
      <c r="E48" s="32">
        <f>Fráveita!E26</f>
        <v>4489.1221636799992</v>
      </c>
      <c r="F48" s="32">
        <f>Fráveita!F26</f>
        <v>4590.9274672800002</v>
      </c>
      <c r="G48" s="32">
        <f>Fráveita!G26</f>
        <v>4691.1665354400002</v>
      </c>
      <c r="H48" s="26">
        <f>Fráveita!H26</f>
        <v>4776.5081548799999</v>
      </c>
      <c r="I48" s="26">
        <f>Fráveita!I26</f>
        <v>4853.9457489599999</v>
      </c>
      <c r="J48" s="26">
        <f>Fráveita!J26</f>
        <v>4942.3105670399991</v>
      </c>
      <c r="M48" s="32"/>
      <c r="N48" s="32"/>
      <c r="O48" s="32"/>
      <c r="P48" s="32"/>
      <c r="Q48" s="32"/>
      <c r="R48" s="33"/>
    </row>
    <row r="49" spans="1:18" ht="15" customHeight="1">
      <c r="A49" s="35" t="s">
        <v>573</v>
      </c>
      <c r="B49" s="59" t="s">
        <v>4</v>
      </c>
      <c r="C49" s="32">
        <f>Fráveita!C36</f>
        <v>1790.0227844045553</v>
      </c>
      <c r="D49" s="32">
        <f>Fráveita!D36</f>
        <v>1799.3974009471351</v>
      </c>
      <c r="E49" s="32">
        <f>Fráveita!E36</f>
        <v>1810.9466934274913</v>
      </c>
      <c r="F49" s="32">
        <f>Fráveita!F36</f>
        <v>1852.0157423875373</v>
      </c>
      <c r="G49" s="32">
        <f>Fráveita!G36</f>
        <v>1892.4529598251213</v>
      </c>
      <c r="H49" s="26">
        <f>Fráveita!H36</f>
        <v>1926.8804309211459</v>
      </c>
      <c r="I49" s="26">
        <f>Fráveita!I36</f>
        <v>1958.1193568921858</v>
      </c>
      <c r="J49" s="26">
        <f>Fráveita!J36</f>
        <v>1993.7664097641261</v>
      </c>
      <c r="M49" s="32"/>
      <c r="N49" s="32"/>
      <c r="O49" s="32"/>
      <c r="P49" s="32"/>
      <c r="Q49" s="32"/>
      <c r="R49" s="33"/>
    </row>
    <row r="50" spans="1:18" ht="15" customHeight="1">
      <c r="A50" s="35" t="s">
        <v>574</v>
      </c>
      <c r="B50" s="59" t="s">
        <v>4</v>
      </c>
      <c r="C50" s="32">
        <f>Fráveita!C43</f>
        <v>1851.9774</v>
      </c>
      <c r="D50" s="32">
        <f>Fráveita!D43</f>
        <v>1719.354</v>
      </c>
      <c r="E50" s="32">
        <f>Fráveita!E43</f>
        <v>1544.3428000000001</v>
      </c>
      <c r="F50" s="32">
        <f>Fráveita!F43</f>
        <v>1692.7092000000002</v>
      </c>
      <c r="G50" s="32">
        <f>Fráveita!G43</f>
        <v>1335.5159999999998</v>
      </c>
      <c r="H50" s="26">
        <f>Fráveita!H43</f>
        <v>1638.9077110664502</v>
      </c>
      <c r="I50" s="26">
        <f>Fráveita!I43</f>
        <v>1644.8987429000899</v>
      </c>
      <c r="J50" s="26">
        <f>Fráveita!J43</f>
        <v>1565.5114870485968</v>
      </c>
      <c r="M50" s="32"/>
      <c r="N50" s="32"/>
      <c r="O50" s="32"/>
      <c r="P50" s="32"/>
      <c r="Q50" s="32"/>
      <c r="R50" s="33"/>
    </row>
    <row r="51" spans="1:18" ht="15" customHeight="1">
      <c r="A51" s="35" t="s">
        <v>378</v>
      </c>
      <c r="B51" s="59" t="s">
        <v>4</v>
      </c>
      <c r="C51" s="32">
        <f>SUM(C48:C50)</f>
        <v>8079.2544581645543</v>
      </c>
      <c r="D51" s="32">
        <f t="shared" ref="D51:G51" si="17">SUM(D48:D50)</f>
        <v>7979.2442377471343</v>
      </c>
      <c r="E51" s="32">
        <f t="shared" si="17"/>
        <v>7844.411657107491</v>
      </c>
      <c r="F51" s="32">
        <f t="shared" si="17"/>
        <v>8135.6524096675375</v>
      </c>
      <c r="G51" s="32">
        <f t="shared" si="17"/>
        <v>7919.1354952651209</v>
      </c>
      <c r="H51" s="26">
        <f>SUM(H48:H50)</f>
        <v>8342.2962968675965</v>
      </c>
      <c r="I51" s="26">
        <f>SUM(I48:I50)</f>
        <v>8456.9638487522752</v>
      </c>
      <c r="J51" s="26">
        <f>SUM(J48:J50)</f>
        <v>8501.5884638527223</v>
      </c>
      <c r="M51" s="32"/>
      <c r="N51" s="32"/>
      <c r="O51" s="32"/>
      <c r="P51" s="32"/>
      <c r="Q51" s="32"/>
      <c r="R51" s="33"/>
    </row>
    <row r="52" spans="1:18" ht="15" customHeight="1">
      <c r="A52" s="35" t="s">
        <v>551</v>
      </c>
      <c r="B52" s="59" t="s">
        <v>4</v>
      </c>
      <c r="C52" s="32">
        <f>C51+C47+C44+C42</f>
        <v>52975.099074018821</v>
      </c>
      <c r="D52" s="32">
        <f>D51+D47+D44+D42</f>
        <v>61006.63029993041</v>
      </c>
      <c r="E52" s="32">
        <f t="shared" ref="E52:G52" si="18">E51+E47+E44+E42</f>
        <v>69507.283706192233</v>
      </c>
      <c r="F52" s="32">
        <f t="shared" si="18"/>
        <v>69593.943484954856</v>
      </c>
      <c r="G52" s="32">
        <f t="shared" si="18"/>
        <v>63303.535356418433</v>
      </c>
      <c r="H52" s="26">
        <f>H51+H47+H44+H42</f>
        <v>53426.838771465424</v>
      </c>
      <c r="I52" s="26">
        <f>I51+I47+I44+I42</f>
        <v>53893.810751333192</v>
      </c>
      <c r="J52" s="26">
        <f>J51+J47+J44+J42</f>
        <v>45958.8191730935</v>
      </c>
      <c r="M52" s="32"/>
      <c r="N52" s="32"/>
      <c r="O52" s="32"/>
      <c r="P52" s="32"/>
      <c r="Q52" s="32"/>
      <c r="R52" s="33"/>
    </row>
    <row r="53" spans="1:18" ht="15" customHeight="1">
      <c r="A53" s="32"/>
      <c r="B53" s="35"/>
      <c r="C53" s="32"/>
      <c r="D53" s="32"/>
      <c r="E53" s="32"/>
      <c r="F53" s="32"/>
      <c r="G53" s="32"/>
      <c r="L53" s="40"/>
      <c r="M53" s="40"/>
      <c r="N53" s="33"/>
      <c r="O53" s="33"/>
      <c r="P53" s="33"/>
      <c r="Q53" s="33"/>
      <c r="R53" s="33"/>
    </row>
    <row r="54" spans="1:18" ht="24.75" customHeight="1">
      <c r="A54" s="6" t="s">
        <v>495</v>
      </c>
      <c r="B54" s="4" t="s">
        <v>0</v>
      </c>
      <c r="C54" s="5">
        <v>2015</v>
      </c>
      <c r="D54" s="5">
        <v>2016</v>
      </c>
      <c r="E54" s="5">
        <v>2017</v>
      </c>
      <c r="F54" s="5">
        <v>2018</v>
      </c>
      <c r="G54" s="5">
        <v>2019</v>
      </c>
      <c r="H54" s="5">
        <v>2020</v>
      </c>
      <c r="I54" s="5">
        <v>2021</v>
      </c>
      <c r="J54" s="5">
        <v>2022</v>
      </c>
    </row>
    <row r="55" spans="1:18" ht="15" customHeight="1">
      <c r="A55" s="35" t="s">
        <v>435</v>
      </c>
      <c r="B55" s="59" t="s">
        <v>4</v>
      </c>
      <c r="C55" s="35"/>
      <c r="D55" s="35">
        <f>D56-D57</f>
        <v>45422</v>
      </c>
      <c r="E55" s="35">
        <f t="shared" ref="E55:G55" si="19">E56-E57</f>
        <v>45422</v>
      </c>
      <c r="F55" s="35">
        <f t="shared" si="19"/>
        <v>45422</v>
      </c>
      <c r="G55" s="35">
        <f t="shared" si="19"/>
        <v>45422</v>
      </c>
      <c r="H55" s="26">
        <f>H56-H57</f>
        <v>45422</v>
      </c>
      <c r="I55" s="26">
        <f>I56-I57</f>
        <v>45422</v>
      </c>
      <c r="J55" s="26">
        <f>J56-J57</f>
        <v>45422</v>
      </c>
      <c r="K55" s="858"/>
      <c r="L55" s="774" t="s">
        <v>502</v>
      </c>
      <c r="N55" s="33"/>
      <c r="O55" s="33"/>
      <c r="P55" s="33"/>
      <c r="Q55" s="33"/>
      <c r="R55" s="33"/>
    </row>
    <row r="56" spans="1:18" ht="15" customHeight="1">
      <c r="A56" s="35" t="s">
        <v>425</v>
      </c>
      <c r="B56" s="59" t="s">
        <v>4</v>
      </c>
      <c r="C56" s="35"/>
      <c r="D56" s="35">
        <f>'Landbúnaður og landnotkun'!$P$77</f>
        <v>56009</v>
      </c>
      <c r="E56" s="35">
        <f>'Landbúnaður og landnotkun'!$P$77</f>
        <v>56009</v>
      </c>
      <c r="F56" s="35">
        <f>'Landbúnaður og landnotkun'!$P$77</f>
        <v>56009</v>
      </c>
      <c r="G56" s="35">
        <f>'Landbúnaður og landnotkun'!$P$77</f>
        <v>56009</v>
      </c>
      <c r="H56" s="26">
        <f>'Landbúnaður og landnotkun'!$P$77</f>
        <v>56009</v>
      </c>
      <c r="I56" s="26">
        <f>'Landbúnaður og landnotkun'!$P$77</f>
        <v>56009</v>
      </c>
      <c r="J56" s="26">
        <f>'Landbúnaður og landnotkun'!$P$77</f>
        <v>56009</v>
      </c>
      <c r="K56" s="858"/>
      <c r="N56" s="33"/>
      <c r="O56" s="33"/>
      <c r="P56" s="33"/>
      <c r="Q56" s="33"/>
      <c r="R56" s="33"/>
    </row>
    <row r="57" spans="1:18" ht="15" customHeight="1">
      <c r="A57" s="35" t="s">
        <v>494</v>
      </c>
      <c r="B57" s="59" t="s">
        <v>4</v>
      </c>
      <c r="C57" s="35"/>
      <c r="D57" s="35">
        <f>'Landbúnaður og landnotkun'!P78</f>
        <v>10587</v>
      </c>
      <c r="E57" s="35">
        <f>'Landbúnaður og landnotkun'!P78</f>
        <v>10587</v>
      </c>
      <c r="F57" s="35">
        <f>'Landbúnaður og landnotkun'!P78</f>
        <v>10587</v>
      </c>
      <c r="G57" s="35">
        <f>'Landbúnaður og landnotkun'!P78</f>
        <v>10587</v>
      </c>
      <c r="H57" s="26">
        <f>'Landbúnaður og landnotkun'!P78</f>
        <v>10587</v>
      </c>
      <c r="I57" s="26">
        <f>'Landbúnaður og landnotkun'!P78</f>
        <v>10587</v>
      </c>
      <c r="J57" s="26">
        <f>'Landbúnaður og landnotkun'!P78</f>
        <v>10587</v>
      </c>
      <c r="K57" s="858"/>
      <c r="N57" s="33"/>
      <c r="O57" s="33"/>
      <c r="P57" s="33"/>
      <c r="Q57" s="33"/>
      <c r="R57" s="33"/>
    </row>
    <row r="58" spans="1:18" ht="15" customHeight="1">
      <c r="A58" s="32" t="s">
        <v>436</v>
      </c>
      <c r="B58" s="59" t="s">
        <v>4</v>
      </c>
      <c r="C58" s="35"/>
      <c r="D58" s="35">
        <f>INDEX('Landbúnaður og landnotkun'!$B$8:$G$93,MATCH(D54,'Landbúnaður og landnotkun'!$B$8:$B$93,0),MATCH("Losun",'Landbúnaður og landnotkun'!$B$8:$G$8,0))</f>
        <v>1829.6519397420795</v>
      </c>
      <c r="E58" s="35">
        <f>INDEX('Landbúnaður og landnotkun'!$B$8:$G$93,MATCH(E54,'Landbúnaður og landnotkun'!$B$8:$B$93,0),MATCH("Losun",'Landbúnaður og landnotkun'!$B$8:$G$8,0))</f>
        <v>2245.4398830453683</v>
      </c>
      <c r="F58" s="35">
        <f>INDEX('Landbúnaður og landnotkun'!$B$8:$G$93,MATCH(F54,'Landbúnaður og landnotkun'!$B$8:$B$93,0),MATCH("Losun",'Landbúnaður og landnotkun'!$B$8:$G$8,0))</f>
        <v>1691.624489923749</v>
      </c>
      <c r="G58" s="35">
        <f>INDEX('Landbúnaður og landnotkun'!$B$8:$G$93,MATCH(G54,'Landbúnaður og landnotkun'!$B$8:$B$93,0),MATCH("Losun",'Landbúnaður og landnotkun'!$B$8:$G$8,0))</f>
        <v>1710.0061987558634</v>
      </c>
      <c r="H58" s="26">
        <f>INDEX('Landbúnaður og landnotkun'!$B$8:$G$93,MATCH(H54,'Landbúnaður og landnotkun'!$B$8:$B$93,0),MATCH("Losun",'Landbúnaður og landnotkun'!$B$8:$G$8,0))</f>
        <v>2652.4245259230693</v>
      </c>
      <c r="I58" s="26">
        <f>INDEX('Landbúnaður og landnotkun'!$B$8:$G$930,MATCH(I54,'Landbúnaður og landnotkun'!$B$8:$B$930,0),MATCH("Losun",'Landbúnaður og landnotkun'!$B$8:$G$8,0))</f>
        <v>2654.0703045108339</v>
      </c>
      <c r="J58" s="26">
        <f>INDEX('Landbúnaður og landnotkun'!$B$8:$G$930,MATCH(J54,'Landbúnaður og landnotkun'!$B$8:$B$930,0),MATCH("Losun",'Landbúnaður og landnotkun'!$B$8:$G$8,0))</f>
        <v>2565.3120470227268</v>
      </c>
      <c r="N58" s="33"/>
      <c r="O58" s="33"/>
      <c r="P58" s="33"/>
      <c r="Q58" s="33"/>
      <c r="R58" s="33"/>
    </row>
    <row r="59" spans="1:18" ht="15" customHeight="1">
      <c r="A59" s="35" t="s">
        <v>496</v>
      </c>
      <c r="B59" s="59" t="s">
        <v>4</v>
      </c>
      <c r="C59" s="35"/>
      <c r="D59" s="35">
        <f>'Landbúnaður og landnotkun'!G13</f>
        <v>133.76218466040802</v>
      </c>
      <c r="E59" s="35">
        <f>'Landbúnaður og landnotkun'!G30</f>
        <v>138.40119799136124</v>
      </c>
      <c r="F59" s="35">
        <f>'Landbúnaður og landnotkun'!G47</f>
        <v>106.19713567430057</v>
      </c>
      <c r="G59" s="35">
        <f>'Landbúnaður og landnotkun'!G64</f>
        <v>63.482771036872585</v>
      </c>
      <c r="H59" s="26">
        <f>'Landbúnaður og landnotkun'!G81</f>
        <v>104.86226016734406</v>
      </c>
      <c r="I59" s="26">
        <f>'Landbúnaður og landnotkun'!G98</f>
        <v>104.86226016734406</v>
      </c>
      <c r="J59" s="26">
        <f>'Landbúnaður og landnotkun'!G115</f>
        <v>106.26885947784511</v>
      </c>
      <c r="K59" s="858"/>
      <c r="N59" s="33"/>
      <c r="O59" s="33"/>
      <c r="P59" s="33"/>
      <c r="Q59" s="33"/>
      <c r="R59" s="33"/>
    </row>
    <row r="60" spans="1:18" ht="15" customHeight="1">
      <c r="A60" s="35" t="s">
        <v>497</v>
      </c>
      <c r="B60" s="59" t="s">
        <v>4</v>
      </c>
      <c r="C60" s="35"/>
      <c r="D60" s="35">
        <f>'Landbúnaður og landnotkun'!G17</f>
        <v>272.82220287113824</v>
      </c>
      <c r="E60" s="35">
        <f>'Landbúnaður og landnotkun'!G34</f>
        <v>261.98564313173353</v>
      </c>
      <c r="F60" s="35">
        <f>'Landbúnaður og landnotkun'!G51</f>
        <v>285.13553680648994</v>
      </c>
      <c r="G60" s="35">
        <f>'Landbúnaður og landnotkun'!G68</f>
        <v>288.0121654312245</v>
      </c>
      <c r="H60" s="26">
        <f>'Landbúnaður og landnotkun'!G85</f>
        <v>281.8934473198733</v>
      </c>
      <c r="I60" s="26">
        <f>'Landbúnaður og landnotkun'!G102</f>
        <v>281.8934473198733</v>
      </c>
      <c r="J60" s="26">
        <f>'Landbúnaður og landnotkun'!G119</f>
        <v>286.20143591002079</v>
      </c>
      <c r="N60" s="33"/>
      <c r="O60" s="33"/>
      <c r="P60" s="33"/>
      <c r="Q60" s="33"/>
      <c r="R60" s="33"/>
    </row>
    <row r="61" spans="1:18" ht="15" customHeight="1">
      <c r="A61" s="35" t="s">
        <v>498</v>
      </c>
      <c r="B61" s="59" t="s">
        <v>4</v>
      </c>
      <c r="C61" s="35"/>
      <c r="D61" s="35">
        <f>'Landbúnaður og landnotkun'!G21</f>
        <v>641.3177322400586</v>
      </c>
      <c r="E61" s="35">
        <f>'Landbúnaður og landnotkun'!G38</f>
        <v>1039.9697248739558</v>
      </c>
      <c r="F61" s="35">
        <f>'Landbúnaður og landnotkun'!G55</f>
        <v>576.69458039937297</v>
      </c>
      <c r="G61" s="35">
        <f>'Landbúnaður og landnotkun'!G72</f>
        <v>678.98959248644951</v>
      </c>
      <c r="H61" s="26">
        <f>'Landbúnaður og landnotkun'!H89</f>
        <v>1595.7745501909105</v>
      </c>
      <c r="I61" s="26">
        <f>'Landbúnaður og landnotkun'!H106</f>
        <v>1595.7745501909105</v>
      </c>
      <c r="J61" s="26">
        <f>'Landbúnaður og landnotkun'!G123</f>
        <v>1603.6047468395982</v>
      </c>
      <c r="N61" s="33"/>
      <c r="O61" s="33"/>
      <c r="P61" s="33"/>
      <c r="Q61" s="33"/>
      <c r="R61" s="33"/>
    </row>
    <row r="62" spans="1:18" ht="15" customHeight="1">
      <c r="A62" s="35" t="s">
        <v>499</v>
      </c>
      <c r="B62" s="59" t="s">
        <v>4</v>
      </c>
      <c r="C62" s="35"/>
      <c r="D62" s="35">
        <f>'Landbúnaður og landnotkun'!G22</f>
        <v>390.35348729421258</v>
      </c>
      <c r="E62" s="35">
        <f>'Landbúnaður og landnotkun'!G39</f>
        <v>383.10406538732002</v>
      </c>
      <c r="F62" s="35">
        <f>'Landbúnaður og landnotkun'!G56</f>
        <v>263.76742784308937</v>
      </c>
      <c r="G62" s="35">
        <f>'Landbúnaður og landnotkun'!G73</f>
        <v>230.86620534257719</v>
      </c>
      <c r="H62" s="26">
        <f>'Landbúnaður og landnotkun'!G90</f>
        <v>258.74859729216377</v>
      </c>
      <c r="I62" s="26">
        <f>'Landbúnaður og landnotkun'!G107</f>
        <v>258.74859729216377</v>
      </c>
      <c r="J62" s="26">
        <f>'Landbúnaður og landnotkun'!G124</f>
        <v>174.54377360441219</v>
      </c>
      <c r="N62" s="33"/>
      <c r="O62" s="33"/>
      <c r="P62" s="33"/>
      <c r="Q62" s="33"/>
      <c r="R62" s="33"/>
    </row>
    <row r="63" spans="1:18" ht="15" customHeight="1">
      <c r="A63" s="35" t="s">
        <v>500</v>
      </c>
      <c r="B63" s="59" t="s">
        <v>4</v>
      </c>
      <c r="C63" s="35"/>
      <c r="D63" s="35">
        <f>'Landbúnaður og landnotkun'!G23</f>
        <v>5.4859286258819999</v>
      </c>
      <c r="E63" s="35">
        <f>'Landbúnaður og landnotkun'!G40</f>
        <v>5.4859286258819999</v>
      </c>
      <c r="F63" s="35">
        <f>'Landbúnaður og landnotkun'!G57</f>
        <v>6.5831143510584003</v>
      </c>
      <c r="G63" s="35">
        <f>'Landbúnaður og landnotkun'!G74</f>
        <v>1.4629143002352001</v>
      </c>
      <c r="H63" s="26">
        <f>'Landbúnaður og landnotkun'!G91</f>
        <v>6.5831143510584003</v>
      </c>
      <c r="I63" s="26">
        <f>'Landbúnaður og landnotkun'!G108</f>
        <v>8.2288929388229999</v>
      </c>
      <c r="J63" s="26">
        <f>'Landbúnaður og landnotkun'!G125</f>
        <v>8.9603500889406007</v>
      </c>
      <c r="N63" s="33"/>
      <c r="O63" s="33"/>
      <c r="P63" s="33"/>
      <c r="Q63" s="33"/>
      <c r="R63" s="33"/>
    </row>
    <row r="64" spans="1:18" ht="15" customHeight="1">
      <c r="A64" s="35" t="s">
        <v>501</v>
      </c>
      <c r="B64" s="59" t="s">
        <v>4</v>
      </c>
      <c r="C64" s="35"/>
      <c r="D64" s="35">
        <f>'Landbúnaður og landnotkun'!G24</f>
        <v>385.91040405038024</v>
      </c>
      <c r="E64" s="35">
        <f>'Landbúnaður og landnotkun'!G41</f>
        <v>416.49332303511585</v>
      </c>
      <c r="F64" s="35">
        <f>'Landbúnaður og landnotkun'!G58</f>
        <v>453.24669484943774</v>
      </c>
      <c r="G64" s="35">
        <f>'Landbúnaður og landnotkun'!G75</f>
        <v>447.19255015850422</v>
      </c>
      <c r="H64" s="26">
        <f>'Landbúnaður og landnotkun'!G92</f>
        <v>404.56255660171917</v>
      </c>
      <c r="I64" s="26">
        <f>'Landbúnaður og landnotkun'!G109</f>
        <v>404.56255660171917</v>
      </c>
      <c r="J64" s="26">
        <f>'Landbúnaður og landnotkun'!G126</f>
        <v>385.73288110190998</v>
      </c>
      <c r="N64" s="33"/>
      <c r="O64" s="33"/>
      <c r="P64" s="33"/>
      <c r="Q64" s="33"/>
      <c r="R64" s="33"/>
    </row>
    <row r="65" spans="1:12" ht="13.5" customHeight="1">
      <c r="A65" s="1"/>
      <c r="B65" s="2"/>
      <c r="C65" s="3"/>
      <c r="D65" s="29">
        <f t="shared" ref="D65:G65" si="20">SUM(D59:D64)</f>
        <v>1829.6519397420798</v>
      </c>
      <c r="E65" s="29">
        <f t="shared" si="20"/>
        <v>2245.4398830453683</v>
      </c>
      <c r="F65" s="29">
        <f t="shared" si="20"/>
        <v>1691.624489923749</v>
      </c>
      <c r="G65" s="29">
        <f t="shared" si="20"/>
        <v>1710.0061987558631</v>
      </c>
      <c r="H65" s="29">
        <f>SUM(H59:H64)</f>
        <v>2652.4245259230693</v>
      </c>
      <c r="I65" s="29">
        <f>SUM(I59:I64)</f>
        <v>2654.0703045108335</v>
      </c>
      <c r="J65" s="29">
        <f>SUM(J59:J64)</f>
        <v>2565.3120470227273</v>
      </c>
    </row>
    <row r="67" spans="1:12" ht="22.5" customHeight="1">
      <c r="A67" s="6" t="s">
        <v>48</v>
      </c>
      <c r="B67" s="4" t="s">
        <v>0</v>
      </c>
      <c r="C67" s="5">
        <v>2015</v>
      </c>
      <c r="D67" s="5">
        <v>2016</v>
      </c>
      <c r="E67" s="5">
        <v>2017</v>
      </c>
      <c r="F67" s="5">
        <v>2018</v>
      </c>
      <c r="G67" s="5">
        <v>2019</v>
      </c>
      <c r="H67" s="5">
        <v>2020</v>
      </c>
      <c r="I67" s="5">
        <v>2021</v>
      </c>
      <c r="J67" s="5">
        <v>2022</v>
      </c>
    </row>
    <row r="68" spans="1:12" ht="22.5" customHeight="1">
      <c r="A68" s="14" t="s">
        <v>588</v>
      </c>
      <c r="B68" s="15" t="s">
        <v>13</v>
      </c>
      <c r="C68" s="743">
        <f>C73+C75</f>
        <v>33572.972740987243</v>
      </c>
      <c r="D68" s="743">
        <f t="shared" ref="D68:G68" si="21">D73+D75</f>
        <v>37898.775564414173</v>
      </c>
      <c r="E68" s="743">
        <f>E73+E75</f>
        <v>24431.00026001357</v>
      </c>
      <c r="F68" s="743">
        <f t="shared" si="21"/>
        <v>36832.553529483019</v>
      </c>
      <c r="G68" s="743">
        <f t="shared" si="21"/>
        <v>36719.666622995021</v>
      </c>
      <c r="H68" s="743">
        <f>H73+H75</f>
        <v>35757.856463982978</v>
      </c>
      <c r="I68" s="743">
        <f>I73+I75</f>
        <v>40656.168357073977</v>
      </c>
      <c r="J68" s="743">
        <f>J73+J75</f>
        <v>34878.484487205489</v>
      </c>
    </row>
    <row r="69" spans="1:12" ht="22.5" customHeight="1">
      <c r="A69" s="13" t="s">
        <v>12</v>
      </c>
      <c r="B69" s="16" t="s">
        <v>13</v>
      </c>
      <c r="C69" s="31">
        <v>179661.59605094156</v>
      </c>
      <c r="D69" s="31">
        <v>203881.36109193339</v>
      </c>
      <c r="E69" s="31">
        <v>188905.0661273349</v>
      </c>
      <c r="F69" s="31">
        <v>190357.388354289</v>
      </c>
      <c r="G69" s="31">
        <v>201720.60511688699</v>
      </c>
      <c r="H69" s="24">
        <v>196827.241573618</v>
      </c>
      <c r="I69" s="24">
        <f>61891+45820+32610+15320+930+820+10</f>
        <v>157401</v>
      </c>
      <c r="J69" s="24"/>
      <c r="K69" s="858"/>
    </row>
    <row r="70" spans="1:12" ht="22.5" customHeight="1">
      <c r="A70" s="13" t="s">
        <v>26</v>
      </c>
      <c r="B70" s="16" t="s">
        <v>1</v>
      </c>
      <c r="C70" s="19">
        <v>0.5</v>
      </c>
      <c r="D70" s="19">
        <v>0.5</v>
      </c>
      <c r="E70" s="19">
        <v>0.65</v>
      </c>
      <c r="F70" s="19">
        <v>0.47</v>
      </c>
      <c r="G70" s="19">
        <v>0.5</v>
      </c>
      <c r="H70" s="832">
        <v>0.5</v>
      </c>
      <c r="I70" s="892">
        <f>(45820)/I69</f>
        <v>0.29110361433536003</v>
      </c>
      <c r="J70" s="24"/>
    </row>
    <row r="71" spans="1:12" ht="22.5" customHeight="1">
      <c r="A71" s="20" t="s">
        <v>27</v>
      </c>
      <c r="B71" s="21" t="s">
        <v>13</v>
      </c>
      <c r="C71" s="18">
        <f t="shared" ref="C71:G71" si="22">C70*C69</f>
        <v>89830.79802547078</v>
      </c>
      <c r="D71" s="18">
        <f t="shared" si="22"/>
        <v>101940.68054596669</v>
      </c>
      <c r="E71" s="18">
        <f t="shared" si="22"/>
        <v>122788.29298276769</v>
      </c>
      <c r="F71" s="18">
        <f t="shared" si="22"/>
        <v>89467.972526515819</v>
      </c>
      <c r="G71" s="18">
        <f t="shared" si="22"/>
        <v>100860.30255844349</v>
      </c>
      <c r="H71" s="18">
        <f>H70*H69</f>
        <v>98413.620786808999</v>
      </c>
      <c r="I71" s="18">
        <f>I70*I69</f>
        <v>45820.000000000007</v>
      </c>
      <c r="J71" s="22"/>
    </row>
    <row r="72" spans="1:12" ht="22.5" customHeight="1">
      <c r="A72" s="1" t="s">
        <v>462</v>
      </c>
      <c r="B72" s="21" t="s">
        <v>13</v>
      </c>
      <c r="C72" s="18">
        <f>C69-C71</f>
        <v>89830.79802547078</v>
      </c>
      <c r="D72" s="18">
        <f>D69-D71</f>
        <v>101940.68054596669</v>
      </c>
      <c r="E72" s="18">
        <f>E69-E71</f>
        <v>66116.773144567211</v>
      </c>
      <c r="F72" s="18">
        <f t="shared" ref="F72" si="23">F69-F71</f>
        <v>100889.41582777318</v>
      </c>
      <c r="G72" s="18">
        <f>G69-G71</f>
        <v>100860.30255844349</v>
      </c>
      <c r="H72" s="18">
        <f>H69-H71</f>
        <v>98413.620786808999</v>
      </c>
      <c r="I72" s="18">
        <f>I69-I71</f>
        <v>111581</v>
      </c>
      <c r="J72" s="22"/>
    </row>
    <row r="73" spans="1:12" ht="22.5" customHeight="1">
      <c r="A73" s="1" t="s">
        <v>463</v>
      </c>
      <c r="B73" s="21" t="s">
        <v>13</v>
      </c>
      <c r="C73" s="18">
        <f t="shared" ref="C73:G73" si="24">C72*C9</f>
        <v>33252.408012941058</v>
      </c>
      <c r="D73" s="18">
        <f t="shared" si="24"/>
        <v>37541.554991170939</v>
      </c>
      <c r="E73" s="18">
        <f t="shared" si="24"/>
        <v>24083.499058591369</v>
      </c>
      <c r="F73" s="18">
        <f t="shared" si="24"/>
        <v>36493.622787626227</v>
      </c>
      <c r="G73" s="18">
        <f t="shared" si="24"/>
        <v>36387.754726056439</v>
      </c>
      <c r="H73" s="18">
        <f>H72*H9</f>
        <v>35441.811463634229</v>
      </c>
      <c r="I73" s="18">
        <f>I72*I9</f>
        <v>40319.495059545756</v>
      </c>
      <c r="J73" s="740">
        <f>AVERAGE(E73:I73)</f>
        <v>34545.236619090807</v>
      </c>
    </row>
    <row r="74" spans="1:12" ht="22.5" customHeight="1">
      <c r="A74" s="1" t="s">
        <v>583</v>
      </c>
      <c r="B74" s="2" t="s">
        <v>585</v>
      </c>
      <c r="C74" s="742">
        <v>0.86599999999999999</v>
      </c>
      <c r="D74" s="742">
        <v>0.97</v>
      </c>
      <c r="E74" s="742">
        <v>0.95399999999999996</v>
      </c>
      <c r="F74" s="742">
        <v>0.93700000000000006</v>
      </c>
      <c r="G74" s="742">
        <v>0.92</v>
      </c>
      <c r="H74" s="742">
        <v>0.87758304475500004</v>
      </c>
      <c r="I74" s="742">
        <f>AVERAGE(D74:H74)</f>
        <v>0.93171660895099995</v>
      </c>
      <c r="J74" s="742">
        <f>AVERAGE(E74:I74)</f>
        <v>0.92405993074119996</v>
      </c>
    </row>
    <row r="75" spans="1:12" ht="22.5" customHeight="1">
      <c r="A75" s="1" t="s">
        <v>584</v>
      </c>
      <c r="B75" s="2" t="s">
        <v>13</v>
      </c>
      <c r="C75" s="466">
        <f t="shared" ref="C75:F75" si="25">C74*C$9*1000</f>
        <v>320.56472804618659</v>
      </c>
      <c r="D75" s="466">
        <f t="shared" si="25"/>
        <v>357.22057324323589</v>
      </c>
      <c r="E75" s="466">
        <f t="shared" si="25"/>
        <v>347.50120142220015</v>
      </c>
      <c r="F75" s="466">
        <f t="shared" si="25"/>
        <v>338.93074185679438</v>
      </c>
      <c r="G75" s="466">
        <f>G74*G$9*1000</f>
        <v>331.91189693857831</v>
      </c>
      <c r="H75" s="466">
        <f>H74*H$9*1000</f>
        <v>316.04500034874991</v>
      </c>
      <c r="I75" s="466">
        <f>I74*I$9*1000</f>
        <v>336.67329752822229</v>
      </c>
      <c r="J75" s="466">
        <f>J74*J$9*1000</f>
        <v>333.24786811467948</v>
      </c>
    </row>
    <row r="76" spans="1:12" ht="22.5" customHeight="1">
      <c r="A76" s="744" t="s">
        <v>589</v>
      </c>
      <c r="B76" s="745" t="s">
        <v>13</v>
      </c>
      <c r="C76" s="746">
        <f>C77+C78</f>
        <v>1891</v>
      </c>
      <c r="D76" s="746">
        <f t="shared" ref="D76:F76" si="26">D77+D78</f>
        <v>1906</v>
      </c>
      <c r="E76" s="746">
        <f t="shared" si="26"/>
        <v>1973</v>
      </c>
      <c r="F76" s="746">
        <f t="shared" si="26"/>
        <v>2112</v>
      </c>
      <c r="G76" s="746">
        <f>G77+G78</f>
        <v>1149</v>
      </c>
      <c r="H76" s="746">
        <f>H77+H78</f>
        <v>1184</v>
      </c>
      <c r="I76" s="746">
        <f>I77+I78</f>
        <v>431</v>
      </c>
      <c r="J76" s="746">
        <f>J77+J78</f>
        <v>631</v>
      </c>
    </row>
    <row r="77" spans="1:12" ht="22.5" customHeight="1">
      <c r="A77" s="1" t="s">
        <v>575</v>
      </c>
      <c r="B77" s="2" t="s">
        <v>13</v>
      </c>
      <c r="C77" s="18">
        <v>1598</v>
      </c>
      <c r="D77" s="18">
        <v>1520</v>
      </c>
      <c r="E77" s="18">
        <v>1630</v>
      </c>
      <c r="F77" s="18">
        <v>1816</v>
      </c>
      <c r="G77" s="18">
        <v>981</v>
      </c>
      <c r="H77" s="466">
        <v>1000</v>
      </c>
      <c r="I77" s="466">
        <v>409</v>
      </c>
      <c r="J77" s="466">
        <v>533</v>
      </c>
      <c r="K77" s="858"/>
    </row>
    <row r="78" spans="1:12" ht="22.5" customHeight="1">
      <c r="A78" s="1" t="s">
        <v>576</v>
      </c>
      <c r="B78" s="2" t="s">
        <v>13</v>
      </c>
      <c r="C78" s="3">
        <f>258+35</f>
        <v>293</v>
      </c>
      <c r="D78" s="466">
        <f>298+88</f>
        <v>386</v>
      </c>
      <c r="E78" s="466">
        <f>283+60</f>
        <v>343</v>
      </c>
      <c r="F78" s="466">
        <f>233+63</f>
        <v>296</v>
      </c>
      <c r="G78" s="466">
        <f>141+27</f>
        <v>168</v>
      </c>
      <c r="H78">
        <f>175+9</f>
        <v>184</v>
      </c>
      <c r="I78">
        <f>14+8</f>
        <v>22</v>
      </c>
      <c r="J78">
        <f>16+82</f>
        <v>98</v>
      </c>
      <c r="K78" s="858"/>
    </row>
    <row r="79" spans="1:12" ht="22.5" customHeight="1">
      <c r="A79" s="744" t="s">
        <v>594</v>
      </c>
      <c r="B79" s="745" t="s">
        <v>13</v>
      </c>
      <c r="C79" s="747">
        <f t="shared" ref="C79:G79" si="27">C83+C85+C87+C89</f>
        <v>3712.5941615566535</v>
      </c>
      <c r="D79" s="747">
        <f t="shared" si="27"/>
        <v>3788.8856231491091</v>
      </c>
      <c r="E79" s="747">
        <f t="shared" si="27"/>
        <v>3830.59949915788</v>
      </c>
      <c r="F79" s="747">
        <f>F83+F85+F87+F89</f>
        <v>4210.3682635871955</v>
      </c>
      <c r="G79" s="747">
        <f t="shared" si="27"/>
        <v>4048.4120123171006</v>
      </c>
      <c r="H79" s="747">
        <f>H83+H85+H87+H89</f>
        <v>3866.584863049733</v>
      </c>
      <c r="I79" s="747">
        <f>I83+I85+I87+I89</f>
        <v>3916.7684205868063</v>
      </c>
      <c r="J79" s="747">
        <f>J83+J85+J87+J89</f>
        <v>3942.5223350918341</v>
      </c>
    </row>
    <row r="80" spans="1:12" ht="22.5" customHeight="1">
      <c r="A80" s="1" t="s">
        <v>579</v>
      </c>
      <c r="B80" s="2" t="s">
        <v>24</v>
      </c>
      <c r="C80" s="466">
        <f>0.93*1000*C$9</f>
        <v>344.25542388331814</v>
      </c>
      <c r="D80" s="466">
        <f>0.96*1000*D$9</f>
        <v>353.53788692114068</v>
      </c>
      <c r="E80" s="466">
        <f>1.38*1000*E$9</f>
        <v>502.67469388117001</v>
      </c>
      <c r="F80" s="466">
        <f>1.58*1000*F$9</f>
        <v>571.51608552159564</v>
      </c>
      <c r="G80" s="466">
        <f>1.14*1000*G$9</f>
        <v>411.28213316302094</v>
      </c>
      <c r="H80" s="466">
        <f>1.1*1000*H$9</f>
        <v>396.14427655753104</v>
      </c>
      <c r="I80" s="466">
        <f>AVERAGE(C80:H80)</f>
        <v>429.90174998796277</v>
      </c>
      <c r="J80" s="466">
        <f>AVERAGE(D80:I80)</f>
        <v>444.17613767207018</v>
      </c>
      <c r="L80" s="25" t="s">
        <v>433</v>
      </c>
    </row>
    <row r="81" spans="1:14" ht="22.5" customHeight="1">
      <c r="A81" s="1" t="s">
        <v>580</v>
      </c>
      <c r="B81" s="2" t="s">
        <v>24</v>
      </c>
      <c r="C81" s="466">
        <f>0.37*1000*C$9</f>
        <v>136.96183530841691</v>
      </c>
      <c r="D81" s="466">
        <f>0.4*1000*D$9</f>
        <v>147.30745288380862</v>
      </c>
      <c r="E81" s="466">
        <f>0.12*1000*E$9</f>
        <v>43.710842946188698</v>
      </c>
      <c r="F81" s="466">
        <f>0.081*1000*F$9</f>
        <v>29.29924235901851</v>
      </c>
      <c r="G81" s="466">
        <f>0.59*1000*G$9</f>
        <v>212.85654260191433</v>
      </c>
      <c r="H81" s="466">
        <f>0.41*1000*H$9</f>
        <v>147.65377580780702</v>
      </c>
      <c r="I81" s="466">
        <f>AVERAGE(C81:H81)</f>
        <v>119.63161531785902</v>
      </c>
      <c r="J81" s="466">
        <f>AVERAGE(D81:I81)</f>
        <v>116.74324531943269</v>
      </c>
    </row>
    <row r="82" spans="1:14" ht="22.5" customHeight="1">
      <c r="A82" s="1" t="s">
        <v>581</v>
      </c>
      <c r="B82" s="2" t="s">
        <v>179</v>
      </c>
      <c r="C82" s="466">
        <f>(C80+C81)*47.3/1000</f>
        <v>22.761576359769062</v>
      </c>
      <c r="D82" s="466">
        <f t="shared" ref="D82:H82" si="28">(D80+D81)*47.3/1000</f>
        <v>23.689984572774097</v>
      </c>
      <c r="E82" s="466">
        <f t="shared" si="28"/>
        <v>25.844035891934066</v>
      </c>
      <c r="F82" s="466">
        <f t="shared" si="28"/>
        <v>28.418565008753049</v>
      </c>
      <c r="G82" s="466">
        <f>(G80+G81)*47.3/1000</f>
        <v>29.521759363681433</v>
      </c>
      <c r="H82" s="466">
        <f t="shared" si="28"/>
        <v>25.721647876880493</v>
      </c>
      <c r="I82" s="466">
        <f>(I80+I81)*47.3/1000</f>
        <v>25.992928178965368</v>
      </c>
      <c r="J82" s="466">
        <f>(J80+J81)*47.3/1000</f>
        <v>26.531486815498084</v>
      </c>
    </row>
    <row r="83" spans="1:14" ht="22.5" customHeight="1">
      <c r="A83" s="1" t="s">
        <v>582</v>
      </c>
      <c r="B83" s="2" t="s">
        <v>13</v>
      </c>
      <c r="C83" s="466">
        <f>C82*(63100+5*28+0.1*265)/1000</f>
        <v>1440.0452707653294</v>
      </c>
      <c r="D83" s="466">
        <f t="shared" ref="D83:H83" si="29">D82*(63100+5*28+0.1*265)/1000</f>
        <v>1498.7824089734124</v>
      </c>
      <c r="E83" s="466">
        <f t="shared" si="29"/>
        <v>1635.0616967570465</v>
      </c>
      <c r="F83" s="466">
        <f t="shared" si="29"/>
        <v>1797.9431431262747</v>
      </c>
      <c r="G83" s="466">
        <f>G82*(63100+5*28+0.1*265)/1000</f>
        <v>1867.7383887823512</v>
      </c>
      <c r="H83" s="466">
        <f t="shared" si="29"/>
        <v>1627.3186354026598</v>
      </c>
      <c r="I83" s="466">
        <f>I82*(63100+5*28+0.1*265)/1000</f>
        <v>1644.4815906345125</v>
      </c>
      <c r="J83" s="466">
        <f>J82*(63100+5*28+0.1*265)/1000</f>
        <v>1678.5543106127095</v>
      </c>
    </row>
    <row r="84" spans="1:14" ht="22.5" customHeight="1">
      <c r="A84" s="1" t="s">
        <v>590</v>
      </c>
      <c r="B84" s="2" t="s">
        <v>585</v>
      </c>
      <c r="C84" s="742">
        <v>2.5370110655999998</v>
      </c>
      <c r="D84" s="742">
        <v>2.3699897671999999</v>
      </c>
      <c r="E84" s="742">
        <v>2.0833185824</v>
      </c>
      <c r="F84" s="742">
        <v>2.4789867607999998</v>
      </c>
      <c r="G84" s="742">
        <v>2.0695284279999999</v>
      </c>
      <c r="H84" s="742">
        <v>2.0982053928000002</v>
      </c>
      <c r="I84" s="742">
        <f>AVERAGE(C84:H84)</f>
        <v>2.2728399994666666</v>
      </c>
      <c r="J84" s="742">
        <f>AVERAGE(D84:I84)</f>
        <v>2.2288114884444448</v>
      </c>
    </row>
    <row r="85" spans="1:14" ht="22.5" customHeight="1">
      <c r="A85" s="1" t="s">
        <v>592</v>
      </c>
      <c r="B85" s="2" t="s">
        <v>13</v>
      </c>
      <c r="C85" s="466">
        <f>C84*C$9*1000</f>
        <v>939.11808579010381</v>
      </c>
      <c r="D85" s="466">
        <f t="shared" ref="D85" si="30">D84*D$9*1000</f>
        <v>872.7928899173063</v>
      </c>
      <c r="E85" s="466">
        <f t="shared" ref="E85" si="31">E84*E$9*1000</f>
        <v>758.86342801802402</v>
      </c>
      <c r="F85" s="466">
        <f t="shared" ref="F85" si="32">F84*F$9*1000</f>
        <v>896.69671493182034</v>
      </c>
      <c r="G85" s="466">
        <f t="shared" ref="G85" si="33">G84*G$9*1000</f>
        <v>746.63163728890652</v>
      </c>
      <c r="H85" s="466">
        <f t="shared" ref="H85" si="34">H84*H$9*1000</f>
        <v>755.62914309078758</v>
      </c>
      <c r="I85" s="466">
        <f>I84*I$9*1000</f>
        <v>821.28463743499572</v>
      </c>
      <c r="J85" s="466">
        <f>J84*J$9*1000</f>
        <v>803.7862613065048</v>
      </c>
    </row>
    <row r="86" spans="1:14" ht="22.5" customHeight="1">
      <c r="A86" s="1" t="s">
        <v>586</v>
      </c>
      <c r="B86" s="2" t="s">
        <v>585</v>
      </c>
      <c r="C86" s="742">
        <v>0.34289573559999997</v>
      </c>
      <c r="D86" s="742">
        <v>0.34325811555199998</v>
      </c>
      <c r="E86" s="742">
        <v>0.34718623121600001</v>
      </c>
      <c r="F86" s="742">
        <v>0.327266005616</v>
      </c>
      <c r="G86" s="742">
        <v>0.285931967904</v>
      </c>
      <c r="H86" s="742">
        <v>0.33971316913600003</v>
      </c>
      <c r="I86" s="742">
        <f>AVERAGE(D86:H86)</f>
        <v>0.32867109788479998</v>
      </c>
      <c r="J86" s="742">
        <f>AVERAGE(E86:I86)</f>
        <v>0.32575369435136003</v>
      </c>
    </row>
    <row r="87" spans="1:14" ht="22.5" customHeight="1">
      <c r="A87" s="1" t="s">
        <v>587</v>
      </c>
      <c r="B87" s="2" t="s">
        <v>13</v>
      </c>
      <c r="C87" s="466">
        <f>C86*C$9*1000</f>
        <v>126.9287277492045</v>
      </c>
      <c r="D87" s="466">
        <f t="shared" ref="D87" si="35">D86*D$9*1000</f>
        <v>126.41119670915293</v>
      </c>
      <c r="E87" s="466">
        <f t="shared" ref="E87" si="36">E86*E$9*1000</f>
        <v>126.46502354801444</v>
      </c>
      <c r="F87" s="466">
        <f t="shared" ref="F87" si="37">F86*F$9*1000</f>
        <v>118.37834585692713</v>
      </c>
      <c r="G87" s="466">
        <f t="shared" ref="G87" si="38">G86*G$9*1000</f>
        <v>103.15676289391014</v>
      </c>
      <c r="H87" s="466">
        <f t="shared" ref="H87:I87" si="39">H86*H$9*1000</f>
        <v>122.34129784040628</v>
      </c>
      <c r="I87" s="466">
        <f t="shared" si="39"/>
        <v>118.76441963579529</v>
      </c>
      <c r="J87" s="466">
        <f t="shared" ref="J87" si="40">J86*J$9*1000</f>
        <v>117.4780125851761</v>
      </c>
    </row>
    <row r="88" spans="1:14" ht="22.5" customHeight="1">
      <c r="A88" s="1" t="s">
        <v>591</v>
      </c>
      <c r="B88" s="2" t="s">
        <v>585</v>
      </c>
      <c r="C88" s="742">
        <v>3.2593442368672201</v>
      </c>
      <c r="D88" s="742">
        <v>3.5053192551430699</v>
      </c>
      <c r="E88" s="742">
        <v>3.5969364007400002</v>
      </c>
      <c r="F88" s="742">
        <v>3.8630812853973602</v>
      </c>
      <c r="G88" s="742">
        <v>3.6889741427688598</v>
      </c>
      <c r="H88" s="742">
        <v>3.78</v>
      </c>
      <c r="I88" s="742">
        <f>AVERAGE(D88:H88)</f>
        <v>3.6868622168098582</v>
      </c>
      <c r="J88" s="742">
        <f>AVERAGE(E88:I88)</f>
        <v>3.7231708091432152</v>
      </c>
    </row>
    <row r="89" spans="1:14" ht="22.5" customHeight="1">
      <c r="A89" s="1" t="s">
        <v>593</v>
      </c>
      <c r="B89" s="2" t="s">
        <v>13</v>
      </c>
      <c r="C89" s="466">
        <f>C88*C$9*1000</f>
        <v>1206.5020772520161</v>
      </c>
      <c r="D89" s="466">
        <f t="shared" ref="D89" si="41">D88*D$9*1000</f>
        <v>1290.8991275492372</v>
      </c>
      <c r="E89" s="466">
        <f t="shared" ref="E89" si="42">E88*E$9*1000</f>
        <v>1310.209350834795</v>
      </c>
      <c r="F89" s="466">
        <f t="shared" ref="F89" si="43">F88*F$9*1000</f>
        <v>1397.3500596721731</v>
      </c>
      <c r="G89" s="466">
        <f>G88*G$9*1000</f>
        <v>1330.8852233519326</v>
      </c>
      <c r="H89" s="466">
        <f t="shared" ref="H89" si="44">H88*H$9*1000</f>
        <v>1361.2957867158793</v>
      </c>
      <c r="I89" s="466">
        <f>I88*I$9*1000</f>
        <v>1332.2377728815031</v>
      </c>
      <c r="J89" s="466">
        <f>J88*J$9*1000</f>
        <v>1342.7037505874437</v>
      </c>
    </row>
    <row r="90" spans="1:14" ht="22.5" customHeight="1">
      <c r="A90" s="30" t="s">
        <v>597</v>
      </c>
      <c r="B90" s="30" t="s">
        <v>4</v>
      </c>
      <c r="C90" s="741">
        <f>C68+C76+C79</f>
        <v>39176.566902543898</v>
      </c>
      <c r="D90" s="741">
        <f t="shared" ref="D90:G90" si="45">D68+D76+D79</f>
        <v>43593.661187563281</v>
      </c>
      <c r="E90" s="741">
        <f>E68+E76+E79</f>
        <v>30234.599759171451</v>
      </c>
      <c r="F90" s="741">
        <f t="shared" si="45"/>
        <v>43154.921793070214</v>
      </c>
      <c r="G90" s="741">
        <f t="shared" si="45"/>
        <v>41917.078635312122</v>
      </c>
      <c r="H90" s="741">
        <f>H68+H76+H79</f>
        <v>40808.441327032713</v>
      </c>
      <c r="I90" s="741">
        <f>I68+I76+I79</f>
        <v>45003.936777660783</v>
      </c>
      <c r="J90" s="741">
        <f>J68+J76+J79</f>
        <v>39452.00682229732</v>
      </c>
    </row>
    <row r="91" spans="1:14" ht="22.5" customHeight="1">
      <c r="A91" s="1"/>
      <c r="B91" s="2"/>
      <c r="C91" s="3"/>
      <c r="D91" s="3"/>
      <c r="E91" s="3"/>
      <c r="F91" s="3"/>
      <c r="G91" s="3"/>
      <c r="H91" s="3"/>
      <c r="I91" s="3"/>
      <c r="J91" s="3"/>
    </row>
    <row r="92" spans="1:14" ht="22.5" customHeight="1">
      <c r="A92" s="6" t="s">
        <v>29</v>
      </c>
      <c r="B92" s="4" t="s">
        <v>0</v>
      </c>
      <c r="C92" s="5">
        <v>2015</v>
      </c>
      <c r="D92" s="5">
        <v>2016</v>
      </c>
      <c r="E92" s="5">
        <v>2017</v>
      </c>
      <c r="F92" s="5">
        <v>2018</v>
      </c>
      <c r="G92" s="5">
        <v>2019</v>
      </c>
      <c r="H92" s="5">
        <v>2020</v>
      </c>
      <c r="I92" s="5">
        <v>2021</v>
      </c>
      <c r="J92" s="5">
        <v>2022</v>
      </c>
      <c r="L92" s="5">
        <v>1</v>
      </c>
    </row>
    <row r="93" spans="1:14" ht="22.5" customHeight="1">
      <c r="A93" s="14" t="s">
        <v>113</v>
      </c>
      <c r="B93" s="15" t="s">
        <v>13</v>
      </c>
      <c r="C93" s="743">
        <f>C96*$L$95</f>
        <v>3492.0400000000009</v>
      </c>
      <c r="D93" s="743">
        <f t="shared" ref="D93:F93" si="46">D96*$L$95</f>
        <v>4576.1000000000004</v>
      </c>
      <c r="E93" s="743">
        <f t="shared" si="46"/>
        <v>5335.88</v>
      </c>
      <c r="F93" s="743">
        <f t="shared" si="46"/>
        <v>6411.9000000000005</v>
      </c>
      <c r="G93" s="743">
        <f>G96*$L$95</f>
        <v>6745.56</v>
      </c>
      <c r="H93" s="743">
        <f>H96*$L$95</f>
        <v>7077.880000000001</v>
      </c>
      <c r="I93" s="743">
        <f>I96*$L$95</f>
        <v>7269.5</v>
      </c>
      <c r="J93" s="743">
        <f>J96*$L$95</f>
        <v>7396.8</v>
      </c>
      <c r="K93" s="858"/>
      <c r="N93" s="774" t="s">
        <v>680</v>
      </c>
    </row>
    <row r="94" spans="1:14" ht="22.5" customHeight="1">
      <c r="A94" s="13" t="s">
        <v>599</v>
      </c>
      <c r="B94" s="16"/>
      <c r="C94" s="31">
        <v>926</v>
      </c>
      <c r="D94" s="31">
        <v>922</v>
      </c>
      <c r="E94" s="31">
        <v>923</v>
      </c>
      <c r="F94" s="31">
        <v>1417</v>
      </c>
      <c r="G94" s="31">
        <v>846</v>
      </c>
      <c r="H94" s="24">
        <v>1174</v>
      </c>
      <c r="I94" s="24">
        <v>1065</v>
      </c>
      <c r="J94" s="24">
        <f>913+105</f>
        <v>1018</v>
      </c>
      <c r="N94" s="774" t="s">
        <v>682</v>
      </c>
    </row>
    <row r="95" spans="1:14" ht="22.5" customHeight="1">
      <c r="A95" s="13" t="s">
        <v>600</v>
      </c>
      <c r="B95" s="16"/>
      <c r="C95" s="31">
        <f>AVERAGE(O99:R99,C94)</f>
        <v>521.20000000000005</v>
      </c>
      <c r="D95" s="31">
        <f>AVERAGE(P99:R99,C94:D94)</f>
        <v>683</v>
      </c>
      <c r="E95" s="31">
        <f>AVERAGE(Q99:R99,C94:E94)</f>
        <v>796.4</v>
      </c>
      <c r="F95" s="31">
        <f>AVERAGE(R99,C94:F94)</f>
        <v>957</v>
      </c>
      <c r="G95" s="31">
        <f>AVERAGE(C94:G94)</f>
        <v>1006.8</v>
      </c>
      <c r="H95" s="24">
        <f>AVERAGE(D94:H94)</f>
        <v>1056.4000000000001</v>
      </c>
      <c r="I95" s="24">
        <f>AVERAGE(E94:I94)</f>
        <v>1085</v>
      </c>
      <c r="J95" s="24">
        <f>AVERAGE(F94:J94)</f>
        <v>1104</v>
      </c>
      <c r="L95">
        <v>6.7000000000000004E-2</v>
      </c>
      <c r="N95" s="774" t="s">
        <v>683</v>
      </c>
    </row>
    <row r="96" spans="1:14" ht="22.5" customHeight="1">
      <c r="A96" s="20" t="s">
        <v>600</v>
      </c>
      <c r="B96" s="21" t="s">
        <v>601</v>
      </c>
      <c r="C96" s="18">
        <f>C95*$L$96</f>
        <v>52120.000000000007</v>
      </c>
      <c r="D96" s="18">
        <f t="shared" ref="D96:E96" si="47">D95*$L$96</f>
        <v>68300</v>
      </c>
      <c r="E96" s="18">
        <f t="shared" si="47"/>
        <v>79640</v>
      </c>
      <c r="F96" s="18">
        <f>F95*$L$96</f>
        <v>95700</v>
      </c>
      <c r="G96" s="18">
        <f>G95*$L$96</f>
        <v>100680</v>
      </c>
      <c r="H96" s="18">
        <f>H95*$L$96</f>
        <v>105640.00000000001</v>
      </c>
      <c r="I96" s="18">
        <f>I95*$L$96</f>
        <v>108500</v>
      </c>
      <c r="J96" s="18">
        <f>J95*$L$96</f>
        <v>110400</v>
      </c>
      <c r="L96">
        <v>100</v>
      </c>
    </row>
    <row r="97" spans="1:26" ht="22.5" customHeight="1">
      <c r="A97" s="1" t="s">
        <v>679</v>
      </c>
      <c r="B97" s="21" t="s">
        <v>601</v>
      </c>
      <c r="C97" s="18"/>
      <c r="D97" s="18"/>
      <c r="E97" s="18"/>
      <c r="F97" s="18"/>
      <c r="G97" s="18"/>
      <c r="H97" s="29"/>
      <c r="I97" s="29">
        <f>2782*L96</f>
        <v>278200</v>
      </c>
      <c r="J97" s="29"/>
      <c r="N97">
        <v>2010</v>
      </c>
      <c r="O97">
        <v>2011</v>
      </c>
      <c r="P97">
        <v>2012</v>
      </c>
      <c r="Q97">
        <v>2013</v>
      </c>
      <c r="R97">
        <v>2014</v>
      </c>
    </row>
    <row r="98" spans="1:26" ht="22.5" customHeight="1">
      <c r="A98" s="1" t="s">
        <v>681</v>
      </c>
      <c r="B98" s="21"/>
      <c r="C98" s="18">
        <f>(867+1027)/2</f>
        <v>947</v>
      </c>
      <c r="D98" s="18">
        <f>(1103+1266)/2</f>
        <v>1184.5</v>
      </c>
      <c r="E98" s="18">
        <f>(1509+1228)/2</f>
        <v>1368.5</v>
      </c>
      <c r="F98" s="18">
        <f>(2355+1726)/2</f>
        <v>2040.5</v>
      </c>
      <c r="G98" s="18">
        <f>(2642+2735)/2</f>
        <v>2688.5</v>
      </c>
      <c r="H98" s="29">
        <f>(2499+2556)/2</f>
        <v>2527.5</v>
      </c>
      <c r="I98" s="29">
        <f>(2025+1898)/2</f>
        <v>1961.5</v>
      </c>
      <c r="J98" s="895">
        <f>I98/I94*J94</f>
        <v>1874.9361502347417</v>
      </c>
      <c r="L98">
        <v>0.30674899999999999</v>
      </c>
      <c r="N98">
        <f>564</f>
        <v>564</v>
      </c>
      <c r="O98">
        <f>(500+481)/2</f>
        <v>490.5</v>
      </c>
      <c r="P98">
        <f>(376)</f>
        <v>376</v>
      </c>
      <c r="Q98">
        <f>(421+509)/2</f>
        <v>465</v>
      </c>
      <c r="R98">
        <f>(897+577)</f>
        <v>1474</v>
      </c>
    </row>
    <row r="99" spans="1:26" ht="22.5" customHeight="1">
      <c r="A99" s="1" t="s">
        <v>600</v>
      </c>
      <c r="B99" s="21" t="s">
        <v>601</v>
      </c>
      <c r="C99" s="18">
        <f>AVERAGE(O98:R98,C98)*$L$96</f>
        <v>75050</v>
      </c>
      <c r="D99" s="18">
        <f>AVERAGE(P98:R98,C98:D98)*$L$96</f>
        <v>88930</v>
      </c>
      <c r="E99" s="18">
        <f>AVERAGE(Q98:R98,C98:E98)*$L$96</f>
        <v>108780</v>
      </c>
      <c r="F99" s="18">
        <f>AVERAGE(R98,C98:F98)*$L$96</f>
        <v>140290</v>
      </c>
      <c r="G99" s="18">
        <f>AVERAGE(C98:G98)*$L$96</f>
        <v>164580</v>
      </c>
      <c r="H99" s="18">
        <f>AVERAGE(D98:H98)*$L$96</f>
        <v>196190</v>
      </c>
      <c r="I99" s="18">
        <f>AVERAGE(E98:I98)*$L$96</f>
        <v>211730.00000000003</v>
      </c>
      <c r="J99" s="18">
        <f>AVERAGE(F98:J98)*$L$96</f>
        <v>221858.72300469482</v>
      </c>
      <c r="L99">
        <v>4.6688E-2</v>
      </c>
      <c r="N99">
        <v>10</v>
      </c>
      <c r="O99">
        <v>113</v>
      </c>
      <c r="P99">
        <v>356</v>
      </c>
      <c r="Q99">
        <v>614</v>
      </c>
      <c r="R99">
        <v>597</v>
      </c>
    </row>
    <row r="100" spans="1:26" ht="22.5" customHeight="1">
      <c r="A100" s="1" t="s">
        <v>684</v>
      </c>
      <c r="B100" s="21" t="s">
        <v>13</v>
      </c>
      <c r="C100" s="18">
        <f>IF($L$92=1,C99,C96)*$L$98</f>
        <v>23021.512449999998</v>
      </c>
      <c r="D100" s="18">
        <f t="shared" ref="D100:H100" si="48">IF($L$92=1,D99,D96)*$L$98</f>
        <v>27279.188569999998</v>
      </c>
      <c r="E100" s="18">
        <f t="shared" si="48"/>
        <v>33368.156219999997</v>
      </c>
      <c r="F100" s="18">
        <f t="shared" si="48"/>
        <v>43033.817210000001</v>
      </c>
      <c r="G100" s="18">
        <f t="shared" si="48"/>
        <v>50484.750419999997</v>
      </c>
      <c r="H100" s="18">
        <f t="shared" si="48"/>
        <v>60181.086309999999</v>
      </c>
      <c r="I100" s="18">
        <f>IF($L$92=1,I99,I96)*$L$98</f>
        <v>64947.96577000001</v>
      </c>
      <c r="J100" s="18">
        <f>IF($L$92=1,J99,J96)*$L$98</f>
        <v>68054.941422967138</v>
      </c>
    </row>
    <row r="101" spans="1:26" ht="22.5" customHeight="1">
      <c r="A101" s="1" t="s">
        <v>685</v>
      </c>
      <c r="B101" s="21" t="s">
        <v>13</v>
      </c>
      <c r="C101" s="18">
        <f>IF($L$92=1,C99,C96)*$L$99</f>
        <v>3503.9344000000001</v>
      </c>
      <c r="D101" s="18">
        <f t="shared" ref="D101:H101" si="49">IF($L$92=1,D99,D96)*$L$99</f>
        <v>4151.9638400000003</v>
      </c>
      <c r="E101" s="18">
        <f t="shared" si="49"/>
        <v>5078.7206400000005</v>
      </c>
      <c r="F101" s="18">
        <f t="shared" si="49"/>
        <v>6549.85952</v>
      </c>
      <c r="G101" s="18">
        <f t="shared" si="49"/>
        <v>7683.91104</v>
      </c>
      <c r="H101" s="18">
        <f t="shared" si="49"/>
        <v>9159.7187200000008</v>
      </c>
      <c r="I101" s="18">
        <f>IF($L$92=1,I99,I96)*$L$99</f>
        <v>9885.2502400000012</v>
      </c>
      <c r="J101" s="18">
        <f>IF($L$92=1,J99,J96)*$L$99</f>
        <v>10358.140059643192</v>
      </c>
    </row>
    <row r="102" spans="1:26" ht="22.5" customHeight="1">
      <c r="A102" s="1" t="s">
        <v>605</v>
      </c>
      <c r="B102" s="21" t="s">
        <v>608</v>
      </c>
      <c r="C102" s="750"/>
      <c r="D102" s="750">
        <v>26.23</v>
      </c>
      <c r="E102" s="750">
        <v>16.920000000000002</v>
      </c>
      <c r="F102" s="750">
        <v>26.05</v>
      </c>
      <c r="G102" s="750">
        <v>15.24</v>
      </c>
      <c r="H102" s="742">
        <v>15.6074487726667</v>
      </c>
      <c r="I102" s="742">
        <f>AVERAGE(E102:H102)</f>
        <v>18.454362193166673</v>
      </c>
      <c r="J102" s="890">
        <f>AVERAGE(F102:I102)</f>
        <v>18.837952741458345</v>
      </c>
      <c r="L102">
        <f>I102*1000*$J$9</f>
        <v>6655.2792234547414</v>
      </c>
    </row>
    <row r="103" spans="1:26" ht="22.5" customHeight="1">
      <c r="A103" s="1" t="s">
        <v>9</v>
      </c>
      <c r="B103" s="2" t="s">
        <v>608</v>
      </c>
      <c r="C103" s="751"/>
      <c r="D103" s="751">
        <v>0.03</v>
      </c>
      <c r="E103" s="751">
        <v>1.7000000000000001E-2</v>
      </c>
      <c r="F103" s="751">
        <v>2.5999999999999999E-2</v>
      </c>
      <c r="G103" s="751">
        <v>1.5339999999999999E-2</v>
      </c>
      <c r="H103" s="772">
        <f>0.00103197387*28</f>
        <v>2.889526836E-2</v>
      </c>
      <c r="I103" s="772">
        <f t="shared" ref="I103:J104" si="50">AVERAGE(E103:H103)</f>
        <v>2.1808817089999998E-2</v>
      </c>
      <c r="J103" s="891">
        <f t="shared" si="50"/>
        <v>2.3011021362500002E-2</v>
      </c>
      <c r="L103">
        <f>I103*1000*$J$9</f>
        <v>7.8650113045329668</v>
      </c>
    </row>
    <row r="104" spans="1:26" ht="22.5" customHeight="1">
      <c r="A104" s="1" t="s">
        <v>607</v>
      </c>
      <c r="B104" s="2" t="s">
        <v>608</v>
      </c>
      <c r="C104" s="751"/>
      <c r="D104" s="751">
        <v>0.06</v>
      </c>
      <c r="E104" s="751">
        <v>0.04</v>
      </c>
      <c r="F104" s="751">
        <v>6.2E-2</v>
      </c>
      <c r="G104" s="751">
        <v>0.04</v>
      </c>
      <c r="H104" s="772">
        <f>0.000176325174*265</f>
        <v>4.6726171109999999E-2</v>
      </c>
      <c r="I104" s="772">
        <f t="shared" si="50"/>
        <v>4.7181542777500002E-2</v>
      </c>
      <c r="J104" s="891">
        <f t="shared" si="50"/>
        <v>4.8976928471875E-2</v>
      </c>
      <c r="L104">
        <f>I104*1000*$J$9</f>
        <v>17.015290915548839</v>
      </c>
    </row>
    <row r="105" spans="1:26" ht="22.5" customHeight="1">
      <c r="A105" s="1" t="s">
        <v>606</v>
      </c>
      <c r="B105" s="2" t="s">
        <v>13</v>
      </c>
      <c r="C105" s="29">
        <f>(C102+C103+C104)*C9*1000</f>
        <v>0</v>
      </c>
      <c r="D105" s="29">
        <f t="shared" ref="D105:F105" si="51">(D102+D103+D104)*D9*1000</f>
        <v>9692.8303997546063</v>
      </c>
      <c r="E105" s="29">
        <f t="shared" si="51"/>
        <v>6183.9915058120459</v>
      </c>
      <c r="F105" s="29">
        <f t="shared" si="51"/>
        <v>9454.6123059262445</v>
      </c>
      <c r="G105" s="29">
        <f>(G102+G103+G104)*G9*1000</f>
        <v>5518.1579496962113</v>
      </c>
      <c r="H105" s="29">
        <f>(H102+H103+H104)*H9*1000</f>
        <v>5647.9622758071437</v>
      </c>
      <c r="I105" s="29">
        <f>(I102+I103+I104)*I9*1000</f>
        <v>6693.3637603918742</v>
      </c>
      <c r="J105" s="29">
        <f>(J102+J103+J104)*J9*1000</f>
        <v>6819.5765360085006</v>
      </c>
      <c r="O105" s="858"/>
    </row>
    <row r="106" spans="1:26">
      <c r="A106" s="1"/>
      <c r="B106" s="2"/>
      <c r="C106" s="3"/>
      <c r="D106" s="3"/>
      <c r="E106" s="3"/>
      <c r="F106" s="3"/>
      <c r="G106" s="3"/>
      <c r="H106" s="3"/>
      <c r="I106" s="3"/>
      <c r="J106" s="3"/>
      <c r="L106" s="858"/>
    </row>
    <row r="107" spans="1:26">
      <c r="A107" s="6" t="s">
        <v>598</v>
      </c>
      <c r="B107" s="4" t="s">
        <v>0</v>
      </c>
      <c r="C107" s="5">
        <v>2015</v>
      </c>
      <c r="D107" s="5">
        <v>2016</v>
      </c>
      <c r="E107" s="5">
        <v>2017</v>
      </c>
      <c r="F107" s="5">
        <v>2018</v>
      </c>
      <c r="G107" s="5">
        <v>2019</v>
      </c>
      <c r="H107" s="5">
        <v>2020</v>
      </c>
      <c r="I107" s="5">
        <v>2021</v>
      </c>
      <c r="J107" s="5">
        <v>2022</v>
      </c>
      <c r="L107">
        <f>Mælaborð!D4</f>
        <v>2022</v>
      </c>
      <c r="O107" t="str">
        <f>Mælaborð!B62</f>
        <v xml:space="preserve">Samantekt - </v>
      </c>
      <c r="P107" t="str">
        <f>Mælaborð!C62</f>
        <v>BASIC</v>
      </c>
      <c r="Z107" s="6" t="s">
        <v>598</v>
      </c>
    </row>
    <row r="108" spans="1:26">
      <c r="A108" s="13" t="s">
        <v>67</v>
      </c>
      <c r="B108" s="16" t="s">
        <v>13</v>
      </c>
      <c r="C108" s="31"/>
      <c r="D108" s="32">
        <f t="shared" ref="D108:H108" si="52">D22</f>
        <v>8750.48</v>
      </c>
      <c r="E108" s="32">
        <f t="shared" si="52"/>
        <v>8791.74</v>
      </c>
      <c r="F108" s="32">
        <f t="shared" si="52"/>
        <v>6597.9324422395039</v>
      </c>
      <c r="G108" s="32">
        <f t="shared" si="52"/>
        <v>6596.781353191589</v>
      </c>
      <c r="H108" s="738">
        <f t="shared" si="52"/>
        <v>6683.6113365935926</v>
      </c>
      <c r="I108" s="738">
        <f>I22</f>
        <v>6249.8700785104293</v>
      </c>
      <c r="J108" s="738">
        <f>J22</f>
        <v>6618.9558319999996</v>
      </c>
      <c r="L108" s="32">
        <f>INDEX($A$107:$J$136,MATCH(A108,$A$107:$A$136,0),MATCH(Mælaborð!$D$4,Reykjavík!$A$107:$J$107,0))</f>
        <v>6618.9558319999996</v>
      </c>
      <c r="O108">
        <v>2016</v>
      </c>
      <c r="P108">
        <v>2017</v>
      </c>
      <c r="Q108">
        <v>2018</v>
      </c>
      <c r="R108">
        <v>2019</v>
      </c>
      <c r="S108">
        <v>2020</v>
      </c>
      <c r="T108">
        <v>2021</v>
      </c>
      <c r="U108">
        <v>2022</v>
      </c>
      <c r="Z108" s="13" t="s">
        <v>705</v>
      </c>
    </row>
    <row r="109" spans="1:26">
      <c r="A109" s="13" t="s">
        <v>104</v>
      </c>
      <c r="B109" s="16" t="s">
        <v>13</v>
      </c>
      <c r="C109" s="31"/>
      <c r="D109" s="32">
        <f t="shared" ref="D109:I109" si="53">D26</f>
        <v>15306.78</v>
      </c>
      <c r="E109" s="32">
        <f t="shared" si="53"/>
        <v>14745.92</v>
      </c>
      <c r="F109" s="32">
        <f t="shared" si="53"/>
        <v>15286.943999999998</v>
      </c>
      <c r="G109" s="32">
        <f t="shared" si="53"/>
        <v>14874.796</v>
      </c>
      <c r="H109" s="738">
        <f t="shared" si="53"/>
        <v>18668.286</v>
      </c>
      <c r="I109" s="738">
        <f t="shared" si="53"/>
        <v>17744.403999999999</v>
      </c>
      <c r="J109" s="738">
        <f>J26</f>
        <v>18981.196</v>
      </c>
      <c r="L109" s="32">
        <f>INDEX($A$107:$J$136,MATCH(A109,$A$107:$A$136,0),MATCH(Mælaborð!$D$4,Reykjavík!$A$107:$J$107,0))</f>
        <v>18981.196</v>
      </c>
      <c r="O109" s="32">
        <f>INDEX($A$107:$J$136,MATCH($P$107,$A$107:$A$136,0),MATCH(Reykjavík!O$108,Reykjavík!$A$107:$J$107,0))</f>
        <v>445809.26642263401</v>
      </c>
      <c r="P109" s="32">
        <f>INDEX($A$107:$J$136,MATCH($P$107,$A$107:$A$136,0),MATCH(Reykjavík!P$108,Reykjavík!$A$107:$J$107,0))</f>
        <v>474946.1806873536</v>
      </c>
      <c r="Q109" s="32">
        <f>INDEX($A$107:$J$136,MATCH($P$107,$A$107:$A$136,0),MATCH(Reykjavík!Q$108,Reykjavík!$A$107:$J$107,0))</f>
        <v>492141.41483634035</v>
      </c>
      <c r="R109" s="32">
        <f>INDEX($A$107:$J$136,MATCH($P$107,$A$107:$A$136,0),MATCH(Reykjavík!R$108,Reykjavík!$A$107:$J$107,0))</f>
        <v>501633.68579835992</v>
      </c>
      <c r="S109" s="32">
        <f>INDEX($A$107:$J$136,MATCH($P$107,$A$107:$A$136,0),MATCH(Reykjavík!S$108,Reykjavík!$A$107:$J$107,0))</f>
        <v>443979.50573866139</v>
      </c>
      <c r="T109" s="32">
        <f>INDEX($A$107:$J$136,MATCH($P$107,$A$107:$A$136,0),MATCH(Reykjavík!T$108,Reykjavík!$A$107:$J$107,0))</f>
        <v>469799.41124534194</v>
      </c>
      <c r="U109" s="32">
        <f>INDEX($A$107:$J$136,MATCH($P$107,$A$107:$A$136,0),MATCH(Reykjavík!U$108,Reykjavík!$A$107:$J$107,0))</f>
        <v>480092.4442298708</v>
      </c>
      <c r="Z109" s="13" t="s">
        <v>707</v>
      </c>
    </row>
    <row r="110" spans="1:26">
      <c r="A110" s="13" t="s">
        <v>6</v>
      </c>
      <c r="B110" s="16" t="s">
        <v>13</v>
      </c>
      <c r="C110" s="31"/>
      <c r="D110" s="32">
        <f t="shared" ref="D110:I110" si="54">D108+D109</f>
        <v>24057.260000000002</v>
      </c>
      <c r="E110" s="32">
        <f t="shared" si="54"/>
        <v>23537.66</v>
      </c>
      <c r="F110" s="32">
        <f t="shared" si="54"/>
        <v>21884.876442239503</v>
      </c>
      <c r="G110" s="32">
        <f t="shared" si="54"/>
        <v>21471.577353191591</v>
      </c>
      <c r="H110" s="738">
        <f t="shared" si="54"/>
        <v>25351.897336593593</v>
      </c>
      <c r="I110" s="738">
        <f t="shared" si="54"/>
        <v>23994.274078510429</v>
      </c>
      <c r="J110" s="738">
        <f>J108+J109</f>
        <v>25600.151832</v>
      </c>
      <c r="K110" s="32">
        <f>I110-I23</f>
        <v>23719.889036490189</v>
      </c>
      <c r="L110" s="32">
        <f>INDEX($A$107:$J$136,MATCH(A110,$A$107:$A$136,0),MATCH(Mælaborð!$D$4,Reykjavík!$A$107:$J$107,0))</f>
        <v>25600.151832</v>
      </c>
      <c r="O110" s="401">
        <f>INDEX($A$138:$J$167,MATCH($P$107,$A$138:$A$167,0),MATCH(Reykjavík!O$108,Reykjavík!$A$107:$J$107,0))</f>
        <v>3.6404480354616529</v>
      </c>
      <c r="P110" s="401">
        <f>INDEX($A$138:$J$167,MATCH($P$107,$A$138:$A$167,0),MATCH(Reykjavík!P$108,Reykjavík!$A$107:$J$107,0))</f>
        <v>3.8536437749489121</v>
      </c>
      <c r="Q110" s="401">
        <f>INDEX($A$138:$J$167,MATCH($P$107,$A$138:$A$167,0),MATCH(Reykjavík!Q$108,Reykjavík!$A$107:$J$107,0))</f>
        <v>3.9046136958318352</v>
      </c>
      <c r="R110" s="401">
        <f>INDEX($A$138:$J$167,MATCH($P$107,$A$138:$A$167,0),MATCH(Reykjavík!R$108,Reykjavík!$A$107:$J$107,0))</f>
        <v>3.8948831520219258</v>
      </c>
      <c r="S110" s="401">
        <f>INDEX($A$138:$J$167,MATCH($P$107,$A$138:$A$167,0),MATCH(Reykjavík!S$108,Reykjavík!$A$107:$J$107,0))</f>
        <v>3.3856416677240526</v>
      </c>
      <c r="T110" s="401">
        <f>INDEX($A$138:$J$167,MATCH($P$107,$A$138:$A$167,0),MATCH(Reykjavík!T$108,Reykjavík!$A$107:$J$107,0))</f>
        <v>3.525381663530053</v>
      </c>
      <c r="U110" s="401">
        <f>INDEX($A$138:$J$167,MATCH($P$107,$A$138:$A$167,0),MATCH(Reykjavík!U$108,Reykjavík!$A$107:$J$107,0))</f>
        <v>3.5382085684059814</v>
      </c>
      <c r="Z110" s="13" t="s">
        <v>704</v>
      </c>
    </row>
    <row r="111" spans="1:26">
      <c r="A111" s="13" t="s">
        <v>169</v>
      </c>
      <c r="B111" s="16" t="s">
        <v>13</v>
      </c>
      <c r="C111" s="31"/>
      <c r="D111" s="32">
        <f t="shared" ref="D111:H112" si="55">D31</f>
        <v>215949.80562994696</v>
      </c>
      <c r="E111" s="32">
        <f t="shared" si="55"/>
        <v>233231.68341519832</v>
      </c>
      <c r="F111" s="32">
        <f t="shared" si="55"/>
        <v>239772.08032304575</v>
      </c>
      <c r="G111" s="32">
        <f t="shared" si="55"/>
        <v>242474.11516524735</v>
      </c>
      <c r="H111" s="738">
        <f t="shared" si="55"/>
        <v>218748.33750437558</v>
      </c>
      <c r="I111" s="738">
        <f t="shared" ref="I111" si="56">I31</f>
        <v>235315.40277824379</v>
      </c>
      <c r="J111" s="738">
        <f>J31</f>
        <v>221880.71801834306</v>
      </c>
      <c r="L111" s="32">
        <f>INDEX($A$107:$J$136,MATCH(A111,$A$107:$A$136,0),MATCH(Mælaborð!$D$4,Reykjavík!$A$107:$J$107,0))</f>
        <v>221880.71801834306</v>
      </c>
      <c r="O111" s="32"/>
      <c r="P111" s="32"/>
      <c r="Q111" s="32"/>
      <c r="R111" s="32"/>
      <c r="S111" s="32"/>
      <c r="T111" s="25"/>
      <c r="Z111" s="13" t="s">
        <v>737</v>
      </c>
    </row>
    <row r="112" spans="1:26">
      <c r="A112" s="13" t="s">
        <v>203</v>
      </c>
      <c r="B112" s="16" t="s">
        <v>13</v>
      </c>
      <c r="C112" s="31"/>
      <c r="D112" s="32">
        <f t="shared" si="55"/>
        <v>16107.539181567041</v>
      </c>
      <c r="E112" s="32">
        <f t="shared" si="55"/>
        <v>17396.581895659609</v>
      </c>
      <c r="F112" s="32">
        <f t="shared" si="55"/>
        <v>17884.42535145174</v>
      </c>
      <c r="G112" s="32">
        <f t="shared" si="55"/>
        <v>18194.119507371812</v>
      </c>
      <c r="H112" s="738">
        <f t="shared" si="55"/>
        <v>14249.07499839491</v>
      </c>
      <c r="I112" s="738">
        <f t="shared" ref="I112:J112" si="57">I32</f>
        <v>11693.29670929022</v>
      </c>
      <c r="J112" s="738">
        <f t="shared" si="57"/>
        <v>14955.122298494509</v>
      </c>
      <c r="K112" s="32">
        <f>H111+H112+H113</f>
        <v>314219.62422918761</v>
      </c>
      <c r="L112" s="32">
        <f>INDEX($A$107:$J$136,MATCH(A112,$A$107:$A$136,0),MATCH(Mælaborð!$D$4,Reykjavík!$A$107:$J$107,0))</f>
        <v>14955.122298494509</v>
      </c>
      <c r="O112" t="str">
        <f>Mælaborð!$B$86</f>
        <v xml:space="preserve">Samantekt - </v>
      </c>
      <c r="P112" t="str">
        <f>Mælaborð!$C$86</f>
        <v>BASIC+</v>
      </c>
      <c r="T112" s="25"/>
      <c r="Z112" s="13" t="s">
        <v>738</v>
      </c>
    </row>
    <row r="113" spans="1:26">
      <c r="A113" s="13" t="s">
        <v>479</v>
      </c>
      <c r="B113" s="16" t="s">
        <v>13</v>
      </c>
      <c r="C113" s="31"/>
      <c r="D113" s="32">
        <f t="shared" ref="D113:G113" si="58">D33</f>
        <v>79117.936877329455</v>
      </c>
      <c r="E113" s="32">
        <f t="shared" si="58"/>
        <v>85449.530979702788</v>
      </c>
      <c r="F113" s="32">
        <f t="shared" si="58"/>
        <v>87845.748509041441</v>
      </c>
      <c r="G113" s="32">
        <f t="shared" si="58"/>
        <v>90719.508158236305</v>
      </c>
      <c r="H113" s="738">
        <f>H33</f>
        <v>81222.211726417096</v>
      </c>
      <c r="I113" s="738">
        <f>I33</f>
        <v>93032.780358821503</v>
      </c>
      <c r="J113" s="738">
        <f>J33</f>
        <v>103107.90508252612</v>
      </c>
      <c r="L113" s="32">
        <f>INDEX($A$107:$J$136,MATCH(A113,$A$107:$A$136,0),MATCH(Mælaborð!$D$4,Reykjavík!$A$107:$J$107,0))</f>
        <v>103107.90508252612</v>
      </c>
      <c r="O113">
        <v>2016</v>
      </c>
      <c r="P113">
        <v>2017</v>
      </c>
      <c r="Q113">
        <v>2018</v>
      </c>
      <c r="R113">
        <v>2019</v>
      </c>
      <c r="S113">
        <v>2020</v>
      </c>
      <c r="T113">
        <v>2021</v>
      </c>
      <c r="U113">
        <v>2022</v>
      </c>
      <c r="Z113" s="13" t="s">
        <v>740</v>
      </c>
    </row>
    <row r="114" spans="1:26">
      <c r="A114" s="13" t="s">
        <v>106</v>
      </c>
      <c r="B114" s="16" t="s">
        <v>13</v>
      </c>
      <c r="C114" s="31"/>
      <c r="D114" s="32">
        <f t="shared" ref="D114:I114" si="59">D35</f>
        <v>40017.414575000003</v>
      </c>
      <c r="E114" s="32">
        <f t="shared" si="59"/>
        <v>35952.374654999992</v>
      </c>
      <c r="F114" s="32">
        <f t="shared" si="59"/>
        <v>41527.022368999998</v>
      </c>
      <c r="G114" s="32">
        <f t="shared" si="59"/>
        <v>51073.751804799998</v>
      </c>
      <c r="H114" s="738">
        <f t="shared" si="59"/>
        <v>37572.295806000002</v>
      </c>
      <c r="I114" s="738">
        <f t="shared" si="59"/>
        <v>35560.1</v>
      </c>
      <c r="J114" s="738">
        <f>J35</f>
        <v>52583</v>
      </c>
      <c r="L114" s="32">
        <f>INDEX($A$107:$J$136,MATCH(A114,$A$107:$A$136,0),MATCH(Mælaborð!$D$4,Reykjavík!$A$107:$J$107,0))</f>
        <v>52583</v>
      </c>
      <c r="O114" s="32">
        <f>INDEX($A$107:$J$136,MATCH($P$112,$A$107:$A$136,0),MATCH(O$113,Reykjavík!$A$107:$J$107,0))</f>
        <v>536654.57954993937</v>
      </c>
      <c r="P114" s="32">
        <f>INDEX($A$107:$J$136,MATCH($P$112,$A$107:$A$136,0),MATCH(P$113,Reykjavík!$A$107:$J$107,0))</f>
        <v>552848.22032957047</v>
      </c>
      <c r="Q114" s="32">
        <f>INDEX($A$107:$J$136,MATCH($P$112,$A$107:$A$136,0),MATCH(Q$113,Reykjavík!$A$107:$J$107,0))</f>
        <v>582651.88895607367</v>
      </c>
      <c r="R114" s="32">
        <f>INDEX($A$107:$J$136,MATCH($P$112,$A$107:$A$136,0),MATCH(R$113,Reykjavík!$A$107:$J$107,0))</f>
        <v>590906.80148961942</v>
      </c>
      <c r="S114" s="32">
        <f>INDEX($A$107:$J$136,MATCH($P$112,$A$107:$A$136,0),MATCH(S$113,Reykjavík!$A$107:$J$107,0))</f>
        <v>533155.79896761081</v>
      </c>
      <c r="T114" s="32">
        <f>INDEX($A$107:$J$136,MATCH($P$112,$A$107:$A$136,0),MATCH(T$113,Reykjavík!$A$107:$J$107,0))</f>
        <v>563153.80336953374</v>
      </c>
      <c r="U114" s="32">
        <f>INDEX($A$107:$J$136,MATCH($P$112,$A$107:$A$136,0),MATCH(U$113,Reykjavík!$A$107:$J$107,0))</f>
        <v>567822.35193919088</v>
      </c>
      <c r="Z114" s="13" t="s">
        <v>711</v>
      </c>
    </row>
    <row r="115" spans="1:26">
      <c r="A115" s="13" t="s">
        <v>107</v>
      </c>
      <c r="B115" s="16" t="s">
        <v>13</v>
      </c>
      <c r="C115" s="31"/>
      <c r="D115" s="32">
        <f t="shared" ref="D115:I115" si="60">D37</f>
        <v>5400.7160188601574</v>
      </c>
      <c r="E115" s="32">
        <f t="shared" si="60"/>
        <v>4792.3453956006551</v>
      </c>
      <c r="F115" s="32">
        <f t="shared" si="60"/>
        <v>7325.3866733465939</v>
      </c>
      <c r="G115" s="32">
        <f t="shared" si="60"/>
        <v>6937.1982702861123</v>
      </c>
      <c r="H115" s="738">
        <f t="shared" si="60"/>
        <v>4542.5582514083553</v>
      </c>
      <c r="I115" s="738">
        <f t="shared" si="60"/>
        <v>6698.8813711630573</v>
      </c>
      <c r="J115" s="738">
        <f>J37</f>
        <v>5939.1766057704244</v>
      </c>
      <c r="L115" s="32">
        <f>INDEX($A$107:$J$136,MATCH(A115,$A$107:$A$136,0),MATCH(Mælaborð!$D$4,Reykjavík!$A$107:$J$107,0))</f>
        <v>5939.1766057704244</v>
      </c>
      <c r="O115" s="401">
        <f>INDEX($A$138:$J$167,MATCH($P$112,$A$138:$A$167,0),MATCH(O$113,Reykjavík!$A$107:$J$107,0))</f>
        <v>4.3822846607050412</v>
      </c>
      <c r="P115" s="401">
        <f>INDEX($A$138:$J$167,MATCH($P$112,$A$138:$A$167,0),MATCH(P$113,Reykjavík!$A$107:$J$107,0))</f>
        <v>4.4857295192506896</v>
      </c>
      <c r="Q115" s="401">
        <f>INDEX($A$138:$J$167,MATCH($P$112,$A$138:$A$167,0),MATCH(Q$113,Reykjavík!$A$107:$J$107,0))</f>
        <v>4.6227171234445432</v>
      </c>
      <c r="R115" s="401">
        <f>INDEX($A$138:$J$167,MATCH($P$112,$A$138:$A$167,0),MATCH(R$113,Reykjavík!$A$107:$J$107,0))</f>
        <v>4.5880350755834511</v>
      </c>
      <c r="S115" s="401">
        <f>INDEX($A$138:$J$167,MATCH($P$112,$A$138:$A$167,0),MATCH(S$113,Reykjavík!$A$107:$J$107,0))</f>
        <v>4.0656707461536943</v>
      </c>
      <c r="T115" s="401">
        <f>INDEX($A$138:$J$167,MATCH($P$112,$A$138:$A$167,0),MATCH(T$113,Reykjavík!$A$107:$J$107,0))</f>
        <v>4.2259143894698692</v>
      </c>
      <c r="U115" s="401">
        <f>INDEX($A$138:$J$167,MATCH($P$112,$A$138:$A$167,0),MATCH(U$113,Reykjavík!$A$107:$J$107,0))</f>
        <v>4.184764695029707</v>
      </c>
      <c r="Z115" s="13" t="s">
        <v>712</v>
      </c>
    </row>
    <row r="116" spans="1:26">
      <c r="A116" s="13" t="s">
        <v>78</v>
      </c>
      <c r="B116" s="16" t="s">
        <v>13</v>
      </c>
      <c r="C116" s="31"/>
      <c r="D116" s="32">
        <f t="shared" ref="D116:I116" si="61">SUM(D111:D115)</f>
        <v>356593.41228270362</v>
      </c>
      <c r="E116" s="32">
        <f t="shared" si="61"/>
        <v>376822.51634116139</v>
      </c>
      <c r="F116" s="32">
        <f t="shared" si="61"/>
        <v>394354.66322588554</v>
      </c>
      <c r="G116" s="32">
        <f t="shared" si="61"/>
        <v>409398.69290594151</v>
      </c>
      <c r="H116" s="738">
        <f t="shared" si="61"/>
        <v>356334.47828659596</v>
      </c>
      <c r="I116" s="738">
        <f t="shared" si="61"/>
        <v>382300.46121751855</v>
      </c>
      <c r="J116" s="738">
        <f t="shared" ref="J116" si="62">SUM(J111:J115)</f>
        <v>398465.92200513411</v>
      </c>
      <c r="L116" s="32">
        <f>INDEX($A$107:$J$136,MATCH(A116,$A$107:$A$136,0),MATCH(Mælaborð!$D$4,Reykjavík!$A$107:$J$107,0))</f>
        <v>398465.92200513411</v>
      </c>
      <c r="Z116" s="13" t="s">
        <v>709</v>
      </c>
    </row>
    <row r="117" spans="1:26">
      <c r="A117" s="13" t="s">
        <v>108</v>
      </c>
      <c r="B117" s="16" t="s">
        <v>13</v>
      </c>
      <c r="C117" s="31">
        <f t="shared" ref="C117:H117" si="63">C42</f>
        <v>44895.844615854265</v>
      </c>
      <c r="D117" s="32">
        <f t="shared" si="63"/>
        <v>50126.01722229748</v>
      </c>
      <c r="E117" s="32">
        <f t="shared" si="63"/>
        <v>58653.451543164862</v>
      </c>
      <c r="F117" s="32">
        <f t="shared" si="63"/>
        <v>58471.423567911945</v>
      </c>
      <c r="G117" s="32">
        <f t="shared" si="63"/>
        <v>52649.857319098388</v>
      </c>
      <c r="H117" s="738">
        <f t="shared" si="63"/>
        <v>42031.751155421887</v>
      </c>
      <c r="I117" s="738">
        <f>I42</f>
        <v>40418.00160909757</v>
      </c>
      <c r="J117" s="738">
        <f>J42</f>
        <v>31878.148663644803</v>
      </c>
      <c r="K117" s="858"/>
      <c r="L117" s="32">
        <f>INDEX($A$107:$J$136,MATCH(A117,$A$107:$A$136,0),MATCH(Mælaborð!$D$4,Reykjavík!$A$107:$J$107,0))</f>
        <v>31878.148663644803</v>
      </c>
      <c r="Z117" s="13" t="s">
        <v>714</v>
      </c>
    </row>
    <row r="118" spans="1:26">
      <c r="A118" s="13" t="s">
        <v>55</v>
      </c>
      <c r="B118" s="16" t="s">
        <v>13</v>
      </c>
      <c r="C118" s="31">
        <f t="shared" ref="C118:H118" si="64">C44</f>
        <v>0</v>
      </c>
      <c r="D118" s="32">
        <f t="shared" si="64"/>
        <v>0</v>
      </c>
      <c r="E118" s="32">
        <f t="shared" si="64"/>
        <v>0</v>
      </c>
      <c r="F118" s="32">
        <f t="shared" si="64"/>
        <v>0</v>
      </c>
      <c r="G118" s="32">
        <f t="shared" si="64"/>
        <v>0</v>
      </c>
      <c r="H118" s="738">
        <f t="shared" si="64"/>
        <v>203.47320191246146</v>
      </c>
      <c r="I118" s="738">
        <f t="shared" ref="I118:J118" si="65">I44</f>
        <v>1746.1598286763895</v>
      </c>
      <c r="J118" s="738">
        <f t="shared" si="65"/>
        <v>2608.5152181118524</v>
      </c>
      <c r="L118" s="32">
        <f>INDEX($A$107:$J$136,MATCH(A118,$A$107:$A$136,0),MATCH(Mælaborð!$D$4,Reykjavík!$A$107:$J$107,0))</f>
        <v>2608.5152181118524</v>
      </c>
      <c r="O118" s="25" t="s">
        <v>610</v>
      </c>
      <c r="P118" s="25" t="s">
        <v>611</v>
      </c>
      <c r="Q118" s="25" t="s">
        <v>612</v>
      </c>
      <c r="R118" s="25" t="s">
        <v>613</v>
      </c>
      <c r="S118" s="25" t="s">
        <v>609</v>
      </c>
      <c r="T118" s="25" t="s">
        <v>614</v>
      </c>
      <c r="Z118" s="13" t="s">
        <v>716</v>
      </c>
    </row>
    <row r="119" spans="1:26">
      <c r="A119" s="13" t="s">
        <v>109</v>
      </c>
      <c r="B119" s="16" t="s">
        <v>13</v>
      </c>
      <c r="C119" s="31">
        <f>C46</f>
        <v>0</v>
      </c>
      <c r="D119" s="32">
        <f t="shared" ref="D119:I119" si="66">D47</f>
        <v>2901.3688398857967</v>
      </c>
      <c r="E119" s="32">
        <f t="shared" si="66"/>
        <v>3009.4205059198844</v>
      </c>
      <c r="F119" s="32">
        <f t="shared" si="66"/>
        <v>2986.8675073753684</v>
      </c>
      <c r="G119" s="32">
        <f t="shared" si="66"/>
        <v>2734.5425420549259</v>
      </c>
      <c r="H119" s="738">
        <f t="shared" si="66"/>
        <v>2849.3181172634768</v>
      </c>
      <c r="I119" s="738">
        <f t="shared" si="66"/>
        <v>3272.6854648069589</v>
      </c>
      <c r="J119" s="738">
        <f t="shared" ref="J119" si="67">J47</f>
        <v>2970.5668274841223</v>
      </c>
      <c r="L119" s="32">
        <f>INDEX($A$107:$J$136,MATCH(A119,$A$107:$A$136,0),MATCH(Mælaborð!$D$4,Reykjavík!$A$107:$J$107,0))</f>
        <v>2970.5668274841223</v>
      </c>
      <c r="O119" t="s">
        <v>6</v>
      </c>
      <c r="P119" t="s">
        <v>78</v>
      </c>
      <c r="Q119" t="s">
        <v>32</v>
      </c>
      <c r="R119" t="s">
        <v>495</v>
      </c>
      <c r="S119" t="s">
        <v>547</v>
      </c>
      <c r="T119" t="s">
        <v>548</v>
      </c>
      <c r="Z119" s="13" t="s">
        <v>717</v>
      </c>
    </row>
    <row r="120" spans="1:26">
      <c r="A120" s="13" t="s">
        <v>57</v>
      </c>
      <c r="B120" s="16" t="s">
        <v>13</v>
      </c>
      <c r="C120" s="31">
        <f t="shared" ref="C120:H120" si="68">C51</f>
        <v>8079.2544581645543</v>
      </c>
      <c r="D120" s="32">
        <f t="shared" si="68"/>
        <v>7979.2442377471343</v>
      </c>
      <c r="E120" s="32">
        <f t="shared" si="68"/>
        <v>7844.411657107491</v>
      </c>
      <c r="F120" s="32">
        <f t="shared" si="68"/>
        <v>8135.6524096675375</v>
      </c>
      <c r="G120" s="32">
        <f t="shared" si="68"/>
        <v>7919.1354952651209</v>
      </c>
      <c r="H120" s="738">
        <f t="shared" si="68"/>
        <v>8342.2962968675965</v>
      </c>
      <c r="I120" s="738">
        <f t="shared" ref="I120:J120" si="69">I51</f>
        <v>8456.9638487522752</v>
      </c>
      <c r="J120" s="738">
        <f t="shared" si="69"/>
        <v>8501.5884638527223</v>
      </c>
      <c r="L120" s="32">
        <f>INDEX($A$107:$J$136,MATCH(A120,$A$107:$A$136,0),MATCH(Mælaborð!$D$4,Reykjavík!$A$107:$J$107,0))</f>
        <v>8501.5884638527223</v>
      </c>
      <c r="O120" t="s">
        <v>67</v>
      </c>
      <c r="P120" t="s">
        <v>169</v>
      </c>
      <c r="Q120" t="s">
        <v>108</v>
      </c>
      <c r="R120" t="s">
        <v>546</v>
      </c>
      <c r="S120" t="s">
        <v>48</v>
      </c>
      <c r="T120" t="s">
        <v>549</v>
      </c>
      <c r="Z120" s="13" t="s">
        <v>718</v>
      </c>
    </row>
    <row r="121" spans="1:26">
      <c r="A121" s="13" t="s">
        <v>32</v>
      </c>
      <c r="B121" s="16" t="s">
        <v>13</v>
      </c>
      <c r="C121" s="31"/>
      <c r="D121" s="32">
        <f t="shared" ref="D121:I121" si="70">D52</f>
        <v>61006.63029993041</v>
      </c>
      <c r="E121" s="32">
        <f t="shared" si="70"/>
        <v>69507.283706192233</v>
      </c>
      <c r="F121" s="32">
        <f t="shared" si="70"/>
        <v>69593.943484954856</v>
      </c>
      <c r="G121" s="32">
        <f t="shared" si="70"/>
        <v>63303.535356418433</v>
      </c>
      <c r="H121" s="738">
        <f t="shared" si="70"/>
        <v>53426.838771465424</v>
      </c>
      <c r="I121" s="738">
        <f t="shared" si="70"/>
        <v>53893.810751333192</v>
      </c>
      <c r="J121" s="738">
        <f t="shared" ref="J121" si="71">J52</f>
        <v>45958.8191730935</v>
      </c>
      <c r="L121" s="32">
        <f>INDEX($A$107:$J$136,MATCH(A121,$A$107:$A$136,0),MATCH(Mælaborð!$D$4,Reykjavík!$A$107:$J$107,0))</f>
        <v>45958.8191730935</v>
      </c>
      <c r="O121" t="s">
        <v>104</v>
      </c>
      <c r="P121" t="s">
        <v>203</v>
      </c>
      <c r="Q121" t="s">
        <v>55</v>
      </c>
      <c r="R121" t="s">
        <v>111</v>
      </c>
      <c r="S121" t="s">
        <v>113</v>
      </c>
      <c r="T121" t="s">
        <v>550</v>
      </c>
      <c r="Z121" s="13" t="s">
        <v>713</v>
      </c>
    </row>
    <row r="122" spans="1:26">
      <c r="A122" s="13" t="s">
        <v>546</v>
      </c>
      <c r="B122" s="16" t="s">
        <v>13</v>
      </c>
      <c r="C122" s="31"/>
      <c r="D122" s="32">
        <f t="shared" ref="D122:I122" si="72">D58</f>
        <v>1829.6519397420795</v>
      </c>
      <c r="E122" s="32">
        <f t="shared" si="72"/>
        <v>2245.4398830453683</v>
      </c>
      <c r="F122" s="32">
        <f t="shared" si="72"/>
        <v>1691.624489923749</v>
      </c>
      <c r="G122" s="32">
        <f t="shared" si="72"/>
        <v>1710.0061987558634</v>
      </c>
      <c r="H122" s="738">
        <f t="shared" si="72"/>
        <v>2652.4245259230693</v>
      </c>
      <c r="I122" s="738">
        <f t="shared" si="72"/>
        <v>2654.0703045108339</v>
      </c>
      <c r="J122" s="738">
        <f t="shared" ref="J122" si="73">J58</f>
        <v>2565.3120470227268</v>
      </c>
      <c r="L122" s="32">
        <f>INDEX($A$107:$J$136,MATCH(A122,$A$107:$A$136,0),MATCH(Mælaborð!$D$4,Reykjavík!$A$107:$J$107,0))</f>
        <v>2565.3120470227268</v>
      </c>
      <c r="P122" t="s">
        <v>479</v>
      </c>
      <c r="Q122" t="s">
        <v>109</v>
      </c>
      <c r="S122" t="s">
        <v>578</v>
      </c>
      <c r="T122" t="s">
        <v>3</v>
      </c>
      <c r="Z122" s="13" t="s">
        <v>720</v>
      </c>
    </row>
    <row r="123" spans="1:26">
      <c r="A123" s="13" t="s">
        <v>111</v>
      </c>
      <c r="B123" s="16" t="s">
        <v>13</v>
      </c>
      <c r="C123" s="31"/>
      <c r="D123" s="32">
        <f t="shared" ref="D123:I123" si="74">D55</f>
        <v>45422</v>
      </c>
      <c r="E123" s="32">
        <f t="shared" si="74"/>
        <v>45422</v>
      </c>
      <c r="F123" s="32">
        <f t="shared" si="74"/>
        <v>45422</v>
      </c>
      <c r="G123" s="32">
        <f t="shared" si="74"/>
        <v>45422</v>
      </c>
      <c r="H123" s="738">
        <f t="shared" si="74"/>
        <v>45422</v>
      </c>
      <c r="I123" s="738">
        <f t="shared" si="74"/>
        <v>45422</v>
      </c>
      <c r="J123" s="738">
        <f t="shared" ref="J123" si="75">J55</f>
        <v>45422</v>
      </c>
      <c r="L123" s="32">
        <f>INDEX($A$107:$J$136,MATCH(A123,$A$107:$A$136,0),MATCH(Mælaborð!$D$4,Reykjavík!$A$107:$J$107,0))</f>
        <v>45422</v>
      </c>
      <c r="P123" t="s">
        <v>106</v>
      </c>
      <c r="Q123" t="s">
        <v>57</v>
      </c>
      <c r="T123" t="s">
        <v>14</v>
      </c>
      <c r="Z123" s="13" t="s">
        <v>721</v>
      </c>
    </row>
    <row r="124" spans="1:26">
      <c r="A124" s="13" t="s">
        <v>495</v>
      </c>
      <c r="B124" s="16" t="s">
        <v>13</v>
      </c>
      <c r="C124" s="31"/>
      <c r="D124" s="32">
        <f t="shared" ref="D124:I124" si="76">D122+D123</f>
        <v>47251.651939742078</v>
      </c>
      <c r="E124" s="32">
        <f t="shared" si="76"/>
        <v>47667.439883045372</v>
      </c>
      <c r="F124" s="32">
        <f t="shared" si="76"/>
        <v>47113.62448992375</v>
      </c>
      <c r="G124" s="32">
        <f t="shared" si="76"/>
        <v>47132.006198755866</v>
      </c>
      <c r="H124" s="738">
        <f t="shared" si="76"/>
        <v>48074.424525923067</v>
      </c>
      <c r="I124" s="738">
        <f t="shared" si="76"/>
        <v>48076.070304510831</v>
      </c>
      <c r="J124" s="738">
        <f>J122+J123</f>
        <v>47987.31204702273</v>
      </c>
      <c r="L124" s="32">
        <f>INDEX($A$107:$J$136,MATCH(A124,$A$107:$A$136,0),MATCH(Mælaborð!$D$4,Reykjavík!$A$107:$J$107,0))</f>
        <v>47987.31204702273</v>
      </c>
      <c r="P124" t="s">
        <v>107</v>
      </c>
      <c r="T124" t="s">
        <v>5</v>
      </c>
      <c r="Z124" s="13" t="s">
        <v>741</v>
      </c>
    </row>
    <row r="125" spans="1:26">
      <c r="A125" s="13" t="s">
        <v>48</v>
      </c>
      <c r="B125" s="16" t="s">
        <v>13</v>
      </c>
      <c r="C125" s="31"/>
      <c r="D125" s="32">
        <f t="shared" ref="D125:I125" si="77">D90</f>
        <v>43593.661187563281</v>
      </c>
      <c r="E125" s="32">
        <f t="shared" si="77"/>
        <v>30234.599759171451</v>
      </c>
      <c r="F125" s="32">
        <f t="shared" si="77"/>
        <v>43154.921793070214</v>
      </c>
      <c r="G125" s="32">
        <f t="shared" si="77"/>
        <v>41917.078635312122</v>
      </c>
      <c r="H125" s="738">
        <f t="shared" si="77"/>
        <v>40808.441327032713</v>
      </c>
      <c r="I125" s="738">
        <f t="shared" si="77"/>
        <v>45003.936777660783</v>
      </c>
      <c r="J125" s="738">
        <f t="shared" ref="J125" si="78">J90</f>
        <v>39452.00682229732</v>
      </c>
      <c r="L125" s="32">
        <f>INDEX($A$107:$J$136,MATCH(A125,$A$107:$A$136,0),MATCH(Mælaborð!$D$4,Reykjavík!$A$107:$J$107,0))</f>
        <v>39452.00682229732</v>
      </c>
      <c r="Z125" s="13" t="s">
        <v>723</v>
      </c>
    </row>
    <row r="126" spans="1:26">
      <c r="A126" s="13" t="s">
        <v>113</v>
      </c>
      <c r="B126" s="16" t="s">
        <v>13</v>
      </c>
      <c r="C126" s="31">
        <f>C127+C128</f>
        <v>26525.44685</v>
      </c>
      <c r="D126" s="32">
        <f t="shared" ref="D126:I126" si="79">D127+D128</f>
        <v>31431.152409999999</v>
      </c>
      <c r="E126" s="32">
        <f t="shared" si="79"/>
        <v>38446.876859999997</v>
      </c>
      <c r="F126" s="32">
        <f t="shared" si="79"/>
        <v>49583.676729999999</v>
      </c>
      <c r="G126" s="32">
        <f t="shared" si="79"/>
        <v>58168.661459999996</v>
      </c>
      <c r="H126" s="738">
        <f t="shared" si="79"/>
        <v>69340.805030000003</v>
      </c>
      <c r="I126" s="738">
        <f t="shared" si="79"/>
        <v>74833.216010000004</v>
      </c>
      <c r="J126" s="738">
        <f>J127+J128</f>
        <v>78413.081482610331</v>
      </c>
      <c r="L126" s="32">
        <f>INDEX($A$107:$J$136,MATCH(A126,$A$107:$A$136,0),MATCH(Mælaborð!$D$4,Reykjavík!$A$107:$J$107,0))</f>
        <v>78413.081482610331</v>
      </c>
      <c r="Z126" s="13" t="s">
        <v>742</v>
      </c>
    </row>
    <row r="127" spans="1:26">
      <c r="A127" s="13" t="s">
        <v>686</v>
      </c>
      <c r="B127" s="16" t="s">
        <v>13</v>
      </c>
      <c r="C127" s="32">
        <f>C101</f>
        <v>3503.9344000000001</v>
      </c>
      <c r="D127" s="32">
        <f t="shared" ref="D127:I127" si="80">D101</f>
        <v>4151.9638400000003</v>
      </c>
      <c r="E127" s="32">
        <f t="shared" si="80"/>
        <v>5078.7206400000005</v>
      </c>
      <c r="F127" s="32">
        <f t="shared" si="80"/>
        <v>6549.85952</v>
      </c>
      <c r="G127" s="32">
        <f t="shared" si="80"/>
        <v>7683.91104</v>
      </c>
      <c r="H127" s="738">
        <f t="shared" si="80"/>
        <v>9159.7187200000008</v>
      </c>
      <c r="I127" s="738">
        <f t="shared" si="80"/>
        <v>9885.2502400000012</v>
      </c>
      <c r="J127" s="738">
        <f>J101</f>
        <v>10358.140059643192</v>
      </c>
      <c r="L127" s="32">
        <f>INDEX($A$107:$J$136,MATCH(A127,$A$107:$A$136,0),MATCH(Mælaborð!$D$4,Reykjavík!$A$107:$J$107,0))</f>
        <v>10358.140059643192</v>
      </c>
      <c r="Z127" s="13" t="s">
        <v>743</v>
      </c>
    </row>
    <row r="128" spans="1:26">
      <c r="A128" s="13" t="s">
        <v>684</v>
      </c>
      <c r="B128" s="16" t="s">
        <v>13</v>
      </c>
      <c r="C128" s="32">
        <f>C100</f>
        <v>23021.512449999998</v>
      </c>
      <c r="D128" s="32">
        <f t="shared" ref="D128:I128" si="81">D100</f>
        <v>27279.188569999998</v>
      </c>
      <c r="E128" s="32">
        <f t="shared" si="81"/>
        <v>33368.156219999997</v>
      </c>
      <c r="F128" s="32">
        <f t="shared" si="81"/>
        <v>43033.817210000001</v>
      </c>
      <c r="G128" s="32">
        <f t="shared" si="81"/>
        <v>50484.750419999997</v>
      </c>
      <c r="H128" s="738">
        <f t="shared" si="81"/>
        <v>60181.086309999999</v>
      </c>
      <c r="I128" s="738">
        <f t="shared" si="81"/>
        <v>64947.96577000001</v>
      </c>
      <c r="J128" s="738">
        <f t="shared" ref="J128" si="82">J100</f>
        <v>68054.941422967138</v>
      </c>
      <c r="L128" s="32">
        <f>INDEX($A$107:$J$136,MATCH(A128,$A$107:$A$136,0),MATCH(Mælaborð!$D$4,Reykjavík!$A$107:$J$107,0))</f>
        <v>68054.941422967138</v>
      </c>
      <c r="Z128" s="13" t="s">
        <v>724</v>
      </c>
    </row>
    <row r="129" spans="1:26">
      <c r="A129" s="13" t="s">
        <v>578</v>
      </c>
      <c r="B129" s="16" t="s">
        <v>13</v>
      </c>
      <c r="C129" s="31"/>
      <c r="D129" s="32">
        <f t="shared" ref="D129:I129" si="83">D105</f>
        <v>9692.8303997546063</v>
      </c>
      <c r="E129" s="32">
        <f t="shared" si="83"/>
        <v>6183.9915058120459</v>
      </c>
      <c r="F129" s="32">
        <f t="shared" si="83"/>
        <v>9454.6123059262445</v>
      </c>
      <c r="G129" s="32">
        <f t="shared" si="83"/>
        <v>5518.1579496962113</v>
      </c>
      <c r="H129" s="738">
        <f t="shared" si="83"/>
        <v>5647.9622758071437</v>
      </c>
      <c r="I129" s="738">
        <f t="shared" si="83"/>
        <v>6693.3637603918742</v>
      </c>
      <c r="J129" s="738">
        <f t="shared" ref="J129" si="84">J105</f>
        <v>6819.5765360085006</v>
      </c>
      <c r="L129" s="32">
        <f>INDEX($A$107:$J$136,MATCH(A129,$A$107:$A$136,0),MATCH(Mælaborð!$D$4,Reykjavík!$A$107:$J$107,0))</f>
        <v>6819.5765360085006</v>
      </c>
      <c r="O129" t="str">
        <f>Dashboard!B62</f>
        <v>Summary -</v>
      </c>
      <c r="P129" t="str">
        <f>Dashboard!C62</f>
        <v>BASIC</v>
      </c>
      <c r="Z129" s="13" t="s">
        <v>725</v>
      </c>
    </row>
    <row r="130" spans="1:26">
      <c r="A130" s="13" t="s">
        <v>547</v>
      </c>
      <c r="B130" s="16" t="s">
        <v>13</v>
      </c>
      <c r="C130" s="31"/>
      <c r="D130" s="32">
        <f>SUM(D125:D129)</f>
        <v>116148.79640731787</v>
      </c>
      <c r="E130" s="32">
        <f t="shared" ref="E130:I130" si="85">SUM(E125:E129)</f>
        <v>113312.34498498347</v>
      </c>
      <c r="F130" s="32">
        <f t="shared" si="85"/>
        <v>151776.88755899647</v>
      </c>
      <c r="G130" s="32">
        <f t="shared" si="85"/>
        <v>163772.55950500834</v>
      </c>
      <c r="H130" s="738">
        <f t="shared" si="85"/>
        <v>185138.01366283986</v>
      </c>
      <c r="I130" s="738">
        <f t="shared" si="85"/>
        <v>201363.73255805267</v>
      </c>
      <c r="J130" s="738">
        <f>SUM(J125:J129)</f>
        <v>203097.74632352649</v>
      </c>
      <c r="L130" s="32">
        <f>INDEX($A$107:$J$136,MATCH(A130,$A$107:$A$136,0),MATCH(Mælaborð!$D$4,Reykjavík!$A$107:$J$107,0))</f>
        <v>203097.74632352649</v>
      </c>
      <c r="O130">
        <v>2016</v>
      </c>
      <c r="P130">
        <v>2017</v>
      </c>
      <c r="Q130">
        <v>2018</v>
      </c>
      <c r="R130">
        <v>2019</v>
      </c>
      <c r="S130">
        <v>2020</v>
      </c>
      <c r="T130">
        <v>2021</v>
      </c>
      <c r="U130">
        <v>2022</v>
      </c>
      <c r="Z130" s="13" t="s">
        <v>722</v>
      </c>
    </row>
    <row r="131" spans="1:26">
      <c r="A131" s="13" t="s">
        <v>548</v>
      </c>
      <c r="B131" s="16" t="s">
        <v>13</v>
      </c>
      <c r="C131" s="31"/>
      <c r="D131" s="32">
        <f>D110+D116+D121-D23+D127</f>
        <v>445809.26642263401</v>
      </c>
      <c r="E131" s="32">
        <f t="shared" ref="E131:H131" si="86">E110+E116+E121-E23+E127</f>
        <v>474946.1806873536</v>
      </c>
      <c r="F131" s="32">
        <f t="shared" si="86"/>
        <v>492141.41483634035</v>
      </c>
      <c r="G131" s="32">
        <f t="shared" si="86"/>
        <v>501633.68579835992</v>
      </c>
      <c r="H131" s="738">
        <f t="shared" si="86"/>
        <v>443979.50573866139</v>
      </c>
      <c r="I131" s="738">
        <f>I110+I116+I121-I23+I127</f>
        <v>469799.41124534194</v>
      </c>
      <c r="J131" s="738">
        <f>J110+J116+J121-J23+J127</f>
        <v>480092.4442298708</v>
      </c>
      <c r="L131" s="32">
        <f>INDEX($A$107:$J$136,MATCH(A131,$A$107:$A$136,0),MATCH(Mælaborð!$D$4,Reykjavík!$A$107:$J$107,0))</f>
        <v>480092.4442298708</v>
      </c>
      <c r="O131" s="32">
        <f>IFERROR(INDEX($A$107:$J$136,MATCH($P$129,$Z$107:$Z$136,0),MATCH(O$130,Reykjavík!$A$107:$J$107,0)),0)</f>
        <v>445809.26642263401</v>
      </c>
      <c r="P131" s="32">
        <f>IFERROR(INDEX($A$107:$J$136,MATCH($P$129,$Z$107:$Z$136,0),MATCH(P$130,Reykjavík!$A$107:$J$107,0)),0)</f>
        <v>474946.1806873536</v>
      </c>
      <c r="Q131" s="32">
        <f>IFERROR(INDEX($A$107:$J$136,MATCH($P$129,$Z$107:$Z$136,0),MATCH(Q$130,Reykjavík!$A$107:$J$107,0)),0)</f>
        <v>492141.41483634035</v>
      </c>
      <c r="R131" s="32">
        <f>IFERROR(INDEX($A$107:$J$136,MATCH($P$129,$Z$107:$Z$136,0),MATCH(R$130,Reykjavík!$A$107:$J$107,0)),0)</f>
        <v>501633.68579835992</v>
      </c>
      <c r="S131" s="32">
        <f>IFERROR(INDEX($A$107:$J$136,MATCH($P$129,$Z$107:$Z$136,0),MATCH(S$130,Reykjavík!$A$107:$J$107,0)),0)</f>
        <v>443979.50573866139</v>
      </c>
      <c r="T131" s="32">
        <f>IFERROR(INDEX($A$107:$J$136,MATCH($P$129,$Z$107:$Z$136,0),MATCH(T$130,Reykjavík!$A$107:$J$107,0)),0)</f>
        <v>469799.41124534194</v>
      </c>
      <c r="U131" s="32">
        <f>IFERROR(INDEX($A$107:$J$136,MATCH($P$129,$Z$107:$Z$136,0),MATCH(U$130,Reykjavík!$A$107:$J$107,0)),0)</f>
        <v>480092.4442298708</v>
      </c>
      <c r="Z131" s="13" t="s">
        <v>548</v>
      </c>
    </row>
    <row r="132" spans="1:26">
      <c r="A132" s="13" t="s">
        <v>549</v>
      </c>
      <c r="B132" s="16" t="s">
        <v>13</v>
      </c>
      <c r="C132" s="31"/>
      <c r="D132" s="32">
        <f t="shared" ref="D132:H132" si="87">D131+D124+D125+D23</f>
        <v>536654.57954993937</v>
      </c>
      <c r="E132" s="32">
        <f t="shared" si="87"/>
        <v>552848.22032957047</v>
      </c>
      <c r="F132" s="32">
        <f t="shared" si="87"/>
        <v>582651.88895607367</v>
      </c>
      <c r="G132" s="32">
        <f t="shared" si="87"/>
        <v>590906.80148961942</v>
      </c>
      <c r="H132" s="738">
        <f t="shared" si="87"/>
        <v>533155.79896761081</v>
      </c>
      <c r="I132" s="738">
        <f>I131+I124+I125+I23</f>
        <v>563153.80336953374</v>
      </c>
      <c r="J132" s="738">
        <f>J131+J124+J125+J23</f>
        <v>567822.35193919088</v>
      </c>
      <c r="L132" s="32">
        <f>INDEX($A$107:$J$136,MATCH(A132,$A$107:$A$136,0),MATCH(Mælaborð!$D$4,Reykjavík!$A$107:$J$107,0))</f>
        <v>567822.35193919088</v>
      </c>
      <c r="O132" s="401">
        <f>IFERROR(INDEX($A$138:$J$167,MATCH($P$129,$Z$138:$Z$167,0),MATCH(O$130,Reykjavík!$A$138:$J$138,0)),0)</f>
        <v>3.6404480354616529</v>
      </c>
      <c r="P132" s="401">
        <f>IFERROR(INDEX($A$138:$J$167,MATCH($P$129,$Z$138:$Z$167,0),MATCH(P$130,Reykjavík!$A$138:$J$138,0)),0)</f>
        <v>3.8536437749489121</v>
      </c>
      <c r="Q132" s="401">
        <f>IFERROR(INDEX($A$138:$J$167,MATCH($P$129,$Z$138:$Z$167,0),MATCH(Q$130,Reykjavík!$A$138:$J$138,0)),0)</f>
        <v>3.9046136958318352</v>
      </c>
      <c r="R132" s="401">
        <f>IFERROR(INDEX($A$138:$J$167,MATCH($P$129,$Z$138:$Z$167,0),MATCH(R$130,Reykjavík!$A$138:$J$138,0)),0)</f>
        <v>3.8948831520219258</v>
      </c>
      <c r="S132" s="401">
        <f>IFERROR(INDEX($A$138:$J$167,MATCH($P$129,$Z$138:$Z$167,0),MATCH(S$130,Reykjavík!$A$138:$J$138,0)),0)</f>
        <v>3.3856416677240526</v>
      </c>
      <c r="T132" s="401">
        <f>IFERROR(INDEX($A$138:$J$167,MATCH($P$129,$Z$138:$Z$167,0),MATCH(T$130,Reykjavík!$A$138:$J$138,0)),0)</f>
        <v>3.525381663530053</v>
      </c>
      <c r="U132" s="401">
        <f>IFERROR(INDEX($A$138:$J$167,MATCH($P$129,$Z$138:$Z$167,0),MATCH(U$130,Reykjavík!$A$138:$J$138,0)),0)</f>
        <v>3.5382085684059814</v>
      </c>
      <c r="Z132" s="13" t="s">
        <v>549</v>
      </c>
    </row>
    <row r="133" spans="1:26">
      <c r="A133" s="13" t="s">
        <v>550</v>
      </c>
      <c r="B133" s="16" t="s">
        <v>13</v>
      </c>
      <c r="C133" s="17"/>
      <c r="D133" s="32">
        <f t="shared" ref="D133:H133" si="88">D132+D128+D129</f>
        <v>573626.59851969394</v>
      </c>
      <c r="E133" s="32">
        <f t="shared" si="88"/>
        <v>592400.36805538251</v>
      </c>
      <c r="F133" s="32">
        <f t="shared" si="88"/>
        <v>635140.31847199996</v>
      </c>
      <c r="G133" s="32">
        <f t="shared" si="88"/>
        <v>646909.70985931566</v>
      </c>
      <c r="H133" s="738">
        <f t="shared" si="88"/>
        <v>598984.84755341802</v>
      </c>
      <c r="I133" s="738">
        <f>I132+I128+I129</f>
        <v>634795.13289992558</v>
      </c>
      <c r="J133" s="738">
        <f>J132+J128+J129</f>
        <v>642696.86989816651</v>
      </c>
      <c r="L133" s="32">
        <f>INDEX($A$107:$J$136,MATCH(A133,$A$107:$A$136,0),MATCH(Mælaborð!$D$4,Reykjavík!$A$107:$J$107,0))</f>
        <v>642696.86989816651</v>
      </c>
      <c r="O133" s="32"/>
      <c r="P133" s="32"/>
      <c r="Q133" s="32"/>
      <c r="R133" s="32"/>
      <c r="S133" s="32"/>
      <c r="T133" s="25"/>
      <c r="Z133" s="13" t="s">
        <v>550</v>
      </c>
    </row>
    <row r="134" spans="1:26">
      <c r="A134" s="1" t="s">
        <v>3</v>
      </c>
      <c r="B134" s="16" t="s">
        <v>13</v>
      </c>
      <c r="C134" s="3"/>
      <c r="D134" s="32">
        <f>D116+D121-D119+D124+D125+D129</f>
        <v>515236.81726980821</v>
      </c>
      <c r="E134" s="739">
        <f>E116+E121-E119+E124+E130</f>
        <v>604300.1644094626</v>
      </c>
      <c r="F134" s="739">
        <f>F116+F121-F119+F124+F130</f>
        <v>659852.25125238521</v>
      </c>
      <c r="G134" s="739">
        <f>G116+G121-G119+G124+G130</f>
        <v>680872.25142406928</v>
      </c>
      <c r="H134" s="738">
        <f>H116+H121-H119+H124+H130</f>
        <v>640124.43712956086</v>
      </c>
      <c r="I134" s="738">
        <f>I116+I121-I119+I124+I127+I125</f>
        <v>535886.84382621641</v>
      </c>
      <c r="J134" s="738">
        <f>J116+J121-J119+J124+J127+J125</f>
        <v>539251.6332797067</v>
      </c>
      <c r="K134" s="858"/>
      <c r="L134" s="32">
        <f>INDEX($A$107:$J$136,MATCH(A134,$A$107:$A$136,0),MATCH(Mælaborð!$D$4,Reykjavík!$A$107:$J$107,0))</f>
        <v>539251.6332797067</v>
      </c>
      <c r="O134" t="str">
        <f>Dashboard!$B$86</f>
        <v>Summary -</v>
      </c>
      <c r="P134" t="str">
        <f>Dashboard!$C$86</f>
        <v>BASIC+</v>
      </c>
      <c r="T134" s="25"/>
      <c r="Z134" s="1" t="s">
        <v>701</v>
      </c>
    </row>
    <row r="135" spans="1:26">
      <c r="A135" s="1" t="s">
        <v>14</v>
      </c>
      <c r="B135" s="16" t="s">
        <v>13</v>
      </c>
      <c r="C135" s="3"/>
      <c r="D135" s="32">
        <f>D110-D23</f>
        <v>24057.260000000002</v>
      </c>
      <c r="E135" s="739">
        <f>E110</f>
        <v>23537.66</v>
      </c>
      <c r="F135" s="739">
        <f>F110</f>
        <v>21884.876442239503</v>
      </c>
      <c r="G135" s="739">
        <f>G110</f>
        <v>21471.577353191591</v>
      </c>
      <c r="H135" s="738">
        <f>H110</f>
        <v>25351.897336593593</v>
      </c>
      <c r="I135" s="738">
        <f>I110-I23</f>
        <v>23719.889036490189</v>
      </c>
      <c r="J135" s="738">
        <f>J110-J23</f>
        <v>25309.562991999999</v>
      </c>
      <c r="K135" s="858"/>
      <c r="L135" s="32">
        <f>INDEX($A$107:$J$136,MATCH(A135,$A$107:$A$136,0),MATCH(Mælaborð!$D$4,Reykjavík!$A$107:$J$107,0))</f>
        <v>25309.562991999999</v>
      </c>
      <c r="O135">
        <v>2016</v>
      </c>
      <c r="P135">
        <v>2017</v>
      </c>
      <c r="Q135">
        <v>2018</v>
      </c>
      <c r="R135">
        <v>2019</v>
      </c>
      <c r="S135">
        <v>2020</v>
      </c>
      <c r="T135">
        <v>2021</v>
      </c>
      <c r="U135">
        <v>2022</v>
      </c>
      <c r="Z135" s="1" t="s">
        <v>702</v>
      </c>
    </row>
    <row r="136" spans="1:26">
      <c r="A136" s="1" t="s">
        <v>5</v>
      </c>
      <c r="B136" s="16" t="s">
        <v>13</v>
      </c>
      <c r="C136" s="3"/>
      <c r="D136" s="739">
        <f>D119+D127+D23</f>
        <v>7053.332679885797</v>
      </c>
      <c r="E136" s="739">
        <f t="shared" ref="E136:G136" si="89">E119+E127+E23</f>
        <v>8088.1411459198844</v>
      </c>
      <c r="F136" s="739">
        <f t="shared" si="89"/>
        <v>9778.6548641148711</v>
      </c>
      <c r="G136" s="739">
        <f t="shared" si="89"/>
        <v>10642.484439246517</v>
      </c>
      <c r="H136" s="738">
        <f>H119+H127+H23</f>
        <v>12302.464213257068</v>
      </c>
      <c r="I136" s="738">
        <f>I119+I128+I23+I129</f>
        <v>75188.400037219079</v>
      </c>
      <c r="J136" s="738">
        <f>J119+J128+J23+J129</f>
        <v>78135.673626459757</v>
      </c>
      <c r="K136" s="858"/>
      <c r="L136" s="32">
        <f>INDEX($A$107:$J$136,MATCH(A136,$A$107:$A$136,0),MATCH(Mælaborð!$D$4,Reykjavík!$A$107:$J$107,0))</f>
        <v>78135.673626459757</v>
      </c>
      <c r="O136" s="32">
        <f>INDEX($A$107:$J$136,MATCH($P$134,$A$107:$A$136,0),MATCH(O$135,Reykjavík!$A$107:$J$107,0))</f>
        <v>536654.57954993937</v>
      </c>
      <c r="P136" s="32">
        <f>INDEX($A$107:$J$136,MATCH($P$134,$A$107:$A$136,0),MATCH(P$135,Reykjavík!$A$107:$J$107,0))</f>
        <v>552848.22032957047</v>
      </c>
      <c r="Q136" s="32">
        <f>INDEX($A$107:$J$136,MATCH($P$134,$A$107:$A$136,0),MATCH(Q$135,Reykjavík!$A$107:$J$107,0))</f>
        <v>582651.88895607367</v>
      </c>
      <c r="R136" s="32">
        <f>INDEX($A$107:$J$136,MATCH($P$134,$A$107:$A$136,0),MATCH(R$135,Reykjavík!$A$107:$J$107,0))</f>
        <v>590906.80148961942</v>
      </c>
      <c r="S136" s="32">
        <f>INDEX($A$107:$J$136,MATCH($P$134,$A$107:$A$136,0),MATCH(S$135,Reykjavík!$A$107:$J$107,0))</f>
        <v>533155.79896761081</v>
      </c>
      <c r="T136" s="32">
        <f>INDEX($A$107:$J$136,MATCH($P$134,$A$107:$A$136,0),MATCH(T$135,Reykjavík!$A$107:$J$107,0))</f>
        <v>563153.80336953374</v>
      </c>
      <c r="U136" s="32">
        <f>INDEX($A$107:$J$136,MATCH($P$134,$A$107:$A$136,0),MATCH(U$135,Reykjavík!$A$107:$J$107,0))</f>
        <v>567822.35193919088</v>
      </c>
      <c r="Z136" s="1" t="s">
        <v>703</v>
      </c>
    </row>
    <row r="137" spans="1:26">
      <c r="A137" s="1"/>
      <c r="B137" s="2"/>
      <c r="C137" s="3"/>
      <c r="D137" s="3"/>
      <c r="E137" s="3"/>
      <c r="F137" s="3"/>
      <c r="G137" s="3"/>
      <c r="H137" s="3"/>
      <c r="I137" s="3"/>
      <c r="J137" s="3"/>
      <c r="K137" s="32">
        <f>J136+J135+J134</f>
        <v>642696.86989816651</v>
      </c>
      <c r="L137" s="858"/>
      <c r="O137" s="401">
        <f>INDEX($A$138:$J$167,MATCH($P$134,$Z$138:$Z$167,0),MATCH(Reykjavík!O$135,Reykjavík!$A$107:$J$107,0))</f>
        <v>4.3822846607050412</v>
      </c>
      <c r="P137" s="401">
        <f>INDEX($A$138:$J$167,MATCH($P$134,$Z$138:$Z$167,0),MATCH(Reykjavík!P$135,Reykjavík!$A$107:$J$107,0))</f>
        <v>4.4857295192506896</v>
      </c>
      <c r="Q137" s="401">
        <f>INDEX($A$138:$J$167,MATCH($P$134,$Z$138:$Z$167,0),MATCH(Reykjavík!Q$135,Reykjavík!$A$107:$J$107,0))</f>
        <v>4.6227171234445432</v>
      </c>
      <c r="R137" s="401">
        <f>INDEX($A$138:$J$167,MATCH($P$134,$Z$138:$Z$167,0),MATCH(Reykjavík!R$135,Reykjavík!$A$107:$J$107,0))</f>
        <v>4.5880350755834511</v>
      </c>
      <c r="S137" s="401">
        <f>INDEX($A$138:$J$167,MATCH($P$134,$Z$138:$Z$167,0),MATCH(Reykjavík!S$135,Reykjavík!$A$107:$J$107,0))</f>
        <v>4.0656707461536943</v>
      </c>
      <c r="T137" s="401">
        <f>INDEX($A$138:$J$167,MATCH($P$134,$Z$138:$Z$167,0),MATCH(Reykjavík!T$135,Reykjavík!$A$107:$J$107,0))</f>
        <v>4.2259143894698692</v>
      </c>
      <c r="U137" s="401">
        <f>INDEX($A$138:$J$167,MATCH($P$134,$Z$138:$Z$167,0),MATCH(Reykjavík!U$135,Reykjavík!$A$107:$J$107,0))</f>
        <v>4.184764695029707</v>
      </c>
    </row>
    <row r="138" spans="1:26">
      <c r="A138" s="6" t="s">
        <v>598</v>
      </c>
      <c r="B138" s="4" t="s">
        <v>0</v>
      </c>
      <c r="C138" s="5">
        <v>2015</v>
      </c>
      <c r="D138" s="5">
        <v>2016</v>
      </c>
      <c r="E138" s="5">
        <v>2017</v>
      </c>
      <c r="F138" s="5">
        <v>2018</v>
      </c>
      <c r="G138" s="5">
        <v>2019</v>
      </c>
      <c r="H138" s="5">
        <v>2020</v>
      </c>
      <c r="I138" s="5">
        <v>2021</v>
      </c>
      <c r="J138" s="5">
        <v>2022</v>
      </c>
      <c r="L138" s="32">
        <f>INDEX($A$138:$J$167,MATCH(A138,$A$138:$A$167,0),MATCH(Mælaborð!$D$4,Reykjavík!$A$107:$J$107,0))</f>
        <v>2022</v>
      </c>
      <c r="Z138" s="6" t="s">
        <v>598</v>
      </c>
    </row>
    <row r="139" spans="1:26">
      <c r="A139" s="13" t="s">
        <v>6</v>
      </c>
      <c r="B139" s="16" t="s">
        <v>13</v>
      </c>
      <c r="C139" s="96">
        <f t="shared" ref="C139:H139" si="90">C110/C$4</f>
        <v>0</v>
      </c>
      <c r="D139" s="96">
        <f t="shared" si="90"/>
        <v>0.19644994283847789</v>
      </c>
      <c r="E139" s="96">
        <f t="shared" si="90"/>
        <v>0.19098112717654123</v>
      </c>
      <c r="F139" s="96">
        <f t="shared" si="90"/>
        <v>0.17363299594766388</v>
      </c>
      <c r="G139" s="96">
        <f t="shared" si="90"/>
        <v>0.16671385365036603</v>
      </c>
      <c r="H139" s="753">
        <f t="shared" si="90"/>
        <v>0.19332522981174957</v>
      </c>
      <c r="I139" s="753">
        <f t="shared" ref="I139" si="91">I110/I$4</f>
        <v>0.18005338414934813</v>
      </c>
      <c r="J139" s="753">
        <f>J110/J$4</f>
        <v>0.18866923996226637</v>
      </c>
      <c r="L139" s="401">
        <f>INDEX($A$138:$J$167,MATCH(A139,$A$138:$A$167,0),MATCH(Mælaborð!$D$4,Reykjavík!$A$138:$J$138,0))</f>
        <v>0.18866923996226637</v>
      </c>
      <c r="Z139" s="13" t="s">
        <v>704</v>
      </c>
    </row>
    <row r="140" spans="1:26">
      <c r="A140" s="13" t="s">
        <v>67</v>
      </c>
      <c r="B140" s="16" t="s">
        <v>13</v>
      </c>
      <c r="C140" s="96">
        <f t="shared" ref="C140:H141" si="92">C108/C$4</f>
        <v>0</v>
      </c>
      <c r="D140" s="96">
        <f t="shared" si="92"/>
        <v>7.1455822309325484E-2</v>
      </c>
      <c r="E140" s="96">
        <f t="shared" si="92"/>
        <v>7.133489119322331E-2</v>
      </c>
      <c r="F140" s="96">
        <f t="shared" si="92"/>
        <v>5.2347509478975124E-2</v>
      </c>
      <c r="G140" s="96">
        <f t="shared" si="92"/>
        <v>5.1220030228285612E-2</v>
      </c>
      <c r="H140" s="753">
        <f t="shared" si="92"/>
        <v>5.0967021539421613E-2</v>
      </c>
      <c r="I140" s="753">
        <f t="shared" ref="I140" si="93">I108/I$4</f>
        <v>4.6899116616217894E-2</v>
      </c>
      <c r="J140" s="753">
        <f>J108/J$4</f>
        <v>4.8780701550616118E-2</v>
      </c>
      <c r="L140" s="401">
        <f>INDEX($A$138:$J$167,MATCH(A140,$A$138:$A$167,0),MATCH(Mælaborð!$D$4,Reykjavík!$A$138:$J$138,0))</f>
        <v>4.8780701550616118E-2</v>
      </c>
      <c r="O140" s="25" t="s">
        <v>732</v>
      </c>
      <c r="P140" s="25" t="s">
        <v>733</v>
      </c>
      <c r="Q140" s="25" t="s">
        <v>734</v>
      </c>
      <c r="R140" s="25" t="s">
        <v>735</v>
      </c>
      <c r="S140" s="25" t="s">
        <v>736</v>
      </c>
      <c r="T140" s="25" t="s">
        <v>729</v>
      </c>
      <c r="Z140" s="13" t="s">
        <v>705</v>
      </c>
    </row>
    <row r="141" spans="1:26">
      <c r="A141" s="13" t="s">
        <v>104</v>
      </c>
      <c r="B141" s="16" t="s">
        <v>13</v>
      </c>
      <c r="C141" s="96">
        <f t="shared" si="92"/>
        <v>0</v>
      </c>
      <c r="D141" s="96">
        <f t="shared" si="92"/>
        <v>0.12499412052915237</v>
      </c>
      <c r="E141" s="96">
        <f t="shared" si="92"/>
        <v>0.11964623598331792</v>
      </c>
      <c r="F141" s="96">
        <f t="shared" si="92"/>
        <v>0.12128548646868874</v>
      </c>
      <c r="G141" s="96">
        <f t="shared" si="92"/>
        <v>0.11549382342208039</v>
      </c>
      <c r="H141" s="753">
        <f t="shared" si="92"/>
        <v>0.14235820827232795</v>
      </c>
      <c r="I141" s="753">
        <f t="shared" ref="I141:J141" si="94">I109/I$4</f>
        <v>0.13315426753313023</v>
      </c>
      <c r="J141" s="753">
        <f t="shared" si="94"/>
        <v>0.13988853841165025</v>
      </c>
      <c r="L141" s="401">
        <f>INDEX($A$138:$J$167,MATCH(A141,$A$138:$A$167,0),MATCH(Mælaborð!$D$4,Reykjavík!$A$138:$J$138,0))</f>
        <v>0.13988853841165025</v>
      </c>
      <c r="O141" t="s">
        <v>704</v>
      </c>
      <c r="P141" t="s">
        <v>709</v>
      </c>
      <c r="Q141" t="s">
        <v>713</v>
      </c>
      <c r="R141" t="s">
        <v>719</v>
      </c>
      <c r="S141" t="s">
        <v>722</v>
      </c>
      <c r="T141" t="s">
        <v>548</v>
      </c>
      <c r="Z141" s="13" t="s">
        <v>707</v>
      </c>
    </row>
    <row r="142" spans="1:26">
      <c r="A142" s="13" t="s">
        <v>78</v>
      </c>
      <c r="B142" s="16" t="s">
        <v>13</v>
      </c>
      <c r="C142" s="96">
        <f>C116/C$4</f>
        <v>0</v>
      </c>
      <c r="D142" s="96">
        <f t="shared" ref="D142:H142" si="95">D116/D$4</f>
        <v>2.9119174610705834</v>
      </c>
      <c r="E142" s="96">
        <f t="shared" si="95"/>
        <v>3.0574827283738326</v>
      </c>
      <c r="F142" s="96">
        <f t="shared" si="95"/>
        <v>3.1287808191452426</v>
      </c>
      <c r="G142" s="96">
        <f t="shared" si="95"/>
        <v>3.1787340376102855</v>
      </c>
      <c r="H142" s="753">
        <f t="shared" si="95"/>
        <v>2.7172895184129144</v>
      </c>
      <c r="I142" s="753">
        <f t="shared" ref="I142:J142" si="96">I116/I$4</f>
        <v>2.8687882608509443</v>
      </c>
      <c r="J142" s="753">
        <f t="shared" si="96"/>
        <v>2.9366334679937363</v>
      </c>
      <c r="L142" s="401">
        <f>INDEX($A$138:$J$167,MATCH(A142,$A$138:$A$167,0),MATCH(Mælaborð!$D$4,Reykjavík!$A$138:$J$138,0))</f>
        <v>2.9366334679937363</v>
      </c>
      <c r="O142" t="s">
        <v>705</v>
      </c>
      <c r="P142" t="s">
        <v>737</v>
      </c>
      <c r="Q142" t="s">
        <v>714</v>
      </c>
      <c r="R142" t="s">
        <v>720</v>
      </c>
      <c r="S142" t="s">
        <v>723</v>
      </c>
      <c r="T142" t="s">
        <v>549</v>
      </c>
      <c r="Z142" s="13" t="s">
        <v>709</v>
      </c>
    </row>
    <row r="143" spans="1:26">
      <c r="A143" s="13" t="s">
        <v>169</v>
      </c>
      <c r="B143" s="16" t="s">
        <v>13</v>
      </c>
      <c r="C143" s="96">
        <f t="shared" ref="C143:H147" si="97">C111/C$4</f>
        <v>0</v>
      </c>
      <c r="D143" s="96">
        <f t="shared" si="97"/>
        <v>1.7634313704878897</v>
      </c>
      <c r="E143" s="96">
        <f t="shared" si="97"/>
        <v>1.8924077326257918</v>
      </c>
      <c r="F143" s="96">
        <f t="shared" si="97"/>
        <v>1.9023340049908026</v>
      </c>
      <c r="G143" s="96">
        <f t="shared" si="97"/>
        <v>1.8826653247090086</v>
      </c>
      <c r="H143" s="753">
        <f t="shared" si="97"/>
        <v>1.6681028665231179</v>
      </c>
      <c r="I143" s="753">
        <f t="shared" ref="I143:J143" si="98">I111/I$4</f>
        <v>1.765810229309509</v>
      </c>
      <c r="J143" s="753">
        <f t="shared" si="98"/>
        <v>1.6352272715224858</v>
      </c>
      <c r="L143" s="401">
        <f>INDEX($A$138:$J$167,MATCH(A143,$A$138:$A$167,0),MATCH(Mælaborð!$D$4,Reykjavík!$A$138:$J$138,0))</f>
        <v>1.6352272715224858</v>
      </c>
      <c r="O143" t="s">
        <v>707</v>
      </c>
      <c r="P143" t="s">
        <v>738</v>
      </c>
      <c r="Q143" t="s">
        <v>716</v>
      </c>
      <c r="R143" t="s">
        <v>721</v>
      </c>
      <c r="S143" t="s">
        <v>739</v>
      </c>
      <c r="T143" t="s">
        <v>550</v>
      </c>
      <c r="Z143" s="13" t="s">
        <v>737</v>
      </c>
    </row>
    <row r="144" spans="1:26">
      <c r="A144" s="13" t="s">
        <v>203</v>
      </c>
      <c r="B144" s="16" t="s">
        <v>13</v>
      </c>
      <c r="C144" s="96">
        <f t="shared" si="97"/>
        <v>0</v>
      </c>
      <c r="D144" s="96">
        <f t="shared" si="97"/>
        <v>0.13153306534025022</v>
      </c>
      <c r="E144" s="96">
        <f t="shared" si="97"/>
        <v>0.14115331853090249</v>
      </c>
      <c r="F144" s="96">
        <f t="shared" si="97"/>
        <v>0.14189371197825898</v>
      </c>
      <c r="G144" s="96">
        <f t="shared" si="97"/>
        <v>0.14126636934749412</v>
      </c>
      <c r="H144" s="753">
        <f t="shared" si="97"/>
        <v>0.10865875883353854</v>
      </c>
      <c r="I144" s="753">
        <f t="shared" ref="I144:J144" si="99">I112/I$4</f>
        <v>8.7746669788013237E-2</v>
      </c>
      <c r="J144" s="753">
        <f t="shared" si="99"/>
        <v>0.1102169852786872</v>
      </c>
      <c r="L144" s="401">
        <f>INDEX($A$138:$J$167,MATCH(A144,$A$138:$A$167,0),MATCH(Mælaborð!$D$4,Reykjavík!$A$138:$J$138,0))</f>
        <v>0.1102169852786872</v>
      </c>
      <c r="P144" t="s">
        <v>740</v>
      </c>
      <c r="Q144" t="s">
        <v>717</v>
      </c>
      <c r="S144" t="s">
        <v>725</v>
      </c>
      <c r="T144" t="s">
        <v>701</v>
      </c>
      <c r="Z144" s="13" t="s">
        <v>738</v>
      </c>
    </row>
    <row r="145" spans="1:26">
      <c r="A145" s="13" t="s">
        <v>479</v>
      </c>
      <c r="B145" s="16" t="s">
        <v>13</v>
      </c>
      <c r="C145" s="96">
        <f t="shared" si="97"/>
        <v>0</v>
      </c>
      <c r="D145" s="96">
        <f t="shared" si="97"/>
        <v>0.64607167138109955</v>
      </c>
      <c r="E145" s="96">
        <f t="shared" si="97"/>
        <v>0.6933249840132969</v>
      </c>
      <c r="F145" s="96">
        <f t="shared" si="97"/>
        <v>0.69696169110877759</v>
      </c>
      <c r="G145" s="96">
        <f t="shared" si="97"/>
        <v>0.70438228908586886</v>
      </c>
      <c r="H145" s="753">
        <f t="shared" si="97"/>
        <v>0.61937386931443006</v>
      </c>
      <c r="I145" s="753">
        <f t="shared" ref="I145:J145" si="100">I113/I$4</f>
        <v>0.69811934654156105</v>
      </c>
      <c r="J145" s="753">
        <f t="shared" si="100"/>
        <v>0.75988963712727819</v>
      </c>
      <c r="L145" s="401">
        <f>INDEX($A$138:$J$167,MATCH(A145,$A$138:$A$167,0),MATCH(Mælaborð!$D$4,Reykjavík!$A$138:$J$138,0))</f>
        <v>0.75988963712727819</v>
      </c>
      <c r="P145" t="s">
        <v>711</v>
      </c>
      <c r="Q145" t="s">
        <v>718</v>
      </c>
      <c r="T145" t="s">
        <v>702</v>
      </c>
      <c r="Z145" s="13" t="s">
        <v>740</v>
      </c>
    </row>
    <row r="146" spans="1:26">
      <c r="A146" s="13" t="s">
        <v>106</v>
      </c>
      <c r="B146" s="16" t="s">
        <v>13</v>
      </c>
      <c r="C146" s="96">
        <f t="shared" si="97"/>
        <v>0</v>
      </c>
      <c r="D146" s="96">
        <f t="shared" si="97"/>
        <v>0.32677947554303449</v>
      </c>
      <c r="E146" s="96">
        <f t="shared" si="97"/>
        <v>0.29171230429385125</v>
      </c>
      <c r="F146" s="96">
        <f t="shared" si="97"/>
        <v>0.32947233335977977</v>
      </c>
      <c r="G146" s="96">
        <f t="shared" si="97"/>
        <v>0.39655689210438455</v>
      </c>
      <c r="H146" s="753">
        <f t="shared" si="97"/>
        <v>0.28651396875000001</v>
      </c>
      <c r="I146" s="753">
        <f t="shared" ref="I146:J146" si="101">I114/I$4</f>
        <v>0.26684351127853401</v>
      </c>
      <c r="J146" s="753">
        <f t="shared" si="101"/>
        <v>0.38752874240905605</v>
      </c>
      <c r="L146" s="401">
        <f>INDEX($A$138:$J$167,MATCH(A146,$A$138:$A$167,0),MATCH(Mælaborð!$D$4,Reykjavík!$A$138:$J$138,0))</f>
        <v>0.38752874240905605</v>
      </c>
      <c r="P146" t="s">
        <v>712</v>
      </c>
      <c r="T146" t="s">
        <v>703</v>
      </c>
      <c r="Z146" s="13" t="s">
        <v>711</v>
      </c>
    </row>
    <row r="147" spans="1:26">
      <c r="A147" s="13" t="s">
        <v>107</v>
      </c>
      <c r="B147" s="16" t="s">
        <v>13</v>
      </c>
      <c r="C147" s="96">
        <f t="shared" si="97"/>
        <v>0</v>
      </c>
      <c r="D147" s="96">
        <f t="shared" si="97"/>
        <v>4.4101878318309307E-2</v>
      </c>
      <c r="E147" s="96">
        <f t="shared" si="97"/>
        <v>3.8884388909990221E-2</v>
      </c>
      <c r="F147" s="96">
        <f t="shared" si="97"/>
        <v>5.8119077707623659E-2</v>
      </c>
      <c r="G147" s="96">
        <f t="shared" si="97"/>
        <v>5.3863162363529948E-2</v>
      </c>
      <c r="H147" s="753">
        <f t="shared" si="97"/>
        <v>3.4640054991827991E-2</v>
      </c>
      <c r="I147" s="753">
        <f t="shared" ref="I147" si="102">I115/I$4</f>
        <v>5.0268503933327262E-2</v>
      </c>
      <c r="J147" s="753">
        <f>J115/J$4</f>
        <v>4.3770831656229178E-2</v>
      </c>
      <c r="L147" s="401">
        <f>INDEX($A$138:$J$167,MATCH(A147,$A$138:$A$167,0),MATCH(Mælaborð!$D$4,Reykjavík!$A$138:$J$138,0))</f>
        <v>4.3770831656229178E-2</v>
      </c>
      <c r="Z147" s="13" t="s">
        <v>712</v>
      </c>
    </row>
    <row r="148" spans="1:26">
      <c r="A148" s="13" t="s">
        <v>32</v>
      </c>
      <c r="B148" s="16" t="s">
        <v>13</v>
      </c>
      <c r="C148" s="96">
        <f t="shared" ref="C148:H148" si="103">C121/C$4</f>
        <v>0</v>
      </c>
      <c r="D148" s="96">
        <f t="shared" si="103"/>
        <v>0.49817597827805332</v>
      </c>
      <c r="E148" s="96">
        <f t="shared" si="103"/>
        <v>0.56397192368265281</v>
      </c>
      <c r="F148" s="96">
        <f t="shared" si="103"/>
        <v>0.55215321589764332</v>
      </c>
      <c r="G148" s="96">
        <f t="shared" si="103"/>
        <v>0.49151378845448457</v>
      </c>
      <c r="H148" s="753">
        <f t="shared" si="103"/>
        <v>0.4074154981962651</v>
      </c>
      <c r="I148" s="753">
        <f t="shared" ref="I148" si="104">I121/I$4</f>
        <v>0.40441994530573749</v>
      </c>
      <c r="J148" s="753">
        <f>J121/J$4</f>
        <v>0.33870953343769161</v>
      </c>
      <c r="L148" s="401">
        <f>INDEX($A$138:$J$167,MATCH(A148,$A$138:$A$167,0),MATCH(Mælaborð!$D$4,Reykjavík!$A$138:$J$138,0))</f>
        <v>0.33870953343769161</v>
      </c>
      <c r="Z148" s="13" t="s">
        <v>713</v>
      </c>
    </row>
    <row r="149" spans="1:26">
      <c r="A149" s="13" t="s">
        <v>108</v>
      </c>
      <c r="B149" s="16" t="s">
        <v>13</v>
      </c>
      <c r="C149" s="96">
        <f t="shared" ref="C149:H152" si="105">C117/C$4</f>
        <v>0.36853642704810513</v>
      </c>
      <c r="D149" s="96">
        <f t="shared" si="105"/>
        <v>0.40932563467497535</v>
      </c>
      <c r="E149" s="96">
        <f t="shared" si="105"/>
        <v>0.47590551858206237</v>
      </c>
      <c r="F149" s="96">
        <f t="shared" si="105"/>
        <v>0.46390796302720499</v>
      </c>
      <c r="G149" s="96">
        <f t="shared" si="105"/>
        <v>0.40879440124151456</v>
      </c>
      <c r="H149" s="753">
        <f t="shared" si="105"/>
        <v>0.32052030834722645</v>
      </c>
      <c r="I149" s="753">
        <f t="shared" ref="I149" si="106">I117/I$4</f>
        <v>0.30329727611095114</v>
      </c>
      <c r="J149" s="753">
        <f>J117/J$4</f>
        <v>0.23493712534376512</v>
      </c>
      <c r="L149" s="401">
        <f>INDEX($A$138:$J$167,MATCH(A149,$A$138:$A$167,0),MATCH(Mælaborð!$D$4,Reykjavík!$A$138:$J$138,0))</f>
        <v>0.23493712534376512</v>
      </c>
      <c r="Z149" s="13" t="s">
        <v>714</v>
      </c>
    </row>
    <row r="150" spans="1:26">
      <c r="A150" s="13" t="s">
        <v>55</v>
      </c>
      <c r="B150" s="16" t="s">
        <v>13</v>
      </c>
      <c r="C150" s="96">
        <f t="shared" si="105"/>
        <v>0</v>
      </c>
      <c r="D150" s="96">
        <f t="shared" si="105"/>
        <v>0</v>
      </c>
      <c r="E150" s="96">
        <f t="shared" si="105"/>
        <v>0</v>
      </c>
      <c r="F150" s="96">
        <f t="shared" si="105"/>
        <v>0</v>
      </c>
      <c r="G150" s="96">
        <f t="shared" si="105"/>
        <v>0</v>
      </c>
      <c r="H150" s="753">
        <f t="shared" si="105"/>
        <v>1.5516197071167449E-3</v>
      </c>
      <c r="I150" s="753">
        <f t="shared" ref="I150" si="107">I118/I$4</f>
        <v>1.3103208931851462E-2</v>
      </c>
      <c r="J150" s="753">
        <f>J118/J$4</f>
        <v>1.9224361904603592E-2</v>
      </c>
      <c r="L150" s="401">
        <f>INDEX($A$138:$J$167,MATCH(A150,$A$138:$A$167,0),MATCH(Mælaborð!$D$4,Reykjavík!$A$138:$J$138,0))</f>
        <v>1.9224361904603592E-2</v>
      </c>
      <c r="Z150" s="13" t="s">
        <v>716</v>
      </c>
    </row>
    <row r="151" spans="1:26">
      <c r="A151" s="13" t="s">
        <v>109</v>
      </c>
      <c r="B151" s="16" t="s">
        <v>13</v>
      </c>
      <c r="C151" s="96">
        <f t="shared" si="105"/>
        <v>0</v>
      </c>
      <c r="D151" s="96">
        <f t="shared" si="105"/>
        <v>2.3692379878211635E-2</v>
      </c>
      <c r="E151" s="96">
        <f t="shared" si="105"/>
        <v>2.4417997386689098E-2</v>
      </c>
      <c r="F151" s="96">
        <f t="shared" si="105"/>
        <v>2.3697586558146702E-2</v>
      </c>
      <c r="G151" s="96">
        <f t="shared" si="105"/>
        <v>2.1232074274649446E-2</v>
      </c>
      <c r="H151" s="753">
        <f t="shared" si="105"/>
        <v>2.1727962704852038E-2</v>
      </c>
      <c r="I151" s="753">
        <f t="shared" ref="I151" si="108">I119/I$4</f>
        <v>2.4558279665673328E-2</v>
      </c>
      <c r="J151" s="753">
        <f>J119/J$4</f>
        <v>2.189262740613851E-2</v>
      </c>
      <c r="L151" s="401">
        <f>INDEX($A$138:$J$167,MATCH(A151,$A$138:$A$167,0),MATCH(Mælaborð!$D$4,Reykjavík!$A$138:$J$138,0))</f>
        <v>2.189262740613851E-2</v>
      </c>
      <c r="Z151" s="13" t="s">
        <v>717</v>
      </c>
    </row>
    <row r="152" spans="1:26">
      <c r="A152" s="13" t="s">
        <v>57</v>
      </c>
      <c r="B152" s="16" t="s">
        <v>13</v>
      </c>
      <c r="C152" s="96">
        <f t="shared" si="105"/>
        <v>6.63201593978473E-2</v>
      </c>
      <c r="D152" s="96">
        <f t="shared" si="105"/>
        <v>6.5157963724866361E-2</v>
      </c>
      <c r="E152" s="96">
        <f t="shared" si="105"/>
        <v>6.3648407713901387E-2</v>
      </c>
      <c r="F152" s="96">
        <f t="shared" si="105"/>
        <v>6.454766631229153E-2</v>
      </c>
      <c r="G152" s="96">
        <f t="shared" si="105"/>
        <v>6.1487312938320569E-2</v>
      </c>
      <c r="H152" s="753">
        <f t="shared" si="105"/>
        <v>6.3615607437069885E-2</v>
      </c>
      <c r="I152" s="753">
        <f t="shared" ref="I152" si="109">I120/I$4</f>
        <v>6.3461180597261593E-2</v>
      </c>
      <c r="J152" s="753">
        <f>J120/J$4</f>
        <v>6.2655418783184383E-2</v>
      </c>
      <c r="L152" s="401">
        <f>INDEX($A$138:$J$167,MATCH(A152,$A$138:$A$167,0),MATCH(Mælaborð!$D$4,Reykjavík!$A$138:$J$138,0))</f>
        <v>6.2655418783184383E-2</v>
      </c>
      <c r="Z152" s="13" t="s">
        <v>718</v>
      </c>
    </row>
    <row r="153" spans="1:26">
      <c r="A153" s="13" t="s">
        <v>495</v>
      </c>
      <c r="B153" s="16" t="s">
        <v>13</v>
      </c>
      <c r="C153" s="96">
        <f t="shared" ref="C153:H153" si="110">C124/C$4</f>
        <v>0</v>
      </c>
      <c r="D153" s="96">
        <f t="shared" si="110"/>
        <v>0.38585376400246674</v>
      </c>
      <c r="E153" s="96">
        <f t="shared" si="110"/>
        <v>0.3867666283939874</v>
      </c>
      <c r="F153" s="96">
        <f t="shared" si="110"/>
        <v>0.37379602264282058</v>
      </c>
      <c r="G153" s="96">
        <f t="shared" si="110"/>
        <v>0.36595161382028424</v>
      </c>
      <c r="H153" s="753">
        <f t="shared" si="110"/>
        <v>0.36659974778796872</v>
      </c>
      <c r="I153" s="753">
        <f t="shared" ref="I153" si="111">I124/I$4</f>
        <v>0.3607635357754711</v>
      </c>
      <c r="J153" s="753">
        <f>J124/J$4</f>
        <v>0.35365921855302407</v>
      </c>
      <c r="L153" s="401">
        <f>INDEX($A$138:$J$167,MATCH(A153,$A$138:$A$167,0),MATCH(Mælaborð!$D$4,Reykjavík!$A$138:$J$138,0))</f>
        <v>0.35365921855302407</v>
      </c>
      <c r="Z153" s="13" t="s">
        <v>741</v>
      </c>
    </row>
    <row r="154" spans="1:26">
      <c r="A154" s="13" t="s">
        <v>546</v>
      </c>
      <c r="B154" s="16" t="s">
        <v>13</v>
      </c>
      <c r="C154" s="96">
        <f t="shared" ref="C154:H155" si="112">C122/C$4</f>
        <v>0</v>
      </c>
      <c r="D154" s="96">
        <f t="shared" si="112"/>
        <v>1.4940812834738523E-2</v>
      </c>
      <c r="E154" s="96">
        <f t="shared" si="112"/>
        <v>1.8219170464318261E-2</v>
      </c>
      <c r="F154" s="96">
        <f t="shared" si="112"/>
        <v>1.3421223966199483E-2</v>
      </c>
      <c r="G154" s="96">
        <f t="shared" si="112"/>
        <v>1.3277167227689885E-2</v>
      </c>
      <c r="H154" s="753">
        <f t="shared" si="112"/>
        <v>2.0226516943654446E-2</v>
      </c>
      <c r="I154" s="753">
        <f t="shared" ref="I154" si="113">I122/I$4</f>
        <v>1.9916182441437422E-2</v>
      </c>
      <c r="J154" s="753">
        <f>J122/J$4</f>
        <v>1.8905961079997691E-2</v>
      </c>
      <c r="L154" s="401">
        <f>INDEX($A$138:$J$167,MATCH(A154,$A$138:$A$167,0),MATCH(Mælaborð!$D$4,Reykjavík!$A$138:$J$138,0))</f>
        <v>1.8905961079997691E-2</v>
      </c>
      <c r="Z154" s="13" t="s">
        <v>720</v>
      </c>
    </row>
    <row r="155" spans="1:26">
      <c r="A155" s="13" t="s">
        <v>111</v>
      </c>
      <c r="B155" s="16" t="s">
        <v>13</v>
      </c>
      <c r="C155" s="96">
        <f t="shared" si="112"/>
        <v>0</v>
      </c>
      <c r="D155" s="96">
        <f t="shared" si="112"/>
        <v>0.37091295116772821</v>
      </c>
      <c r="E155" s="96">
        <f t="shared" si="112"/>
        <v>0.36854745792966914</v>
      </c>
      <c r="F155" s="96">
        <f t="shared" si="112"/>
        <v>0.36037479867662109</v>
      </c>
      <c r="G155" s="96">
        <f t="shared" si="112"/>
        <v>0.35267444659259434</v>
      </c>
      <c r="H155" s="753">
        <f t="shared" si="112"/>
        <v>0.34637323084431432</v>
      </c>
      <c r="I155" s="753">
        <f t="shared" ref="I155:J155" si="114">I123/I$4</f>
        <v>0.34084735333403371</v>
      </c>
      <c r="J155" s="753">
        <f t="shared" si="114"/>
        <v>0.33475325747302637</v>
      </c>
      <c r="L155" s="401">
        <f>INDEX($A$138:$J$167,MATCH(A155,$A$138:$A$167,0),MATCH(Mælaborð!$D$4,Reykjavík!$A$138:$J$138,0))</f>
        <v>0.33475325747302637</v>
      </c>
      <c r="Z155" s="13" t="s">
        <v>721</v>
      </c>
    </row>
    <row r="156" spans="1:26">
      <c r="A156" s="13" t="s">
        <v>547</v>
      </c>
      <c r="B156" s="16" t="s">
        <v>13</v>
      </c>
      <c r="C156" s="96">
        <f t="shared" ref="C156:H156" si="115">C130/C$4</f>
        <v>0</v>
      </c>
      <c r="D156" s="96">
        <f t="shared" si="115"/>
        <v>0.94846314231028805</v>
      </c>
      <c r="E156" s="96">
        <f t="shared" si="115"/>
        <v>0.91939977755856961</v>
      </c>
      <c r="F156" s="96">
        <f t="shared" si="115"/>
        <v>1.2041866341824998</v>
      </c>
      <c r="G156" s="96">
        <f t="shared" si="115"/>
        <v>1.2715951915477419</v>
      </c>
      <c r="H156" s="753">
        <f t="shared" si="115"/>
        <v>1.4118015927193133</v>
      </c>
      <c r="I156" s="753">
        <f t="shared" ref="I156:J156" si="116">I130/I$4</f>
        <v>1.5110363986586774</v>
      </c>
      <c r="J156" s="753">
        <f t="shared" si="116"/>
        <v>1.4967996162042811</v>
      </c>
      <c r="L156" s="401">
        <f>INDEX($A$138:$J$167,MATCH(A156,$A$138:$A$167,0),MATCH(Mælaborð!$D$4,Reykjavík!$A$138:$J$138,0))</f>
        <v>1.4967996162042811</v>
      </c>
      <c r="Z156" s="13" t="s">
        <v>722</v>
      </c>
    </row>
    <row r="157" spans="1:26">
      <c r="A157" s="13" t="s">
        <v>48</v>
      </c>
      <c r="B157" s="16" t="s">
        <v>13</v>
      </c>
      <c r="C157" s="96">
        <f t="shared" ref="C157:H157" si="117">C125/C$4</f>
        <v>0</v>
      </c>
      <c r="D157" s="96">
        <f t="shared" si="117"/>
        <v>0.35598286124092177</v>
      </c>
      <c r="E157" s="96">
        <f t="shared" si="117"/>
        <v>0.24531911590778971</v>
      </c>
      <c r="F157" s="96">
        <f t="shared" si="117"/>
        <v>0.34238796735245053</v>
      </c>
      <c r="G157" s="96">
        <f t="shared" si="117"/>
        <v>0.32546084519587337</v>
      </c>
      <c r="H157" s="753">
        <f t="shared" si="117"/>
        <v>0.31119174999262378</v>
      </c>
      <c r="I157" s="753">
        <f t="shared" ref="I157:J158" si="118">I125/I$4</f>
        <v>0.33771020078987846</v>
      </c>
      <c r="J157" s="753">
        <f t="shared" si="118"/>
        <v>0.2907553123511093</v>
      </c>
      <c r="L157" s="401">
        <f>INDEX($A$138:$J$167,MATCH(A157,$A$138:$A$167,0),MATCH(Mælaborð!$D$4,Reykjavík!$A$138:$J$138,0))</f>
        <v>0.2907553123511093</v>
      </c>
      <c r="Z157" s="13" t="s">
        <v>723</v>
      </c>
    </row>
    <row r="158" spans="1:26">
      <c r="A158" s="13" t="s">
        <v>113</v>
      </c>
      <c r="B158" s="16" t="s">
        <v>13</v>
      </c>
      <c r="C158" s="96">
        <f>C126/C$4</f>
        <v>0.21773938081791466</v>
      </c>
      <c r="D158" s="96">
        <f t="shared" ref="D158:H158" si="119">D126/D$4</f>
        <v>0.25666464486362894</v>
      </c>
      <c r="E158" s="96">
        <f t="shared" si="119"/>
        <v>0.31195232997419792</v>
      </c>
      <c r="F158" s="96">
        <f t="shared" si="119"/>
        <v>0.39339323497909412</v>
      </c>
      <c r="G158" s="96">
        <f t="shared" si="119"/>
        <v>0.45164458829284199</v>
      </c>
      <c r="H158" s="753">
        <f t="shared" si="119"/>
        <v>0.52877017012872141</v>
      </c>
      <c r="I158" s="753">
        <f t="shared" si="118"/>
        <v>0.56154954908375987</v>
      </c>
      <c r="J158" s="753">
        <f t="shared" si="118"/>
        <v>0.57789252905644073</v>
      </c>
      <c r="L158" s="401">
        <f>INDEX($A$138:$J$167,MATCH(A158,$A$138:$A$167,0),MATCH(Mælaborð!$D$4,Reykjavík!$A$138:$J$138,0))</f>
        <v>0.57789252905644073</v>
      </c>
      <c r="Z158" s="13" t="s">
        <v>742</v>
      </c>
    </row>
    <row r="159" spans="1:26">
      <c r="A159" s="13" t="s">
        <v>685</v>
      </c>
      <c r="B159" s="16" t="s">
        <v>13</v>
      </c>
      <c r="C159" s="96">
        <f>C127/C$4</f>
        <v>2.8762739078327396E-2</v>
      </c>
      <c r="D159" s="96">
        <f t="shared" ref="D159:H160" si="120">D127/D$4</f>
        <v>3.3904653274538628E-2</v>
      </c>
      <c r="E159" s="96">
        <f t="shared" si="120"/>
        <v>4.1207995715885307E-2</v>
      </c>
      <c r="F159" s="96">
        <f t="shared" si="120"/>
        <v>5.1966102458723747E-2</v>
      </c>
      <c r="G159" s="96">
        <f t="shared" si="120"/>
        <v>5.9660936852158113E-2</v>
      </c>
      <c r="H159" s="753">
        <f t="shared" si="120"/>
        <v>6.9849001952171794E-2</v>
      </c>
      <c r="I159" s="753">
        <f t="shared" ref="I159:J160" si="121">I127/I$4</f>
        <v>7.4179062598490206E-2</v>
      </c>
      <c r="J159" s="753">
        <f t="shared" si="121"/>
        <v>7.6337922731878963E-2</v>
      </c>
      <c r="L159" s="401">
        <f>INDEX($A$138:$J$167,MATCH(A159,$A$138:$A$167,0),MATCH(Mælaborð!$D$4,Reykjavík!$A$138:$J$138,0))</f>
        <v>7.6337922731878963E-2</v>
      </c>
      <c r="Z159" s="13" t="s">
        <v>743</v>
      </c>
    </row>
    <row r="160" spans="1:26">
      <c r="A160" s="13" t="s">
        <v>684</v>
      </c>
      <c r="B160" s="16"/>
      <c r="C160" s="96">
        <f>C128/C$4</f>
        <v>0.18897664173958725</v>
      </c>
      <c r="D160" s="96">
        <f t="shared" si="120"/>
        <v>0.22275999158909029</v>
      </c>
      <c r="E160" s="96">
        <f t="shared" si="120"/>
        <v>0.27074433425831262</v>
      </c>
      <c r="F160" s="96">
        <f t="shared" si="120"/>
        <v>0.34142713252037038</v>
      </c>
      <c r="G160" s="96">
        <f t="shared" si="120"/>
        <v>0.39198365144068387</v>
      </c>
      <c r="H160" s="753">
        <f t="shared" si="120"/>
        <v>0.45892116817654954</v>
      </c>
      <c r="I160" s="753">
        <f t="shared" si="121"/>
        <v>0.4873704864852697</v>
      </c>
      <c r="J160" s="753">
        <f t="shared" si="121"/>
        <v>0.50155460632456172</v>
      </c>
      <c r="L160" s="401">
        <f>INDEX($A$138:$J$167,MATCH(A160,$A$138:$A$167,0),MATCH(Mælaborð!$D$4,Reykjavík!$A$138:$J$138,0))</f>
        <v>0.50155460632456172</v>
      </c>
      <c r="Z160" s="13" t="s">
        <v>724</v>
      </c>
    </row>
    <row r="161" spans="1:26">
      <c r="A161" s="13" t="s">
        <v>578</v>
      </c>
      <c r="B161" s="16" t="s">
        <v>13</v>
      </c>
      <c r="C161" s="96">
        <f t="shared" ref="C161:H161" si="122">C129/C$4</f>
        <v>0</v>
      </c>
      <c r="D161" s="96">
        <f t="shared" si="122"/>
        <v>7.9150991342108498E-2</v>
      </c>
      <c r="E161" s="96">
        <f t="shared" si="122"/>
        <v>5.0176001702384225E-2</v>
      </c>
      <c r="F161" s="96">
        <f t="shared" si="122"/>
        <v>7.50121968718611E-2</v>
      </c>
      <c r="G161" s="96">
        <f t="shared" si="122"/>
        <v>4.2845169766184583E-2</v>
      </c>
      <c r="H161" s="753">
        <f t="shared" si="122"/>
        <v>4.3069502469246762E-2</v>
      </c>
      <c r="I161" s="753">
        <f t="shared" ref="I161:J161" si="123">I129/I$4</f>
        <v>5.022709970127924E-2</v>
      </c>
      <c r="J161" s="753">
        <f t="shared" si="123"/>
        <v>5.0259245740290226E-2</v>
      </c>
      <c r="L161" s="401">
        <f>INDEX($A$138:$J$167,MATCH(A161,$A$138:$A$167,0),MATCH(Mælaborð!$D$4,Reykjavík!$A$138:$J$138,0))</f>
        <v>5.0259245740290226E-2</v>
      </c>
      <c r="Z161" s="13" t="s">
        <v>725</v>
      </c>
    </row>
    <row r="162" spans="1:26">
      <c r="A162" s="13" t="s">
        <v>548</v>
      </c>
      <c r="B162" s="16" t="s">
        <v>13</v>
      </c>
      <c r="C162" s="96">
        <f t="shared" ref="C162:H162" si="124">C131/C$4</f>
        <v>0</v>
      </c>
      <c r="D162" s="96">
        <f t="shared" si="124"/>
        <v>3.6404480354616529</v>
      </c>
      <c r="E162" s="96">
        <f t="shared" si="124"/>
        <v>3.8536437749489121</v>
      </c>
      <c r="F162" s="96">
        <f t="shared" si="124"/>
        <v>3.9046136958318352</v>
      </c>
      <c r="G162" s="96">
        <f t="shared" si="124"/>
        <v>3.8948831520219258</v>
      </c>
      <c r="H162" s="753">
        <f t="shared" si="124"/>
        <v>3.3856416677240526</v>
      </c>
      <c r="I162" s="753">
        <f t="shared" ref="I162:J162" si="125">I131/I$4</f>
        <v>3.525381663530053</v>
      </c>
      <c r="J162" s="753">
        <f t="shared" si="125"/>
        <v>3.5382085684059814</v>
      </c>
      <c r="L162" s="401">
        <f>INDEX($A$138:$J$167,MATCH(A162,$A$138:$A$167,0),MATCH(Mælaborð!$D$4,Reykjavík!$A$138:$J$138,0))</f>
        <v>3.5382085684059814</v>
      </c>
      <c r="Z162" s="13" t="s">
        <v>548</v>
      </c>
    </row>
    <row r="163" spans="1:26">
      <c r="A163" s="13" t="s">
        <v>549</v>
      </c>
      <c r="B163" s="16" t="s">
        <v>13</v>
      </c>
      <c r="C163" s="96">
        <f t="shared" ref="C163:H163" si="126">C132/C$4</f>
        <v>0</v>
      </c>
      <c r="D163" s="96">
        <f t="shared" si="126"/>
        <v>4.3822846607050412</v>
      </c>
      <c r="E163" s="96">
        <f t="shared" si="126"/>
        <v>4.4857295192506896</v>
      </c>
      <c r="F163" s="96">
        <f t="shared" si="126"/>
        <v>4.6227171234445432</v>
      </c>
      <c r="G163" s="96">
        <f t="shared" si="126"/>
        <v>4.5880350755834511</v>
      </c>
      <c r="H163" s="753">
        <f t="shared" si="126"/>
        <v>4.0656707461536943</v>
      </c>
      <c r="I163" s="753">
        <f t="shared" ref="I163:J163" si="127">I132/I$4</f>
        <v>4.2259143894698692</v>
      </c>
      <c r="J163" s="753">
        <f t="shared" si="127"/>
        <v>4.184764695029707</v>
      </c>
      <c r="L163" s="401">
        <f>INDEX($A$138:$J$167,MATCH(A163,$A$138:$A$167,0),MATCH(Mælaborð!$D$4,Reykjavík!$A$138:$J$138,0))</f>
        <v>4.184764695029707</v>
      </c>
      <c r="Z163" s="13" t="s">
        <v>549</v>
      </c>
    </row>
    <row r="164" spans="1:26">
      <c r="A164" s="13" t="s">
        <v>550</v>
      </c>
      <c r="B164" s="16" t="s">
        <v>13</v>
      </c>
      <c r="C164" s="96">
        <f t="shared" ref="C164:H164" si="128">C133/C$4</f>
        <v>0</v>
      </c>
      <c r="D164" s="96">
        <f t="shared" si="128"/>
        <v>4.6841956436362402</v>
      </c>
      <c r="E164" s="96">
        <f t="shared" si="128"/>
        <v>4.8066498552113863</v>
      </c>
      <c r="F164" s="96">
        <f t="shared" si="128"/>
        <v>5.0391564528367754</v>
      </c>
      <c r="G164" s="96">
        <f t="shared" si="128"/>
        <v>5.0228638967903194</v>
      </c>
      <c r="H164" s="753">
        <f t="shared" si="128"/>
        <v>4.5676614167994911</v>
      </c>
      <c r="I164" s="753">
        <f t="shared" ref="I164:J164" si="129">I133/I$4</f>
        <v>4.7635119756564182</v>
      </c>
      <c r="J164" s="753">
        <f t="shared" si="129"/>
        <v>4.7365785470945587</v>
      </c>
      <c r="L164" s="401">
        <f>INDEX($A$138:$J$167,MATCH(A164,$A$138:$A$167,0),MATCH(Mælaborð!$D$4,Reykjavík!$A$138:$J$138,0))</f>
        <v>4.7365785470945587</v>
      </c>
      <c r="Z164" s="13" t="s">
        <v>550</v>
      </c>
    </row>
    <row r="165" spans="1:26">
      <c r="A165" s="1" t="s">
        <v>3</v>
      </c>
      <c r="B165" s="16" t="s">
        <v>13</v>
      </c>
      <c r="C165" s="96">
        <f>C134/C$4</f>
        <v>0</v>
      </c>
      <c r="D165" s="96">
        <f t="shared" ref="D165:H165" si="130">D134/D$4</f>
        <v>4.2073886760559223</v>
      </c>
      <c r="E165" s="96">
        <f t="shared" si="130"/>
        <v>4.9032030606223538</v>
      </c>
      <c r="F165" s="96">
        <f t="shared" si="130"/>
        <v>5.2352191053100592</v>
      </c>
      <c r="G165" s="96">
        <f t="shared" si="130"/>
        <v>5.2865625571581472</v>
      </c>
      <c r="H165" s="753">
        <f t="shared" si="130"/>
        <v>4.8813783944116098</v>
      </c>
      <c r="I165" s="753">
        <f>I134/I$4</f>
        <v>4.0213027256548486</v>
      </c>
      <c r="J165" s="753">
        <f>J134/J$4</f>
        <v>3.9742028276613017</v>
      </c>
      <c r="L165" s="401">
        <f>INDEX($A$138:$J$167,MATCH(A165,$A$138:$A$167,0),MATCH(Mælaborð!$D$4,Reykjavík!$A$138:$J$138,0))</f>
        <v>3.9742028276613017</v>
      </c>
      <c r="Z165" s="1" t="s">
        <v>701</v>
      </c>
    </row>
    <row r="166" spans="1:26">
      <c r="A166" s="1" t="s">
        <v>14</v>
      </c>
      <c r="B166" s="16" t="s">
        <v>13</v>
      </c>
      <c r="C166" s="96">
        <f t="shared" ref="C166:H166" si="131">C135/C$4</f>
        <v>0</v>
      </c>
      <c r="D166" s="96">
        <f t="shared" si="131"/>
        <v>0.19644994283847789</v>
      </c>
      <c r="E166" s="96">
        <f t="shared" si="131"/>
        <v>0.19098112717654123</v>
      </c>
      <c r="F166" s="96">
        <f t="shared" si="131"/>
        <v>0.17363299594766388</v>
      </c>
      <c r="G166" s="96">
        <f t="shared" si="131"/>
        <v>0.16671385365036603</v>
      </c>
      <c r="H166" s="753">
        <f t="shared" si="131"/>
        <v>0.19332522981174957</v>
      </c>
      <c r="I166" s="753">
        <f t="shared" ref="I166:J166" si="132">I135/I$4</f>
        <v>0.17799439477488097</v>
      </c>
      <c r="J166" s="753">
        <f t="shared" si="132"/>
        <v>0.18652764424267437</v>
      </c>
      <c r="L166" s="401">
        <f>INDEX($A$138:$J$167,MATCH(A166,$A$138:$A$167,0),MATCH(Mælaborð!$D$4,Reykjavík!$A$138:$J$138,0))</f>
        <v>0.18652764424267437</v>
      </c>
      <c r="Z166" s="1" t="s">
        <v>702</v>
      </c>
    </row>
    <row r="167" spans="1:26">
      <c r="A167" s="1" t="s">
        <v>5</v>
      </c>
      <c r="B167" s="16" t="s">
        <v>13</v>
      </c>
      <c r="C167" s="96">
        <f t="shared" ref="C167:H167" si="133">C136/C$4</f>
        <v>0</v>
      </c>
      <c r="D167" s="96">
        <f t="shared" si="133"/>
        <v>5.7597033152750263E-2</v>
      </c>
      <c r="E167" s="96">
        <f t="shared" si="133"/>
        <v>6.5625993102574401E-2</v>
      </c>
      <c r="F167" s="96">
        <f t="shared" si="133"/>
        <v>7.7583126634308441E-2</v>
      </c>
      <c r="G167" s="96">
        <f t="shared" si="133"/>
        <v>8.2632475672175631E-2</v>
      </c>
      <c r="H167" s="753">
        <f t="shared" si="133"/>
        <v>9.3814545306072084E-2</v>
      </c>
      <c r="I167" s="753">
        <f t="shared" ref="I167:J167" si="134">I136/I$4</f>
        <v>0.56421485522668935</v>
      </c>
      <c r="J167" s="753">
        <f t="shared" si="134"/>
        <v>0.57584807519058245</v>
      </c>
      <c r="L167" s="401">
        <f>INDEX($A$138:$J$167,MATCH(A167,$A$138:$A$167,0),MATCH(Mælaborð!$D$4,Reykjavík!$A$138:$J$138,0))</f>
        <v>0.57584807519058245</v>
      </c>
      <c r="Z167" s="1" t="s">
        <v>703</v>
      </c>
    </row>
    <row r="168" spans="1:26">
      <c r="A168" s="1"/>
      <c r="B168" s="2"/>
      <c r="C168" s="3"/>
      <c r="D168" s="3"/>
      <c r="E168" s="3"/>
      <c r="F168" s="3"/>
      <c r="G168" s="3"/>
      <c r="H168" s="3"/>
      <c r="I168" s="3"/>
      <c r="J168" s="3"/>
    </row>
    <row r="169" spans="1:26">
      <c r="A169" s="1"/>
      <c r="B169" s="2"/>
      <c r="C169" s="3"/>
      <c r="D169" s="3"/>
      <c r="E169" s="3"/>
      <c r="F169" s="3"/>
      <c r="G169" s="3"/>
      <c r="H169" s="3"/>
      <c r="I169" s="3"/>
      <c r="J169" s="3"/>
    </row>
    <row r="170" spans="1:26">
      <c r="A170" s="6" t="s">
        <v>620</v>
      </c>
      <c r="B170" s="4" t="s">
        <v>0</v>
      </c>
      <c r="C170" s="5">
        <v>2015</v>
      </c>
      <c r="D170" s="5">
        <v>2016</v>
      </c>
      <c r="E170" s="5">
        <v>2017</v>
      </c>
      <c r="F170" s="5">
        <v>2018</v>
      </c>
      <c r="G170" s="5">
        <v>2019</v>
      </c>
      <c r="H170" s="5">
        <v>2020</v>
      </c>
      <c r="I170" s="5">
        <v>2021</v>
      </c>
      <c r="J170" s="5">
        <v>2022</v>
      </c>
      <c r="L170">
        <f>Mælaborð!$D$4</f>
        <v>2022</v>
      </c>
    </row>
    <row r="171" spans="1:26">
      <c r="A171" s="13" t="str">
        <f>A110</f>
        <v>Orkunotkun</v>
      </c>
      <c r="B171" s="16" t="str">
        <f t="shared" ref="B171:G171" si="135">B110</f>
        <v>tCO2Í</v>
      </c>
      <c r="C171" s="31">
        <f t="shared" si="135"/>
        <v>0</v>
      </c>
      <c r="D171" s="32">
        <f t="shared" si="135"/>
        <v>24057.260000000002</v>
      </c>
      <c r="E171" s="32">
        <f t="shared" si="135"/>
        <v>23537.66</v>
      </c>
      <c r="F171" s="32">
        <f t="shared" si="135"/>
        <v>21884.876442239503</v>
      </c>
      <c r="G171" s="32">
        <f t="shared" si="135"/>
        <v>21471.577353191591</v>
      </c>
      <c r="H171" s="738">
        <f>H110</f>
        <v>25351.897336593593</v>
      </c>
      <c r="I171" s="738">
        <f>I110</f>
        <v>23994.274078510429</v>
      </c>
      <c r="J171" s="738">
        <f>J110</f>
        <v>25600.151832</v>
      </c>
      <c r="L171" s="32">
        <f>L110</f>
        <v>25600.151832</v>
      </c>
    </row>
    <row r="172" spans="1:26">
      <c r="A172" s="13" t="str">
        <f>A111</f>
        <v>Fólksbifreiðar</v>
      </c>
      <c r="B172" s="16" t="str">
        <f t="shared" ref="B172:L172" si="136">B111</f>
        <v>tCO2Í</v>
      </c>
      <c r="C172" s="31">
        <f t="shared" si="136"/>
        <v>0</v>
      </c>
      <c r="D172" s="32">
        <f t="shared" si="136"/>
        <v>215949.80562994696</v>
      </c>
      <c r="E172" s="32">
        <f t="shared" si="136"/>
        <v>233231.68341519832</v>
      </c>
      <c r="F172" s="32">
        <f t="shared" si="136"/>
        <v>239772.08032304575</v>
      </c>
      <c r="G172" s="32">
        <f t="shared" si="136"/>
        <v>242474.11516524735</v>
      </c>
      <c r="H172" s="738">
        <f t="shared" si="136"/>
        <v>218748.33750437558</v>
      </c>
      <c r="I172" s="738">
        <f t="shared" ref="I172:J172" si="137">I111</f>
        <v>235315.40277824379</v>
      </c>
      <c r="J172" s="738">
        <f t="shared" si="137"/>
        <v>221880.71801834306</v>
      </c>
      <c r="L172" s="32">
        <f t="shared" si="136"/>
        <v>221880.71801834306</v>
      </c>
    </row>
    <row r="173" spans="1:26">
      <c r="A173" s="13" t="str">
        <f>A112</f>
        <v>Hópbifreiðar</v>
      </c>
      <c r="B173" s="16" t="str">
        <f t="shared" ref="B173:L173" si="138">B112</f>
        <v>tCO2Í</v>
      </c>
      <c r="C173" s="31">
        <f t="shared" si="138"/>
        <v>0</v>
      </c>
      <c r="D173" s="32">
        <f t="shared" si="138"/>
        <v>16107.539181567041</v>
      </c>
      <c r="E173" s="32">
        <f t="shared" si="138"/>
        <v>17396.581895659609</v>
      </c>
      <c r="F173" s="32">
        <f t="shared" si="138"/>
        <v>17884.42535145174</v>
      </c>
      <c r="G173" s="32">
        <f t="shared" si="138"/>
        <v>18194.119507371812</v>
      </c>
      <c r="H173" s="738">
        <f t="shared" si="138"/>
        <v>14249.07499839491</v>
      </c>
      <c r="I173" s="738">
        <f t="shared" ref="I173:J173" si="139">I112</f>
        <v>11693.29670929022</v>
      </c>
      <c r="J173" s="738">
        <f t="shared" si="139"/>
        <v>14955.122298494509</v>
      </c>
      <c r="L173" s="32">
        <f t="shared" si="138"/>
        <v>14955.122298494509</v>
      </c>
    </row>
    <row r="174" spans="1:26">
      <c r="A174" s="13" t="str">
        <f>A113</f>
        <v>Vörubifreiðar</v>
      </c>
      <c r="B174" s="16" t="str">
        <f t="shared" ref="B174:L174" si="140">B113</f>
        <v>tCO2Í</v>
      </c>
      <c r="C174" s="31">
        <f t="shared" si="140"/>
        <v>0</v>
      </c>
      <c r="D174" s="32">
        <f t="shared" si="140"/>
        <v>79117.936877329455</v>
      </c>
      <c r="E174" s="32">
        <f t="shared" si="140"/>
        <v>85449.530979702788</v>
      </c>
      <c r="F174" s="32">
        <f t="shared" si="140"/>
        <v>87845.748509041441</v>
      </c>
      <c r="G174" s="32">
        <f t="shared" si="140"/>
        <v>90719.508158236305</v>
      </c>
      <c r="H174" s="738">
        <f t="shared" si="140"/>
        <v>81222.211726417096</v>
      </c>
      <c r="I174" s="738">
        <f t="shared" ref="I174:J174" si="141">I113</f>
        <v>93032.780358821503</v>
      </c>
      <c r="J174" s="738">
        <f t="shared" si="141"/>
        <v>103107.90508252612</v>
      </c>
      <c r="L174" s="32">
        <f t="shared" si="140"/>
        <v>103107.90508252612</v>
      </c>
    </row>
    <row r="175" spans="1:26">
      <c r="A175" s="13" t="str">
        <f>A127</f>
        <v>Staðbundin eldsneytisnotkun</v>
      </c>
      <c r="B175" s="16" t="str">
        <f t="shared" ref="B175:L175" si="142">B127</f>
        <v>tCO2Í</v>
      </c>
      <c r="C175" s="31">
        <f t="shared" si="142"/>
        <v>3503.9344000000001</v>
      </c>
      <c r="D175" s="32">
        <f t="shared" si="142"/>
        <v>4151.9638400000003</v>
      </c>
      <c r="E175" s="32">
        <f t="shared" si="142"/>
        <v>5078.7206400000005</v>
      </c>
      <c r="F175" s="32">
        <f t="shared" si="142"/>
        <v>6549.85952</v>
      </c>
      <c r="G175" s="32">
        <f t="shared" si="142"/>
        <v>7683.91104</v>
      </c>
      <c r="H175" s="738">
        <f t="shared" si="142"/>
        <v>9159.7187200000008</v>
      </c>
      <c r="I175" s="738">
        <f t="shared" si="142"/>
        <v>9885.2502400000012</v>
      </c>
      <c r="J175" s="738">
        <f t="shared" ref="J175" si="143">J127</f>
        <v>10358.140059643192</v>
      </c>
      <c r="L175" s="32">
        <f t="shared" si="142"/>
        <v>10358.140059643192</v>
      </c>
    </row>
    <row r="176" spans="1:26">
      <c r="A176" s="13" t="str">
        <f>A114</f>
        <v>Skipaumferð</v>
      </c>
      <c r="B176" s="16" t="str">
        <f t="shared" ref="B176:L176" si="144">B114</f>
        <v>tCO2Í</v>
      </c>
      <c r="C176" s="31">
        <f t="shared" si="144"/>
        <v>0</v>
      </c>
      <c r="D176" s="32">
        <f t="shared" si="144"/>
        <v>40017.414575000003</v>
      </c>
      <c r="E176" s="32">
        <f t="shared" si="144"/>
        <v>35952.374654999992</v>
      </c>
      <c r="F176" s="32">
        <f t="shared" si="144"/>
        <v>41527.022368999998</v>
      </c>
      <c r="G176" s="32">
        <f t="shared" si="144"/>
        <v>51073.751804799998</v>
      </c>
      <c r="H176" s="738">
        <f t="shared" si="144"/>
        <v>37572.295806000002</v>
      </c>
      <c r="I176" s="738">
        <f t="shared" ref="I176:J176" si="145">I114</f>
        <v>35560.1</v>
      </c>
      <c r="J176" s="738">
        <f t="shared" si="145"/>
        <v>52583</v>
      </c>
      <c r="L176" s="32">
        <f t="shared" si="144"/>
        <v>52583</v>
      </c>
    </row>
    <row r="177" spans="1:12">
      <c r="A177" s="13" t="str">
        <f>A115</f>
        <v>Flugumferð</v>
      </c>
      <c r="B177" s="16" t="str">
        <f t="shared" ref="B177:L177" si="146">B115</f>
        <v>tCO2Í</v>
      </c>
      <c r="C177" s="31">
        <f t="shared" si="146"/>
        <v>0</v>
      </c>
      <c r="D177" s="32">
        <f t="shared" si="146"/>
        <v>5400.7160188601574</v>
      </c>
      <c r="E177" s="32">
        <f t="shared" si="146"/>
        <v>4792.3453956006551</v>
      </c>
      <c r="F177" s="32">
        <f t="shared" si="146"/>
        <v>7325.3866733465939</v>
      </c>
      <c r="G177" s="32">
        <f t="shared" si="146"/>
        <v>6937.1982702861123</v>
      </c>
      <c r="H177" s="738">
        <f t="shared" si="146"/>
        <v>4542.5582514083553</v>
      </c>
      <c r="I177" s="738">
        <f t="shared" ref="I177:J177" si="147">I115</f>
        <v>6698.8813711630573</v>
      </c>
      <c r="J177" s="738">
        <f t="shared" si="147"/>
        <v>5939.1766057704244</v>
      </c>
      <c r="L177" s="32">
        <f t="shared" si="146"/>
        <v>5939.1766057704244</v>
      </c>
    </row>
    <row r="178" spans="1:12">
      <c r="A178" s="13" t="str">
        <f t="shared" ref="A178:H180" si="148">A121</f>
        <v>Úrgangur</v>
      </c>
      <c r="B178" s="16" t="str">
        <f t="shared" si="148"/>
        <v>tCO2Í</v>
      </c>
      <c r="C178" s="31">
        <f t="shared" si="148"/>
        <v>0</v>
      </c>
      <c r="D178" s="32">
        <f t="shared" si="148"/>
        <v>61006.63029993041</v>
      </c>
      <c r="E178" s="32">
        <f t="shared" si="148"/>
        <v>69507.283706192233</v>
      </c>
      <c r="F178" s="32">
        <f t="shared" si="148"/>
        <v>69593.943484954856</v>
      </c>
      <c r="G178" s="32">
        <f t="shared" si="148"/>
        <v>63303.535356418433</v>
      </c>
      <c r="H178" s="738">
        <f t="shared" si="148"/>
        <v>53426.838771465424</v>
      </c>
      <c r="I178" s="738">
        <f t="shared" ref="I178" si="149">I121</f>
        <v>53893.810751333192</v>
      </c>
      <c r="J178" s="738">
        <f>J121</f>
        <v>45958.8191730935</v>
      </c>
      <c r="L178" s="32">
        <f>L121</f>
        <v>45958.8191730935</v>
      </c>
    </row>
    <row r="179" spans="1:12">
      <c r="A179" s="13" t="str">
        <f t="shared" si="148"/>
        <v>Búfjárrækt</v>
      </c>
      <c r="B179" s="16" t="str">
        <f t="shared" si="148"/>
        <v>tCO2Í</v>
      </c>
      <c r="C179" s="31">
        <f t="shared" si="148"/>
        <v>0</v>
      </c>
      <c r="D179" s="32">
        <f t="shared" si="148"/>
        <v>1829.6519397420795</v>
      </c>
      <c r="E179" s="32">
        <f t="shared" si="148"/>
        <v>2245.4398830453683</v>
      </c>
      <c r="F179" s="32">
        <f t="shared" si="148"/>
        <v>1691.624489923749</v>
      </c>
      <c r="G179" s="32">
        <f t="shared" si="148"/>
        <v>1710.0061987558634</v>
      </c>
      <c r="H179" s="738">
        <f t="shared" si="148"/>
        <v>2652.4245259230693</v>
      </c>
      <c r="I179" s="738">
        <f t="shared" ref="I179:J179" si="150">I122</f>
        <v>2654.0703045108339</v>
      </c>
      <c r="J179" s="738">
        <f t="shared" si="150"/>
        <v>2565.3120470227268</v>
      </c>
      <c r="L179" s="32">
        <f>L122</f>
        <v>2565.3120470227268</v>
      </c>
    </row>
    <row r="180" spans="1:12">
      <c r="A180" s="13" t="str">
        <f t="shared" si="148"/>
        <v>Landnotkun</v>
      </c>
      <c r="B180" s="16" t="str">
        <f t="shared" si="148"/>
        <v>tCO2Í</v>
      </c>
      <c r="C180" s="31">
        <f t="shared" si="148"/>
        <v>0</v>
      </c>
      <c r="D180" s="32">
        <f t="shared" si="148"/>
        <v>45422</v>
      </c>
      <c r="E180" s="32">
        <f t="shared" si="148"/>
        <v>45422</v>
      </c>
      <c r="F180" s="32">
        <f t="shared" si="148"/>
        <v>45422</v>
      </c>
      <c r="G180" s="32">
        <f t="shared" si="148"/>
        <v>45422</v>
      </c>
      <c r="H180" s="738">
        <f t="shared" si="148"/>
        <v>45422</v>
      </c>
      <c r="I180" s="738">
        <f t="shared" ref="I180:J180" si="151">I123</f>
        <v>45422</v>
      </c>
      <c r="J180" s="738">
        <f t="shared" si="151"/>
        <v>45422</v>
      </c>
      <c r="L180" s="32">
        <f>L123</f>
        <v>45422</v>
      </c>
    </row>
    <row r="181" spans="1:12">
      <c r="A181" s="13" t="str">
        <f t="shared" ref="A181:H181" si="152">A125</f>
        <v>Efnanotkun</v>
      </c>
      <c r="B181" s="16" t="str">
        <f t="shared" si="152"/>
        <v>tCO2Í</v>
      </c>
      <c r="C181" s="31">
        <f t="shared" si="152"/>
        <v>0</v>
      </c>
      <c r="D181" s="32">
        <f t="shared" si="152"/>
        <v>43593.661187563281</v>
      </c>
      <c r="E181" s="32">
        <f t="shared" si="152"/>
        <v>30234.599759171451</v>
      </c>
      <c r="F181" s="32">
        <f t="shared" si="152"/>
        <v>43154.921793070214</v>
      </c>
      <c r="G181" s="32">
        <f t="shared" si="152"/>
        <v>41917.078635312122</v>
      </c>
      <c r="H181" s="738">
        <f t="shared" si="152"/>
        <v>40808.441327032713</v>
      </c>
      <c r="I181" s="738">
        <f t="shared" ref="I181:J181" si="153">I125</f>
        <v>45003.936777660783</v>
      </c>
      <c r="J181" s="738">
        <f t="shared" si="153"/>
        <v>39452.00682229732</v>
      </c>
      <c r="L181" s="32">
        <f>L125</f>
        <v>39452.00682229732</v>
      </c>
    </row>
    <row r="182" spans="1:12">
      <c r="A182" s="13" t="str">
        <f>A128</f>
        <v>Byggingariðnaður - efni</v>
      </c>
      <c r="B182" s="16" t="str">
        <f t="shared" ref="B182:L182" si="154">B128</f>
        <v>tCO2Í</v>
      </c>
      <c r="C182" s="31">
        <f t="shared" si="154"/>
        <v>23021.512449999998</v>
      </c>
      <c r="D182" s="32">
        <f t="shared" si="154"/>
        <v>27279.188569999998</v>
      </c>
      <c r="E182" s="32">
        <f t="shared" si="154"/>
        <v>33368.156219999997</v>
      </c>
      <c r="F182" s="32">
        <f t="shared" si="154"/>
        <v>43033.817210000001</v>
      </c>
      <c r="G182" s="32">
        <f t="shared" si="154"/>
        <v>50484.750419999997</v>
      </c>
      <c r="H182" s="738">
        <f t="shared" si="154"/>
        <v>60181.086309999999</v>
      </c>
      <c r="I182" s="738">
        <f t="shared" si="154"/>
        <v>64947.96577000001</v>
      </c>
      <c r="J182" s="738">
        <f t="shared" ref="J182" si="155">J128</f>
        <v>68054.941422967138</v>
      </c>
      <c r="L182" s="32">
        <f t="shared" si="154"/>
        <v>68054.941422967138</v>
      </c>
    </row>
    <row r="183" spans="1:12">
      <c r="A183" s="13" t="str">
        <f t="shared" ref="A183" si="156">A129</f>
        <v>Annar iðnaður</v>
      </c>
      <c r="B183" s="16" t="str">
        <f t="shared" ref="B183:H183" si="157">B129</f>
        <v>tCO2Í</v>
      </c>
      <c r="C183" s="31">
        <f t="shared" si="157"/>
        <v>0</v>
      </c>
      <c r="D183" s="32">
        <f t="shared" si="157"/>
        <v>9692.8303997546063</v>
      </c>
      <c r="E183" s="32">
        <f t="shared" si="157"/>
        <v>6183.9915058120459</v>
      </c>
      <c r="F183" s="32">
        <f t="shared" si="157"/>
        <v>9454.6123059262445</v>
      </c>
      <c r="G183" s="32">
        <f t="shared" si="157"/>
        <v>5518.1579496962113</v>
      </c>
      <c r="H183" s="738">
        <f t="shared" si="157"/>
        <v>5647.9622758071437</v>
      </c>
      <c r="I183" s="738">
        <f t="shared" ref="I183:J183" si="158">I129</f>
        <v>6693.3637603918742</v>
      </c>
      <c r="J183" s="738">
        <f t="shared" si="158"/>
        <v>6819.5765360085006</v>
      </c>
      <c r="L183" s="32">
        <f>L129</f>
        <v>6819.5765360085006</v>
      </c>
    </row>
    <row r="184" spans="1:12">
      <c r="A184" s="13" t="str">
        <f t="shared" ref="A184:H186" si="159">A131</f>
        <v>BASIC</v>
      </c>
      <c r="B184" s="16" t="str">
        <f t="shared" si="159"/>
        <v>tCO2Í</v>
      </c>
      <c r="C184" s="31">
        <f t="shared" si="159"/>
        <v>0</v>
      </c>
      <c r="D184" s="32">
        <f t="shared" si="159"/>
        <v>445809.26642263401</v>
      </c>
      <c r="E184" s="32">
        <f t="shared" si="159"/>
        <v>474946.1806873536</v>
      </c>
      <c r="F184" s="32">
        <f t="shared" si="159"/>
        <v>492141.41483634035</v>
      </c>
      <c r="G184" s="32">
        <f t="shared" si="159"/>
        <v>501633.68579835992</v>
      </c>
      <c r="H184" s="738">
        <f t="shared" si="159"/>
        <v>443979.50573866139</v>
      </c>
      <c r="I184" s="738">
        <f t="shared" ref="I184:J184" si="160">I131</f>
        <v>469799.41124534194</v>
      </c>
      <c r="J184" s="738">
        <f t="shared" si="160"/>
        <v>480092.4442298708</v>
      </c>
      <c r="L184" s="32">
        <f>L131</f>
        <v>480092.4442298708</v>
      </c>
    </row>
    <row r="185" spans="1:12">
      <c r="A185" s="13" t="str">
        <f t="shared" si="159"/>
        <v>BASIC+</v>
      </c>
      <c r="B185" s="16" t="str">
        <f t="shared" si="159"/>
        <v>tCO2Í</v>
      </c>
      <c r="C185" s="31">
        <f t="shared" si="159"/>
        <v>0</v>
      </c>
      <c r="D185" s="32">
        <f t="shared" si="159"/>
        <v>536654.57954993937</v>
      </c>
      <c r="E185" s="32">
        <f t="shared" si="159"/>
        <v>552848.22032957047</v>
      </c>
      <c r="F185" s="32">
        <f t="shared" si="159"/>
        <v>582651.88895607367</v>
      </c>
      <c r="G185" s="32">
        <f t="shared" si="159"/>
        <v>590906.80148961942</v>
      </c>
      <c r="H185" s="738">
        <f t="shared" si="159"/>
        <v>533155.79896761081</v>
      </c>
      <c r="I185" s="738">
        <f t="shared" ref="I185:J185" si="161">I132</f>
        <v>563153.80336953374</v>
      </c>
      <c r="J185" s="738">
        <f t="shared" si="161"/>
        <v>567822.35193919088</v>
      </c>
      <c r="L185" s="32">
        <f>L132</f>
        <v>567822.35193919088</v>
      </c>
    </row>
    <row r="186" spans="1:12">
      <c r="A186" s="13" t="str">
        <f t="shared" si="159"/>
        <v>BASIC+ S3</v>
      </c>
      <c r="B186" s="16" t="str">
        <f t="shared" si="159"/>
        <v>tCO2Í</v>
      </c>
      <c r="C186" s="31">
        <f t="shared" si="159"/>
        <v>0</v>
      </c>
      <c r="D186" s="32">
        <f t="shared" si="159"/>
        <v>573626.59851969394</v>
      </c>
      <c r="E186" s="32">
        <f t="shared" si="159"/>
        <v>592400.36805538251</v>
      </c>
      <c r="F186" s="32">
        <f t="shared" si="159"/>
        <v>635140.31847199996</v>
      </c>
      <c r="G186" s="32">
        <f t="shared" si="159"/>
        <v>646909.70985931566</v>
      </c>
      <c r="H186" s="738">
        <f t="shared" si="159"/>
        <v>598984.84755341802</v>
      </c>
      <c r="I186" s="738">
        <f t="shared" ref="I186:J186" si="162">I133</f>
        <v>634795.13289992558</v>
      </c>
      <c r="J186" s="738">
        <f t="shared" si="162"/>
        <v>642696.86989816651</v>
      </c>
      <c r="L186" s="32">
        <f>L133</f>
        <v>642696.86989816651</v>
      </c>
    </row>
    <row r="187" spans="1:12">
      <c r="A187" s="1"/>
      <c r="B187" s="2"/>
      <c r="C187" s="3"/>
      <c r="D187" s="3"/>
      <c r="E187" s="3"/>
      <c r="F187" s="3"/>
      <c r="G187" s="3"/>
      <c r="H187" s="3"/>
      <c r="I187" s="3"/>
      <c r="J187" s="3"/>
    </row>
    <row r="188" spans="1:12">
      <c r="A188" s="1"/>
      <c r="B188" s="2"/>
      <c r="C188" s="3"/>
      <c r="D188" s="3"/>
      <c r="E188" s="3"/>
      <c r="F188" s="3"/>
      <c r="G188" s="3"/>
      <c r="H188" s="3"/>
      <c r="I188" s="3"/>
      <c r="J188" s="3"/>
    </row>
    <row r="189" spans="1:12">
      <c r="A189" s="1"/>
      <c r="B189" s="2"/>
      <c r="C189" s="3"/>
      <c r="D189" s="3"/>
      <c r="E189" s="3"/>
      <c r="F189" s="3"/>
      <c r="G189" s="3"/>
      <c r="I189" s="3"/>
      <c r="J189" s="3"/>
    </row>
    <row r="190" spans="1:12">
      <c r="A190" s="1"/>
      <c r="B190" s="2"/>
      <c r="C190" s="3"/>
      <c r="D190" s="3"/>
      <c r="E190" s="3"/>
      <c r="F190" s="3"/>
      <c r="G190" s="3"/>
      <c r="I190" s="3"/>
      <c r="J190" s="3"/>
    </row>
    <row r="191" spans="1:12">
      <c r="A191" s="1"/>
      <c r="B191" s="2"/>
      <c r="C191" s="3"/>
      <c r="D191" s="3"/>
      <c r="E191" s="3"/>
      <c r="F191" s="3"/>
      <c r="G191" s="3"/>
      <c r="I191" s="3"/>
      <c r="J191" s="3"/>
    </row>
    <row r="192" spans="1:12">
      <c r="A192" s="1"/>
      <c r="B192" s="2"/>
      <c r="C192" s="3"/>
      <c r="D192" s="3"/>
      <c r="E192" s="3"/>
      <c r="F192" s="3"/>
      <c r="G192" s="3"/>
      <c r="I192" s="3"/>
      <c r="J192" s="3"/>
    </row>
    <row r="193" spans="1:10">
      <c r="A193" s="1"/>
      <c r="B193" s="2"/>
      <c r="C193" s="3"/>
      <c r="D193" s="3"/>
      <c r="E193" s="3"/>
      <c r="F193" s="3"/>
      <c r="G193" s="3"/>
      <c r="I193" s="3"/>
      <c r="J193" s="3"/>
    </row>
    <row r="194" spans="1:10">
      <c r="A194" s="1"/>
      <c r="B194" s="2"/>
      <c r="C194" s="3"/>
      <c r="D194" s="3"/>
      <c r="E194" s="3"/>
      <c r="F194" s="3"/>
      <c r="G194" s="3"/>
      <c r="I194" s="3"/>
      <c r="J194" s="3"/>
    </row>
    <row r="195" spans="1:10">
      <c r="A195" s="1"/>
      <c r="B195" s="2"/>
      <c r="C195" s="3"/>
      <c r="D195" s="3"/>
      <c r="E195" s="3"/>
      <c r="F195" s="3"/>
      <c r="G195" s="3"/>
      <c r="H195" s="3"/>
      <c r="I195" s="3"/>
      <c r="J195" s="3"/>
    </row>
    <row r="196" spans="1:10">
      <c r="A196" s="1"/>
      <c r="B196" s="2"/>
      <c r="C196" s="3"/>
      <c r="D196" s="3"/>
      <c r="E196" s="3"/>
      <c r="F196" s="3"/>
      <c r="G196" s="3"/>
      <c r="H196" s="3"/>
      <c r="I196" s="3"/>
      <c r="J196" s="3"/>
    </row>
    <row r="197" spans="1:10">
      <c r="A197" s="1"/>
      <c r="B197" s="2"/>
      <c r="C197" s="3"/>
      <c r="D197" s="3"/>
      <c r="E197" s="3"/>
      <c r="F197" s="3"/>
      <c r="G197" s="3"/>
      <c r="H197" s="3"/>
      <c r="I197" s="3"/>
      <c r="J197" s="3"/>
    </row>
    <row r="198" spans="1:10">
      <c r="A198" s="1"/>
      <c r="B198" s="2"/>
      <c r="C198" s="3"/>
      <c r="D198" s="3"/>
      <c r="E198" s="3"/>
      <c r="F198" s="3"/>
      <c r="G198" s="3"/>
      <c r="H198" s="3"/>
      <c r="I198" s="3"/>
      <c r="J198" s="3"/>
    </row>
    <row r="199" spans="1:10">
      <c r="A199" s="1"/>
      <c r="B199" s="2"/>
      <c r="C199" s="3"/>
      <c r="D199" s="3"/>
      <c r="E199" s="3"/>
      <c r="F199" s="3"/>
      <c r="G199" s="3"/>
      <c r="H199" s="3"/>
      <c r="I199" s="3"/>
      <c r="J199" s="3"/>
    </row>
    <row r="200" spans="1:10">
      <c r="A200" s="1"/>
      <c r="B200" s="2"/>
      <c r="C200" s="3"/>
      <c r="D200" s="3"/>
      <c r="E200" s="3"/>
      <c r="F200" s="3"/>
      <c r="G200" s="3"/>
      <c r="H200" s="3"/>
      <c r="I200" s="3"/>
      <c r="J200" s="3"/>
    </row>
    <row r="201" spans="1:10">
      <c r="A201" s="1"/>
      <c r="B201" s="2"/>
      <c r="C201" s="3"/>
      <c r="D201" s="3"/>
      <c r="E201" s="3"/>
      <c r="F201" s="3"/>
      <c r="G201" s="3"/>
      <c r="H201" s="3"/>
      <c r="I201" s="3"/>
      <c r="J201" s="3"/>
    </row>
    <row r="202" spans="1:10">
      <c r="A202" s="1"/>
      <c r="B202" s="2"/>
      <c r="C202" s="3"/>
      <c r="D202" s="3"/>
      <c r="E202" s="3"/>
      <c r="F202" s="3"/>
      <c r="G202" s="3"/>
      <c r="H202" s="3"/>
      <c r="I202" s="3"/>
      <c r="J202" s="3"/>
    </row>
    <row r="203" spans="1:10">
      <c r="A203" s="1"/>
      <c r="B203" s="2"/>
      <c r="C203" s="3"/>
      <c r="D203" s="3"/>
      <c r="E203" s="3"/>
      <c r="F203" s="3"/>
      <c r="G203" s="3"/>
      <c r="H203" s="3"/>
      <c r="I203" s="3"/>
      <c r="J203" s="3"/>
    </row>
    <row r="204" spans="1:10">
      <c r="A204" s="1"/>
      <c r="B204" s="2"/>
      <c r="C204" s="3"/>
      <c r="D204" s="3"/>
      <c r="E204" s="3"/>
      <c r="F204" s="3"/>
      <c r="G204" s="3"/>
      <c r="H204" s="3"/>
      <c r="I204" s="3"/>
      <c r="J204" s="3"/>
    </row>
    <row r="205" spans="1:10">
      <c r="A205" s="1"/>
      <c r="B205" s="2"/>
      <c r="C205" s="3"/>
      <c r="D205" s="3"/>
      <c r="E205" s="3"/>
      <c r="F205" s="3"/>
      <c r="G205" s="3"/>
      <c r="H205" s="3"/>
      <c r="I205" s="3"/>
      <c r="J205" s="3"/>
    </row>
    <row r="206" spans="1:10">
      <c r="A206" s="1"/>
      <c r="B206" s="2"/>
      <c r="C206" s="3"/>
      <c r="D206" s="3"/>
      <c r="E206" s="3"/>
      <c r="F206" s="3"/>
      <c r="G206" s="3"/>
      <c r="H206" s="3"/>
      <c r="I206" s="3"/>
      <c r="J206" s="3"/>
    </row>
    <row r="207" spans="1:10">
      <c r="A207" s="1"/>
      <c r="B207" s="2"/>
      <c r="C207" s="3"/>
      <c r="D207" s="3"/>
      <c r="E207" s="3"/>
      <c r="F207" s="3"/>
      <c r="G207" s="3"/>
      <c r="H207" s="3"/>
      <c r="I207" s="3"/>
      <c r="J207" s="3"/>
    </row>
    <row r="208" spans="1:10">
      <c r="A208" s="1"/>
      <c r="B208" s="2"/>
      <c r="C208" s="3"/>
      <c r="D208" s="3"/>
      <c r="E208" s="3"/>
      <c r="F208" s="3"/>
      <c r="G208" s="3"/>
      <c r="H208" s="3"/>
      <c r="I208" s="3"/>
      <c r="J208" s="3"/>
    </row>
    <row r="209" spans="1:10">
      <c r="A209" s="1"/>
      <c r="B209" s="2"/>
      <c r="C209" s="3"/>
      <c r="D209" s="3"/>
      <c r="E209" s="3"/>
      <c r="F209" s="3"/>
      <c r="G209" s="3"/>
      <c r="H209" s="3"/>
      <c r="I209" s="3"/>
      <c r="J209" s="3"/>
    </row>
    <row r="210" spans="1:10">
      <c r="A210" s="1"/>
      <c r="B210" s="2"/>
      <c r="C210" s="3"/>
      <c r="D210" s="3"/>
      <c r="E210" s="3"/>
      <c r="F210" s="3"/>
      <c r="G210" s="3"/>
      <c r="H210" s="3"/>
      <c r="I210" s="3"/>
      <c r="J210" s="3"/>
    </row>
    <row r="211" spans="1:10">
      <c r="A211" s="1"/>
      <c r="B211" s="2"/>
      <c r="C211" s="3"/>
      <c r="D211" s="3"/>
      <c r="E211" s="3"/>
      <c r="F211" s="3"/>
      <c r="G211" s="3"/>
      <c r="H211" s="3"/>
      <c r="I211" s="3"/>
      <c r="J211" s="3"/>
    </row>
    <row r="212" spans="1:10">
      <c r="A212" s="1"/>
      <c r="B212" s="2"/>
      <c r="C212" s="3"/>
      <c r="D212" s="3"/>
      <c r="E212" s="3"/>
      <c r="F212" s="3"/>
      <c r="G212" s="3"/>
      <c r="H212" s="3"/>
      <c r="I212" s="3"/>
      <c r="J212" s="3"/>
    </row>
    <row r="213" spans="1:10">
      <c r="A213" s="1"/>
      <c r="B213" s="2"/>
      <c r="C213" s="3"/>
      <c r="D213" s="3"/>
      <c r="E213" s="3"/>
      <c r="F213" s="3"/>
      <c r="G213" s="3"/>
      <c r="H213" s="3"/>
      <c r="I213" s="3"/>
      <c r="J213" s="3"/>
    </row>
    <row r="214" spans="1:10">
      <c r="A214" s="1"/>
      <c r="B214" s="2"/>
      <c r="C214" s="3"/>
      <c r="D214" s="3"/>
      <c r="E214" s="3"/>
      <c r="F214" s="3"/>
      <c r="G214" s="3"/>
      <c r="H214" s="3"/>
      <c r="I214" s="3"/>
      <c r="J214" s="3"/>
    </row>
    <row r="215" spans="1:10">
      <c r="A215" s="1"/>
      <c r="B215" s="2"/>
      <c r="C215" s="3"/>
      <c r="D215" s="3"/>
      <c r="E215" s="3"/>
      <c r="F215" s="3"/>
      <c r="G215" s="3"/>
      <c r="H215" s="3"/>
      <c r="I215" s="3"/>
      <c r="J215" s="3"/>
    </row>
    <row r="216" spans="1:10">
      <c r="A216" s="1"/>
      <c r="B216" s="2"/>
      <c r="C216" s="3"/>
      <c r="D216" s="3"/>
      <c r="E216" s="3"/>
      <c r="F216" s="3"/>
      <c r="G216" s="3"/>
      <c r="H216" s="3"/>
      <c r="I216" s="3"/>
      <c r="J216" s="3"/>
    </row>
    <row r="217" spans="1:10">
      <c r="A217" s="1"/>
      <c r="B217" s="2"/>
      <c r="C217" s="3"/>
      <c r="D217" s="3"/>
      <c r="E217" s="3"/>
      <c r="F217" s="3"/>
      <c r="G217" s="3"/>
      <c r="H217" s="3"/>
      <c r="I217" s="3"/>
      <c r="J217" s="3"/>
    </row>
    <row r="218" spans="1:10">
      <c r="A218" s="1"/>
      <c r="B218" s="2"/>
      <c r="C218" s="3"/>
      <c r="D218" s="3"/>
      <c r="E218" s="3"/>
      <c r="F218" s="3"/>
      <c r="G218" s="3"/>
      <c r="H218" s="3"/>
      <c r="I218" s="3"/>
      <c r="J218" s="3"/>
    </row>
    <row r="219" spans="1:10">
      <c r="A219" s="1"/>
      <c r="B219" s="2"/>
      <c r="C219" s="3"/>
      <c r="D219" s="3"/>
      <c r="E219" s="3"/>
      <c r="F219" s="3"/>
      <c r="G219" s="3"/>
      <c r="H219" s="3"/>
      <c r="I219" s="3"/>
      <c r="J219" s="3"/>
    </row>
    <row r="220" spans="1:10">
      <c r="A220" s="1"/>
      <c r="B220" s="2"/>
      <c r="C220" s="3"/>
      <c r="D220" s="3"/>
      <c r="E220" s="3"/>
      <c r="F220" s="3"/>
      <c r="G220" s="3"/>
      <c r="H220" s="3"/>
      <c r="I220" s="3"/>
      <c r="J220" s="3"/>
    </row>
    <row r="221" spans="1:10">
      <c r="A221" s="1"/>
      <c r="B221" s="2"/>
      <c r="C221" s="3"/>
      <c r="D221" s="3"/>
      <c r="E221" s="3"/>
      <c r="F221" s="3"/>
      <c r="G221" s="3"/>
      <c r="H221" s="3"/>
      <c r="I221" s="3"/>
      <c r="J221" s="3"/>
    </row>
    <row r="222" spans="1:10">
      <c r="A222" s="1"/>
      <c r="B222" s="2"/>
      <c r="C222" s="3"/>
      <c r="D222" s="3"/>
      <c r="E222" s="3"/>
      <c r="F222" s="3"/>
      <c r="G222" s="3"/>
      <c r="H222" s="3"/>
      <c r="I222" s="3"/>
      <c r="J222" s="3"/>
    </row>
    <row r="223" spans="1:10">
      <c r="A223" s="1"/>
      <c r="B223" s="2"/>
      <c r="C223" s="3"/>
      <c r="D223" s="3"/>
      <c r="E223" s="3"/>
      <c r="F223" s="3"/>
      <c r="G223" s="3"/>
      <c r="H223" s="3"/>
      <c r="I223" s="3"/>
      <c r="J223" s="3"/>
    </row>
    <row r="224" spans="1:10">
      <c r="A224" s="1"/>
      <c r="B224" s="2"/>
      <c r="C224" s="3"/>
      <c r="D224" s="3"/>
      <c r="E224" s="3"/>
      <c r="F224" s="3"/>
      <c r="G224" s="3"/>
      <c r="H224" s="3"/>
      <c r="I224" s="3"/>
      <c r="J224" s="3"/>
    </row>
    <row r="225" spans="1:10">
      <c r="A225" s="1"/>
      <c r="B225" s="2"/>
      <c r="C225" s="3"/>
      <c r="D225" s="3"/>
      <c r="E225" s="3"/>
      <c r="F225" s="3"/>
      <c r="G225" s="3"/>
      <c r="H225" s="3"/>
      <c r="I225" s="3"/>
      <c r="J225" s="3"/>
    </row>
    <row r="226" spans="1:10">
      <c r="A226" s="1"/>
      <c r="B226" s="2"/>
      <c r="C226" s="3"/>
      <c r="D226" s="3"/>
      <c r="E226" s="3"/>
      <c r="F226" s="3"/>
      <c r="G226" s="3"/>
      <c r="H226" s="3"/>
      <c r="I226" s="3"/>
      <c r="J226" s="3"/>
    </row>
    <row r="227" spans="1:10">
      <c r="A227" s="1"/>
      <c r="B227" s="2"/>
      <c r="C227" s="3"/>
      <c r="D227" s="3"/>
      <c r="E227" s="3"/>
      <c r="F227" s="3"/>
      <c r="G227" s="3"/>
      <c r="H227" s="3"/>
      <c r="I227" s="3"/>
      <c r="J227" s="3"/>
    </row>
    <row r="228" spans="1:10">
      <c r="A228" s="1"/>
      <c r="B228" s="2"/>
      <c r="C228" s="3"/>
      <c r="D228" s="3"/>
      <c r="E228" s="3"/>
      <c r="F228" s="3"/>
      <c r="G228" s="3"/>
      <c r="H228" s="3"/>
      <c r="I228" s="3"/>
      <c r="J228" s="3"/>
    </row>
    <row r="229" spans="1:10">
      <c r="A229" s="1"/>
      <c r="B229" s="2"/>
      <c r="C229" s="3"/>
      <c r="D229" s="3"/>
      <c r="E229" s="3"/>
      <c r="F229" s="3"/>
      <c r="G229" s="3"/>
      <c r="H229" s="3"/>
      <c r="I229" s="3"/>
      <c r="J229" s="3"/>
    </row>
    <row r="230" spans="1:10">
      <c r="A230" s="1"/>
      <c r="B230" s="2"/>
      <c r="C230" s="3"/>
      <c r="D230" s="3"/>
      <c r="E230" s="3"/>
      <c r="F230" s="3"/>
      <c r="G230" s="3"/>
      <c r="H230" s="3"/>
      <c r="I230" s="3"/>
      <c r="J230" s="3"/>
    </row>
    <row r="231" spans="1:10">
      <c r="A231" s="1"/>
      <c r="B231" s="2"/>
      <c r="C231" s="3"/>
      <c r="D231" s="3"/>
      <c r="E231" s="3"/>
      <c r="F231" s="3"/>
      <c r="G231" s="3"/>
      <c r="H231" s="3"/>
      <c r="I231" s="3"/>
      <c r="J231" s="3"/>
    </row>
    <row r="232" spans="1:10">
      <c r="A232" s="1"/>
      <c r="B232" s="2"/>
      <c r="C232" s="3"/>
      <c r="D232" s="3"/>
      <c r="E232" s="3"/>
      <c r="F232" s="3"/>
      <c r="G232" s="3"/>
      <c r="H232" s="3"/>
      <c r="I232" s="3"/>
      <c r="J232" s="3"/>
    </row>
    <row r="233" spans="1:10">
      <c r="A233" s="1"/>
      <c r="B233" s="2"/>
      <c r="C233" s="3"/>
      <c r="D233" s="3"/>
      <c r="E233" s="3"/>
      <c r="F233" s="3"/>
      <c r="G233" s="3"/>
      <c r="H233" s="3"/>
      <c r="I233" s="3"/>
      <c r="J233" s="3"/>
    </row>
    <row r="234" spans="1:10">
      <c r="A234" s="1"/>
      <c r="B234" s="2"/>
      <c r="C234" s="3"/>
      <c r="D234" s="3"/>
      <c r="E234" s="3"/>
      <c r="F234" s="3"/>
      <c r="G234" s="3"/>
      <c r="H234" s="3"/>
      <c r="I234" s="3"/>
      <c r="J234" s="3"/>
    </row>
    <row r="235" spans="1:10">
      <c r="A235" s="1"/>
      <c r="B235" s="2"/>
      <c r="C235" s="3"/>
      <c r="D235" s="3"/>
      <c r="E235" s="3"/>
      <c r="F235" s="3"/>
      <c r="G235" s="3"/>
      <c r="H235" s="3"/>
      <c r="I235" s="3"/>
      <c r="J235" s="3"/>
    </row>
    <row r="236" spans="1:10">
      <c r="A236" s="1"/>
      <c r="B236" s="2"/>
      <c r="C236" s="3"/>
      <c r="D236" s="3"/>
      <c r="E236" s="3"/>
      <c r="F236" s="3"/>
      <c r="G236" s="3"/>
      <c r="H236" s="3"/>
      <c r="I236" s="3"/>
      <c r="J236" s="3"/>
    </row>
  </sheetData>
  <dataValidations count="1">
    <dataValidation type="list" allowBlank="1" showInputMessage="1" showErrorMessage="1" sqref="L92" xr:uid="{B69298E5-C000-432A-91FB-3CBAC1F32C4E}">
      <formula1>"1,0"</formula1>
    </dataValidation>
  </dataValidations>
  <hyperlinks>
    <hyperlink ref="L24" r:id="rId1" xr:uid="{933FBAF7-D9C5-4F99-A8B0-F267FFF1265C}"/>
    <hyperlink ref="L55" r:id="rId2" xr:uid="{783307DB-92CA-4640-AEAB-770877F1C0D7}"/>
    <hyperlink ref="L13" r:id="rId3" xr:uid="{4C8E00BE-4B07-46E9-9EC1-EE165623D343}"/>
    <hyperlink ref="L36" r:id="rId4" xr:uid="{33E108DD-DC41-40A7-81A5-BCB4CDDB9856}"/>
    <hyperlink ref="L40" r:id="rId5" xr:uid="{5E8F44BE-2D16-478D-8453-CE9C73D6539C}"/>
    <hyperlink ref="N93" r:id="rId6" xr:uid="{F580B7ED-5851-48A5-AD13-1A477B2D9B4C}"/>
    <hyperlink ref="N94" r:id="rId7" xr:uid="{42170328-2F24-44AF-92F0-55DFA20D6667}"/>
    <hyperlink ref="N95" r:id="rId8" xr:uid="{7B425C6A-B441-4BC1-A06E-0FFBFD595411}"/>
  </hyperlinks>
  <pageMargins left="0.7" right="0.7" top="0.75" bottom="0.75" header="0.3" footer="0.3"/>
  <pageSetup paperSize="9" orientation="portrait" r:id="rId9"/>
  <drawing r:id="rId10"/>
  <legacy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0516-AFF3-4B6B-96EC-2D11FDE3B9FC}">
  <dimension ref="A1:BV228"/>
  <sheetViews>
    <sheetView showGridLines="0" workbookViewId="0">
      <selection sqref="A1:M1"/>
    </sheetView>
  </sheetViews>
  <sheetFormatPr defaultColWidth="9.1328125" defaultRowHeight="13"/>
  <cols>
    <col min="10" max="10" width="10" bestFit="1" customWidth="1"/>
    <col min="16" max="16" width="10.26953125" bestFit="1" customWidth="1"/>
    <col min="21" max="21" width="9.54296875" bestFit="1" customWidth="1"/>
    <col min="22" max="22" width="11.54296875" bestFit="1" customWidth="1"/>
    <col min="23" max="23" width="20.54296875" customWidth="1"/>
    <col min="24" max="24" width="13.1328125" customWidth="1"/>
    <col min="25" max="25" width="13" customWidth="1"/>
    <col min="33" max="33" width="10.54296875" bestFit="1" customWidth="1"/>
    <col min="40" max="40" width="12.54296875" bestFit="1" customWidth="1"/>
    <col min="43" max="43" width="10.86328125" customWidth="1"/>
    <col min="59" max="59" width="13" bestFit="1" customWidth="1"/>
    <col min="69" max="69" width="12.86328125" customWidth="1"/>
  </cols>
  <sheetData>
    <row r="1" spans="1:74" ht="17.5" thickBot="1">
      <c r="A1" s="929" t="s">
        <v>141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</row>
    <row r="2" spans="1:74" ht="25.25">
      <c r="A2" s="930"/>
      <c r="B2" s="931"/>
      <c r="C2" s="936" t="s">
        <v>142</v>
      </c>
      <c r="D2" s="937"/>
      <c r="E2" s="937"/>
      <c r="F2" s="937"/>
      <c r="G2" s="937"/>
      <c r="H2" s="937"/>
      <c r="I2" s="937"/>
      <c r="J2" s="937"/>
      <c r="K2" s="937"/>
      <c r="L2" s="937"/>
      <c r="M2" s="938"/>
    </row>
    <row r="3" spans="1:74" ht="128.75" thickBot="1">
      <c r="A3" s="932"/>
      <c r="B3" s="933"/>
      <c r="C3" s="101" t="s">
        <v>143</v>
      </c>
      <c r="D3" s="102" t="s">
        <v>144</v>
      </c>
      <c r="E3" s="103" t="s">
        <v>145</v>
      </c>
      <c r="F3" s="104" t="s">
        <v>146</v>
      </c>
      <c r="G3" s="939" t="s">
        <v>147</v>
      </c>
      <c r="H3" s="942" t="s">
        <v>148</v>
      </c>
      <c r="I3" s="943"/>
      <c r="J3" s="943"/>
      <c r="K3" s="943"/>
      <c r="L3" s="943"/>
      <c r="M3" s="944"/>
      <c r="BI3" s="31">
        <f>BI14+BI20+BI16+BI22</f>
        <v>65.562715510385544</v>
      </c>
      <c r="BJ3" s="31">
        <f>BI15+BI21</f>
        <v>441.94633186716288</v>
      </c>
      <c r="BK3" s="31">
        <f>BI17+BI19+BI23+BI25</f>
        <v>20.596612807745654</v>
      </c>
      <c r="BL3" s="31">
        <f>BI24+BI18</f>
        <v>1001.9336619845312</v>
      </c>
    </row>
    <row r="4" spans="1:74" ht="35.25">
      <c r="A4" s="934"/>
      <c r="B4" s="935"/>
      <c r="C4" s="105"/>
      <c r="D4" s="106"/>
      <c r="E4" s="107"/>
      <c r="F4" s="108" t="s">
        <v>149</v>
      </c>
      <c r="G4" s="940"/>
      <c r="H4" s="109"/>
      <c r="I4" s="110"/>
      <c r="J4" s="110"/>
      <c r="K4" s="110"/>
      <c r="L4" s="110"/>
      <c r="M4" s="111"/>
      <c r="W4" s="112">
        <v>2019</v>
      </c>
      <c r="X4" s="113" t="s">
        <v>10</v>
      </c>
      <c r="Y4" s="113" t="s">
        <v>150</v>
      </c>
      <c r="Z4" s="113" t="s">
        <v>151</v>
      </c>
      <c r="AA4" s="113" t="s">
        <v>152</v>
      </c>
      <c r="AB4" s="114" t="s">
        <v>153</v>
      </c>
      <c r="AN4" t="s">
        <v>154</v>
      </c>
      <c r="BI4" s="31">
        <f>BI8+BI10+BI11+BI13</f>
        <v>1341.0126697566911</v>
      </c>
      <c r="BJ4" s="31">
        <f>BI9+BI12</f>
        <v>973.31351405775001</v>
      </c>
      <c r="BM4">
        <v>28</v>
      </c>
      <c r="BN4">
        <v>265</v>
      </c>
    </row>
    <row r="5" spans="1:74" ht="13.75" thickBot="1">
      <c r="A5" s="115" t="s">
        <v>155</v>
      </c>
      <c r="B5" s="116"/>
      <c r="C5" s="117">
        <v>1.01</v>
      </c>
      <c r="D5" s="118">
        <v>1.66</v>
      </c>
      <c r="E5" s="119">
        <v>0.6</v>
      </c>
      <c r="F5" s="120">
        <f>SUM(C5:E5)</f>
        <v>3.27</v>
      </c>
      <c r="G5" s="941"/>
      <c r="H5" s="121"/>
      <c r="I5" s="945" t="s">
        <v>156</v>
      </c>
      <c r="J5" s="946"/>
      <c r="K5" s="946"/>
      <c r="L5" s="947" t="s">
        <v>157</v>
      </c>
      <c r="M5" s="948"/>
      <c r="W5" s="949" t="s">
        <v>158</v>
      </c>
      <c r="X5" s="950"/>
      <c r="Y5" s="950"/>
      <c r="Z5" s="950"/>
      <c r="AA5" s="950"/>
      <c r="AB5" s="951"/>
      <c r="BG5" t="s">
        <v>159</v>
      </c>
    </row>
    <row r="6" spans="1:74" ht="26.75" thickBot="1">
      <c r="A6" s="952" t="s">
        <v>160</v>
      </c>
      <c r="B6" s="953"/>
      <c r="C6" s="122" t="s">
        <v>161</v>
      </c>
      <c r="D6" s="123" t="s">
        <v>162</v>
      </c>
      <c r="E6" s="124" t="s">
        <v>163</v>
      </c>
      <c r="F6" s="125"/>
      <c r="G6" s="126" t="s">
        <v>164</v>
      </c>
      <c r="H6" s="127"/>
      <c r="I6" s="954" t="s">
        <v>165</v>
      </c>
      <c r="J6" s="955"/>
      <c r="K6" s="955"/>
      <c r="L6" s="956" t="s">
        <v>166</v>
      </c>
      <c r="M6" s="957"/>
      <c r="Q6" t="s">
        <v>167</v>
      </c>
      <c r="S6" t="s">
        <v>168</v>
      </c>
      <c r="W6" s="128" t="s">
        <v>169</v>
      </c>
      <c r="X6" s="129">
        <v>163424</v>
      </c>
      <c r="Y6" s="129">
        <v>84654</v>
      </c>
      <c r="Z6" s="130">
        <v>0.52</v>
      </c>
      <c r="AA6" s="131">
        <v>30.85</v>
      </c>
      <c r="AB6" s="132">
        <v>11261</v>
      </c>
      <c r="AD6" s="133">
        <f>X6/X20</f>
        <v>0.60566663578245161</v>
      </c>
      <c r="AE6" s="133">
        <f>Y6/Y20</f>
        <v>0.67010211351222992</v>
      </c>
      <c r="AG6" s="31">
        <f>AG20*AD6</f>
        <v>135668.72074863338</v>
      </c>
      <c r="AJ6" s="134">
        <f>AB6/AC12</f>
        <v>0.16490210722078227</v>
      </c>
      <c r="AN6" s="31">
        <f>AA6*X6*365/1000000</f>
        <v>1840.1950960000001</v>
      </c>
      <c r="AO6" s="135">
        <f>AN6/$AO$12</f>
        <v>0.96190289926576888</v>
      </c>
      <c r="AQ6" s="133">
        <f>AN6/$AO$26</f>
        <v>0.43651664408983454</v>
      </c>
      <c r="AZ6" t="s">
        <v>170</v>
      </c>
      <c r="BA6" t="s">
        <v>171</v>
      </c>
      <c r="BB6" t="s">
        <v>172</v>
      </c>
      <c r="BC6" t="s">
        <v>173</v>
      </c>
      <c r="BD6" t="s">
        <v>174</v>
      </c>
      <c r="BE6" t="s">
        <v>175</v>
      </c>
      <c r="BF6" t="s">
        <v>176</v>
      </c>
      <c r="BG6" t="s">
        <v>177</v>
      </c>
      <c r="BH6" t="s">
        <v>178</v>
      </c>
      <c r="BI6" t="s">
        <v>179</v>
      </c>
      <c r="BJ6" t="s">
        <v>176</v>
      </c>
      <c r="BK6" t="s">
        <v>177</v>
      </c>
      <c r="BL6" t="s">
        <v>178</v>
      </c>
      <c r="BP6" t="s">
        <v>180</v>
      </c>
      <c r="BQ6" t="s">
        <v>181</v>
      </c>
      <c r="BR6" t="s">
        <v>182</v>
      </c>
    </row>
    <row r="7" spans="1:74" ht="15" thickBot="1">
      <c r="A7" s="136"/>
      <c r="B7" s="137" t="s">
        <v>183</v>
      </c>
      <c r="C7" s="958" t="s">
        <v>184</v>
      </c>
      <c r="D7" s="959"/>
      <c r="E7" s="959"/>
      <c r="F7" s="138" t="s">
        <v>185</v>
      </c>
      <c r="G7" s="139" t="s">
        <v>186</v>
      </c>
      <c r="H7" s="140"/>
      <c r="I7" s="141" t="s">
        <v>161</v>
      </c>
      <c r="J7" s="142" t="s">
        <v>162</v>
      </c>
      <c r="K7" s="143" t="s">
        <v>163</v>
      </c>
      <c r="L7" s="144" t="s">
        <v>187</v>
      </c>
      <c r="M7" s="145" t="s">
        <v>188</v>
      </c>
      <c r="Q7" t="s">
        <v>189</v>
      </c>
      <c r="S7">
        <v>223999</v>
      </c>
      <c r="W7" s="146" t="s">
        <v>190</v>
      </c>
      <c r="X7" s="147">
        <v>95</v>
      </c>
      <c r="Y7" s="147">
        <v>65</v>
      </c>
      <c r="Z7" s="148">
        <v>0.68</v>
      </c>
      <c r="AA7" s="147">
        <v>24.99</v>
      </c>
      <c r="AB7" s="149">
        <v>9123</v>
      </c>
      <c r="AD7" s="133">
        <f t="shared" ref="AD7:AE11" si="0">X7/X21</f>
        <v>6.8542568542568544E-2</v>
      </c>
      <c r="AE7" s="133">
        <f t="shared" si="0"/>
        <v>8.5638998682476944E-2</v>
      </c>
      <c r="AG7" s="31">
        <f t="shared" ref="AG7:AG11" si="1">AG21*AD7</f>
        <v>63.538961038961041</v>
      </c>
      <c r="AN7" s="31">
        <f t="shared" ref="AN7:AN25" si="2">AA7*X7*365/1000000</f>
        <v>0.86652824999999989</v>
      </c>
      <c r="AO7" s="135">
        <f t="shared" ref="AO7:AO11" si="3">AN7/$AO$12</f>
        <v>4.5294981916998485E-4</v>
      </c>
      <c r="AQ7" s="133">
        <f t="shared" ref="AQ7:AQ32" si="4">AN7/$AO$26</f>
        <v>2.0555103343185797E-4</v>
      </c>
      <c r="AX7" s="96">
        <f>W68</f>
        <v>1177.9985244311522</v>
      </c>
    </row>
    <row r="8" spans="1:74" ht="13.75" thickBot="1">
      <c r="A8" s="919">
        <v>2005</v>
      </c>
      <c r="B8" s="150" t="s">
        <v>191</v>
      </c>
      <c r="C8" s="151">
        <v>36964</v>
      </c>
      <c r="D8" s="152">
        <v>35212</v>
      </c>
      <c r="E8" s="153">
        <v>32382</v>
      </c>
      <c r="F8" s="154">
        <v>104558</v>
      </c>
      <c r="G8" s="155">
        <v>104558</v>
      </c>
      <c r="H8" s="156"/>
      <c r="I8" s="157"/>
      <c r="J8" s="157"/>
      <c r="K8" s="157"/>
      <c r="L8" s="158"/>
      <c r="M8" s="159"/>
      <c r="Q8" t="s">
        <v>192</v>
      </c>
      <c r="S8">
        <v>22995</v>
      </c>
      <c r="W8" s="128" t="s">
        <v>193</v>
      </c>
      <c r="X8" s="131">
        <v>6</v>
      </c>
      <c r="Y8" s="131">
        <v>4</v>
      </c>
      <c r="Z8" s="130">
        <v>0.67</v>
      </c>
      <c r="AA8" s="131">
        <v>80.099999999999994</v>
      </c>
      <c r="AB8" s="132">
        <v>29237</v>
      </c>
      <c r="AD8" s="133">
        <f t="shared" si="0"/>
        <v>3.3482142857142855E-3</v>
      </c>
      <c r="AE8" s="133">
        <f t="shared" si="0"/>
        <v>4.048582995951417E-3</v>
      </c>
      <c r="AG8" s="31">
        <f t="shared" si="1"/>
        <v>3.8772321428571428</v>
      </c>
      <c r="AN8" s="31">
        <f t="shared" si="2"/>
        <v>0.17541899999999999</v>
      </c>
      <c r="AO8" s="135">
        <f t="shared" si="3"/>
        <v>9.1694649688546878E-5</v>
      </c>
      <c r="AQ8" s="133">
        <f t="shared" si="4"/>
        <v>4.1611518993850573E-5</v>
      </c>
      <c r="AU8" t="s">
        <v>194</v>
      </c>
      <c r="AV8" t="s">
        <v>158</v>
      </c>
      <c r="AW8" s="160">
        <f>AQ6</f>
        <v>0.43651664408983454</v>
      </c>
      <c r="AX8" s="31">
        <f t="shared" ref="AX8:AX25" si="5">AW8*$AX$7</f>
        <v>514.21596262746357</v>
      </c>
      <c r="AZ8">
        <v>7.5</v>
      </c>
      <c r="BA8">
        <f>AZ8/100</f>
        <v>7.4999999999999997E-2</v>
      </c>
      <c r="BB8">
        <v>0.75</v>
      </c>
      <c r="BC8">
        <f>BB8*BA8</f>
        <v>5.6249999999999994E-2</v>
      </c>
      <c r="BD8">
        <v>44.3</v>
      </c>
      <c r="BE8">
        <f>BD8*BC8</f>
        <v>2.4918749999999994</v>
      </c>
      <c r="BF8">
        <v>72.416541095972974</v>
      </c>
      <c r="BG8">
        <f>7.87852632644844/1000</f>
        <v>7.8785263264484397E-3</v>
      </c>
      <c r="BH8">
        <f>0.93521034397128/1000</f>
        <v>9.3521034397127997E-4</v>
      </c>
      <c r="BI8" s="31">
        <f>BE8*AX8</f>
        <v>1281.3619018723105</v>
      </c>
      <c r="BJ8" s="31">
        <f>$BI8*BF8</f>
        <v>92791.796825750265</v>
      </c>
      <c r="BK8" s="31">
        <f>$BI8*BG8</f>
        <v>10.09524347760904</v>
      </c>
      <c r="BL8" s="31">
        <f>$BI8*BH8</f>
        <v>1.1983429050016969</v>
      </c>
      <c r="BN8" s="31">
        <f>BJ8+BK8*$BM$4+BL8*$BN$4</f>
        <v>93392.024512948774</v>
      </c>
      <c r="BO8" s="31">
        <f>BN8*$BO$27/$BN$27</f>
        <v>93409.215713699261</v>
      </c>
      <c r="BP8">
        <v>2.34</v>
      </c>
      <c r="BQ8">
        <f>BP8*BA8*AX8*1000000</f>
        <v>90244901.44111985</v>
      </c>
      <c r="BR8">
        <f>BQ8/1000</f>
        <v>90244.901441119844</v>
      </c>
    </row>
    <row r="9" spans="1:74" ht="13.75" thickBot="1">
      <c r="A9" s="905"/>
      <c r="B9" s="161" t="s">
        <v>195</v>
      </c>
      <c r="C9" s="162">
        <v>39806</v>
      </c>
      <c r="D9" s="163">
        <v>37070.580282304945</v>
      </c>
      <c r="E9" s="164">
        <v>35244</v>
      </c>
      <c r="F9" s="165">
        <v>112120.58028230495</v>
      </c>
      <c r="G9" s="166">
        <v>216678.58028230496</v>
      </c>
      <c r="H9" s="156"/>
      <c r="I9" s="157"/>
      <c r="J9" s="157"/>
      <c r="K9" s="157"/>
      <c r="L9" s="167"/>
      <c r="M9" s="168"/>
      <c r="Q9" t="s">
        <v>196</v>
      </c>
      <c r="S9">
        <v>8836</v>
      </c>
      <c r="W9" s="146" t="s">
        <v>197</v>
      </c>
      <c r="X9" s="169">
        <v>6269</v>
      </c>
      <c r="Y9" s="169">
        <v>3214</v>
      </c>
      <c r="Z9" s="148">
        <v>0.51</v>
      </c>
      <c r="AA9" s="147">
        <v>29.17</v>
      </c>
      <c r="AB9" s="149">
        <v>10647</v>
      </c>
      <c r="AD9" s="133">
        <f t="shared" si="0"/>
        <v>0.21662807975396522</v>
      </c>
      <c r="AE9" s="133">
        <f t="shared" si="0"/>
        <v>0.21798697775366252</v>
      </c>
      <c r="AG9" s="31">
        <f t="shared" si="1"/>
        <v>4981.3626939424303</v>
      </c>
      <c r="AN9" s="31">
        <f t="shared" si="2"/>
        <v>66.746356450000007</v>
      </c>
      <c r="AO9" s="135">
        <f t="shared" si="3"/>
        <v>3.4889514663004766E-2</v>
      </c>
      <c r="AQ9" s="133">
        <f t="shared" si="4"/>
        <v>1.5833047042734801E-2</v>
      </c>
      <c r="AV9" t="s">
        <v>25</v>
      </c>
      <c r="AW9" s="160">
        <f>AQ13</f>
        <v>0.33206503080050687</v>
      </c>
      <c r="AX9" s="31">
        <f t="shared" si="5"/>
        <v>391.17211629818217</v>
      </c>
      <c r="AZ9">
        <v>6.5</v>
      </c>
      <c r="BA9">
        <f t="shared" ref="BA9:BA25" si="6">AZ9/100</f>
        <v>6.5000000000000002E-2</v>
      </c>
      <c r="BB9">
        <v>0.86499999999999999</v>
      </c>
      <c r="BC9">
        <f t="shared" ref="BC9:BC25" si="7">BB9*BA9</f>
        <v>5.6225000000000004E-2</v>
      </c>
      <c r="BD9">
        <v>43</v>
      </c>
      <c r="BE9">
        <f t="shared" ref="BE9:BE25" si="8">BD9*BC9</f>
        <v>2.417675</v>
      </c>
      <c r="BF9">
        <v>73.367636682232202</v>
      </c>
      <c r="BG9">
        <f>0.06636778941357/1000</f>
        <v>6.6367789413569991E-5</v>
      </c>
      <c r="BH9">
        <f>2.52657658902305/1000</f>
        <v>2.5265765890230499E-3</v>
      </c>
      <c r="BI9" s="31">
        <f t="shared" ref="BI9:BI25" si="9">BE9*AX9</f>
        <v>945.72704627120754</v>
      </c>
      <c r="BJ9" s="31">
        <f t="shared" ref="BJ9:BL25" si="10">$BI9*BF9</f>
        <v>69385.758331386562</v>
      </c>
      <c r="BK9" s="31">
        <f t="shared" si="10"/>
        <v>6.2765813449645061E-2</v>
      </c>
      <c r="BL9" s="31">
        <f t="shared" si="10"/>
        <v>2.3894518147147519</v>
      </c>
      <c r="BN9" s="31">
        <f t="shared" ref="BN9:BN25" si="11">BJ9+BK9*$BM$4+BL9*$BN$4</f>
        <v>70020.720505062563</v>
      </c>
      <c r="BO9" s="31">
        <f t="shared" ref="BO9:BO24" si="12">BN9*$BO$27/$BN$27</f>
        <v>70033.609617052309</v>
      </c>
      <c r="BP9">
        <v>2.72</v>
      </c>
      <c r="BQ9">
        <f t="shared" ref="BQ9:BQ25" si="13">BP9*BA9*AX9*1000000</f>
        <v>69159230.161518604</v>
      </c>
      <c r="BR9">
        <f t="shared" ref="BR9:BR25" si="14">BQ9/1000</f>
        <v>69159.230161518601</v>
      </c>
    </row>
    <row r="10" spans="1:74" ht="13.75" thickBot="1">
      <c r="A10" s="905"/>
      <c r="B10" s="161" t="s">
        <v>15</v>
      </c>
      <c r="C10" s="162">
        <v>39314</v>
      </c>
      <c r="D10" s="163">
        <v>37980.72629630773</v>
      </c>
      <c r="E10" s="164">
        <v>36152</v>
      </c>
      <c r="F10" s="165">
        <v>113446.72629630772</v>
      </c>
      <c r="G10" s="166">
        <v>330125.30657861265</v>
      </c>
      <c r="H10" s="170"/>
      <c r="I10" s="157"/>
      <c r="J10" s="157"/>
      <c r="K10" s="157"/>
      <c r="L10" s="157"/>
      <c r="M10" s="168"/>
      <c r="Q10" t="s">
        <v>198</v>
      </c>
      <c r="S10">
        <v>6889</v>
      </c>
      <c r="W10" s="128" t="s">
        <v>199</v>
      </c>
      <c r="X10" s="131">
        <v>635</v>
      </c>
      <c r="Y10" s="131">
        <v>158</v>
      </c>
      <c r="Z10" s="130">
        <v>0.25</v>
      </c>
      <c r="AA10" s="131">
        <v>21.98</v>
      </c>
      <c r="AB10" s="171">
        <v>8021</v>
      </c>
      <c r="AD10" s="133">
        <f t="shared" si="0"/>
        <v>0.10786478681841345</v>
      </c>
      <c r="AE10" s="133">
        <f t="shared" si="0"/>
        <v>5.398018448923813E-2</v>
      </c>
      <c r="AG10" s="31">
        <f t="shared" si="1"/>
        <v>410.10191948360796</v>
      </c>
      <c r="AN10" s="31">
        <f t="shared" si="2"/>
        <v>5.0944145000000001</v>
      </c>
      <c r="AO10" s="135">
        <f t="shared" si="3"/>
        <v>2.6629416023677809E-3</v>
      </c>
      <c r="AQ10" s="133">
        <f t="shared" si="4"/>
        <v>1.2084570413085115E-3</v>
      </c>
      <c r="AV10" t="s">
        <v>42</v>
      </c>
      <c r="AW10" s="160">
        <f>AQ27</f>
        <v>5.0691531669380757E-2</v>
      </c>
      <c r="AX10" s="31">
        <f t="shared" si="5"/>
        <v>59.714549507685554</v>
      </c>
      <c r="AZ10">
        <v>3</v>
      </c>
      <c r="BA10">
        <f t="shared" si="6"/>
        <v>0.03</v>
      </c>
      <c r="BB10">
        <v>0.75</v>
      </c>
      <c r="BC10">
        <f t="shared" si="7"/>
        <v>2.2499999999999999E-2</v>
      </c>
      <c r="BD10">
        <v>44.3</v>
      </c>
      <c r="BE10">
        <f t="shared" si="8"/>
        <v>0.99674999999999991</v>
      </c>
      <c r="BF10">
        <v>72.416541095972974</v>
      </c>
      <c r="BG10">
        <f>7.87852632644844/1000</f>
        <v>7.8785263264484397E-3</v>
      </c>
      <c r="BH10">
        <f>0.93521034397128/1000</f>
        <v>9.3521034397127997E-4</v>
      </c>
      <c r="BI10" s="31">
        <f t="shared" si="9"/>
        <v>59.520477221785569</v>
      </c>
      <c r="BJ10" s="31">
        <f t="shared" si="10"/>
        <v>4310.2670847833579</v>
      </c>
      <c r="BK10" s="31">
        <f t="shared" si="10"/>
        <v>0.4689336467546123</v>
      </c>
      <c r="BL10" s="31">
        <f t="shared" si="10"/>
        <v>5.5664165975920818E-2</v>
      </c>
      <c r="BN10" s="31">
        <f t="shared" si="11"/>
        <v>4338.148230876106</v>
      </c>
      <c r="BO10" s="31">
        <f t="shared" si="12"/>
        <v>4338.9467784770522</v>
      </c>
      <c r="BP10">
        <v>2.34</v>
      </c>
      <c r="BQ10">
        <f t="shared" si="13"/>
        <v>4191961.3754395256</v>
      </c>
      <c r="BR10">
        <f t="shared" si="14"/>
        <v>4191.9613754395259</v>
      </c>
      <c r="BU10" t="s">
        <v>169</v>
      </c>
      <c r="BV10">
        <f>SUM(BR8:BR14)</f>
        <v>169114.13991120967</v>
      </c>
    </row>
    <row r="11" spans="1:74" ht="13.75" thickBot="1">
      <c r="A11" s="905"/>
      <c r="B11" s="161" t="s">
        <v>16</v>
      </c>
      <c r="C11" s="162">
        <v>40771.075849776658</v>
      </c>
      <c r="D11" s="163">
        <v>40551</v>
      </c>
      <c r="E11" s="164">
        <v>37617</v>
      </c>
      <c r="F11" s="165">
        <v>118939.07584977665</v>
      </c>
      <c r="G11" s="166">
        <v>449064.38242838928</v>
      </c>
      <c r="H11" s="170"/>
      <c r="I11" s="157"/>
      <c r="J11" s="157"/>
      <c r="K11" s="157"/>
      <c r="L11" s="157"/>
      <c r="M11" s="168"/>
      <c r="Q11" t="s">
        <v>200</v>
      </c>
      <c r="S11">
        <v>6414</v>
      </c>
      <c r="W11" s="146" t="s">
        <v>201</v>
      </c>
      <c r="X11" s="147">
        <v>13</v>
      </c>
      <c r="Y11" s="147">
        <v>0</v>
      </c>
      <c r="Z11" s="148">
        <v>0</v>
      </c>
      <c r="AA11" s="147">
        <v>0</v>
      </c>
      <c r="AB11" s="172">
        <v>0</v>
      </c>
      <c r="AD11" s="133">
        <f t="shared" si="0"/>
        <v>1.8675477661255567E-3</v>
      </c>
      <c r="AE11" s="133">
        <f t="shared" si="0"/>
        <v>0</v>
      </c>
      <c r="AG11" s="31">
        <f t="shared" si="1"/>
        <v>7.754058324953311</v>
      </c>
      <c r="AN11" s="31">
        <f t="shared" si="2"/>
        <v>0</v>
      </c>
      <c r="AO11" s="135">
        <f t="shared" si="3"/>
        <v>0</v>
      </c>
      <c r="AQ11" s="133">
        <f t="shared" si="4"/>
        <v>0</v>
      </c>
      <c r="AU11" t="s">
        <v>202</v>
      </c>
      <c r="AV11" t="s">
        <v>158</v>
      </c>
      <c r="AW11" s="173">
        <f>AQ8</f>
        <v>4.1611518993850573E-5</v>
      </c>
      <c r="AX11" s="31">
        <f t="shared" si="5"/>
        <v>4.9018307974094837E-2</v>
      </c>
      <c r="AZ11">
        <v>8</v>
      </c>
      <c r="BA11">
        <f t="shared" si="6"/>
        <v>0.08</v>
      </c>
      <c r="BB11">
        <v>0.75</v>
      </c>
      <c r="BC11">
        <f t="shared" si="7"/>
        <v>0.06</v>
      </c>
      <c r="BD11">
        <v>44.3</v>
      </c>
      <c r="BE11">
        <f t="shared" si="8"/>
        <v>2.6579999999999999</v>
      </c>
      <c r="BF11">
        <v>72.416541095972974</v>
      </c>
      <c r="BG11">
        <f>7.87852632644844/1000</f>
        <v>7.8785263264484397E-3</v>
      </c>
      <c r="BH11">
        <f>0.93521034397128/1000</f>
        <v>9.3521034397127997E-4</v>
      </c>
      <c r="BI11" s="31">
        <f t="shared" si="9"/>
        <v>0.13029066259514407</v>
      </c>
      <c r="BJ11" s="31">
        <f t="shared" si="10"/>
        <v>9.4351991222427998</v>
      </c>
      <c r="BK11" s="31">
        <f t="shared" si="10"/>
        <v>1.0264984153462535E-3</v>
      </c>
      <c r="BL11" s="31">
        <f t="shared" si="10"/>
        <v>1.2184917538185068E-4</v>
      </c>
      <c r="BN11" s="31">
        <f t="shared" si="11"/>
        <v>9.4962311093486846</v>
      </c>
      <c r="BO11" s="31">
        <f t="shared" si="12"/>
        <v>9.4979791345813016</v>
      </c>
      <c r="BP11">
        <v>2.34</v>
      </c>
      <c r="BQ11">
        <f t="shared" si="13"/>
        <v>9176.2272527505538</v>
      </c>
      <c r="BR11">
        <f t="shared" si="14"/>
        <v>9.1762272527505537</v>
      </c>
      <c r="BU11" t="s">
        <v>203</v>
      </c>
      <c r="BV11">
        <f>SUM(BR11:BR13)+SUM(BR17:BR19)</f>
        <v>25909.275181926922</v>
      </c>
    </row>
    <row r="12" spans="1:74" ht="13.75" thickBot="1">
      <c r="A12" s="905"/>
      <c r="B12" s="161" t="s">
        <v>17</v>
      </c>
      <c r="C12" s="162">
        <v>40229</v>
      </c>
      <c r="D12" s="163">
        <v>40965</v>
      </c>
      <c r="E12" s="164">
        <v>39578</v>
      </c>
      <c r="F12" s="165">
        <v>120772</v>
      </c>
      <c r="G12" s="166">
        <v>569836.38242838928</v>
      </c>
      <c r="H12" s="170"/>
      <c r="I12" s="157"/>
      <c r="J12" s="157"/>
      <c r="K12" s="157"/>
      <c r="L12" s="157"/>
      <c r="M12" s="168"/>
      <c r="Q12" t="s">
        <v>204</v>
      </c>
      <c r="S12">
        <v>5209</v>
      </c>
      <c r="W12" s="923" t="s">
        <v>205</v>
      </c>
      <c r="X12" s="924"/>
      <c r="Y12" s="924"/>
      <c r="Z12" s="924"/>
      <c r="AA12" s="924"/>
      <c r="AB12" s="925"/>
      <c r="AC12" s="32">
        <f>SUM(AB6:AB11)</f>
        <v>68289</v>
      </c>
      <c r="AN12" s="31"/>
      <c r="AO12" s="31">
        <f>SUM(AN6:AN11)</f>
        <v>1913.0778142000001</v>
      </c>
      <c r="AQ12" s="133">
        <f t="shared" si="4"/>
        <v>0</v>
      </c>
      <c r="AV12" t="s">
        <v>25</v>
      </c>
      <c r="AW12" s="160">
        <f>AQ14</f>
        <v>8.3947066296653026E-3</v>
      </c>
      <c r="AX12" s="31">
        <f t="shared" si="5"/>
        <v>9.8889520227781365</v>
      </c>
      <c r="AZ12">
        <v>7.5</v>
      </c>
      <c r="BA12">
        <f t="shared" si="6"/>
        <v>7.4999999999999997E-2</v>
      </c>
      <c r="BB12">
        <v>0.86499999999999999</v>
      </c>
      <c r="BC12">
        <f t="shared" si="7"/>
        <v>6.4875000000000002E-2</v>
      </c>
      <c r="BD12">
        <v>43</v>
      </c>
      <c r="BE12">
        <f t="shared" si="8"/>
        <v>2.789625</v>
      </c>
      <c r="BF12">
        <v>73.367636682232202</v>
      </c>
      <c r="BG12">
        <f>0.06636778941357/1000</f>
        <v>6.6367789413569991E-5</v>
      </c>
      <c r="BH12">
        <f>2.52657658902305/1000</f>
        <v>2.5265765890230499E-3</v>
      </c>
      <c r="BI12" s="31">
        <f t="shared" si="9"/>
        <v>27.58646778654246</v>
      </c>
      <c r="BJ12" s="31">
        <f t="shared" si="10"/>
        <v>2023.9539459091495</v>
      </c>
      <c r="BK12" s="31">
        <f t="shared" si="10"/>
        <v>1.8308528847214823E-3</v>
      </c>
      <c r="BL12" s="31">
        <f t="shared" si="10"/>
        <v>6.9699323683316702E-2</v>
      </c>
      <c r="BN12" s="31">
        <f t="shared" si="11"/>
        <v>2042.4755305660008</v>
      </c>
      <c r="BO12" s="31">
        <f t="shared" si="12"/>
        <v>2042.8515006454268</v>
      </c>
      <c r="BP12">
        <v>2.72</v>
      </c>
      <c r="BQ12">
        <f t="shared" si="13"/>
        <v>2017346.21264674</v>
      </c>
      <c r="BR12">
        <f t="shared" si="14"/>
        <v>2017.34621264674</v>
      </c>
      <c r="BU12" t="s">
        <v>206</v>
      </c>
      <c r="BV12">
        <f>SUM(BR20:BR25)</f>
        <v>67262.354744252327</v>
      </c>
    </row>
    <row r="13" spans="1:74" ht="13.75" thickBot="1">
      <c r="A13" s="905"/>
      <c r="B13" s="161" t="s">
        <v>18</v>
      </c>
      <c r="C13" s="162">
        <v>39072</v>
      </c>
      <c r="D13" s="163">
        <v>41329</v>
      </c>
      <c r="E13" s="164">
        <v>40381</v>
      </c>
      <c r="F13" s="165">
        <v>120782</v>
      </c>
      <c r="G13" s="166">
        <v>690618.38242838928</v>
      </c>
      <c r="H13" s="170"/>
      <c r="I13" s="157"/>
      <c r="J13" s="157"/>
      <c r="K13" s="157"/>
      <c r="L13" s="157"/>
      <c r="M13" s="168"/>
      <c r="Q13" t="s">
        <v>207</v>
      </c>
      <c r="S13">
        <v>4760</v>
      </c>
      <c r="W13" s="146" t="s">
        <v>169</v>
      </c>
      <c r="X13" s="169">
        <v>87423</v>
      </c>
      <c r="Y13" s="169">
        <v>38834</v>
      </c>
      <c r="Z13" s="148">
        <v>0.44</v>
      </c>
      <c r="AA13" s="147">
        <v>43.87</v>
      </c>
      <c r="AB13" s="149">
        <v>16013</v>
      </c>
      <c r="AD13" s="133">
        <f t="shared" ref="AD13:AE18" si="15">X13/X20</f>
        <v>0.32399888816825723</v>
      </c>
      <c r="AE13" s="133">
        <f t="shared" si="15"/>
        <v>0.30740125069263041</v>
      </c>
      <c r="AG13" s="31">
        <f t="shared" ref="AG13:AG18" si="16">AG20*AD13</f>
        <v>72575.426950801455</v>
      </c>
      <c r="AN13" s="31">
        <f t="shared" si="2"/>
        <v>1399.8651586499998</v>
      </c>
      <c r="AO13" s="135">
        <f t="shared" ref="AO13:AO18" si="17">AN13/$AO$19</f>
        <v>0.67154903551396572</v>
      </c>
      <c r="AQ13" s="133">
        <f t="shared" si="4"/>
        <v>0.33206503080050687</v>
      </c>
      <c r="AV13" t="s">
        <v>42</v>
      </c>
      <c r="AW13" s="160">
        <f>AQ28</f>
        <v>0</v>
      </c>
      <c r="AX13" s="31">
        <f t="shared" si="5"/>
        <v>0</v>
      </c>
      <c r="AZ13">
        <v>3.5</v>
      </c>
      <c r="BA13">
        <f t="shared" si="6"/>
        <v>3.5000000000000003E-2</v>
      </c>
      <c r="BB13">
        <v>0.75</v>
      </c>
      <c r="BC13">
        <f t="shared" si="7"/>
        <v>2.6250000000000002E-2</v>
      </c>
      <c r="BD13">
        <v>44.3</v>
      </c>
      <c r="BE13">
        <f t="shared" si="8"/>
        <v>1.1628750000000001</v>
      </c>
      <c r="BF13">
        <v>72.416541095972974</v>
      </c>
      <c r="BG13">
        <f>7.87852632644844/1000</f>
        <v>7.8785263264484397E-3</v>
      </c>
      <c r="BH13">
        <f>0.93521034397128/1000</f>
        <v>9.3521034397127997E-4</v>
      </c>
      <c r="BI13" s="31">
        <f>BE13*AX13</f>
        <v>0</v>
      </c>
      <c r="BJ13" s="31">
        <f>$BI13*BF13</f>
        <v>0</v>
      </c>
      <c r="BK13" s="31">
        <f t="shared" si="10"/>
        <v>0</v>
      </c>
      <c r="BL13" s="31">
        <f t="shared" si="10"/>
        <v>0</v>
      </c>
      <c r="BN13" s="31">
        <f t="shared" si="11"/>
        <v>0</v>
      </c>
      <c r="BO13" s="31">
        <f t="shared" si="12"/>
        <v>0</v>
      </c>
      <c r="BP13">
        <v>2.34</v>
      </c>
      <c r="BQ13">
        <f t="shared" si="13"/>
        <v>0</v>
      </c>
      <c r="BR13">
        <f t="shared" si="14"/>
        <v>0</v>
      </c>
    </row>
    <row r="14" spans="1:74" ht="13.75" thickBot="1">
      <c r="A14" s="905"/>
      <c r="B14" s="161" t="s">
        <v>19</v>
      </c>
      <c r="C14" s="162">
        <v>34593</v>
      </c>
      <c r="D14" s="163">
        <v>38833</v>
      </c>
      <c r="E14" s="164">
        <v>38760.78330939178</v>
      </c>
      <c r="F14" s="165">
        <v>112186.78330939179</v>
      </c>
      <c r="G14" s="166">
        <v>802805.16573778109</v>
      </c>
      <c r="H14" s="170"/>
      <c r="I14" s="157"/>
      <c r="J14" s="157"/>
      <c r="K14" s="157"/>
      <c r="L14" s="157"/>
      <c r="M14" s="168"/>
      <c r="Q14" t="s">
        <v>208</v>
      </c>
      <c r="S14">
        <v>4438</v>
      </c>
      <c r="W14" s="128" t="s">
        <v>190</v>
      </c>
      <c r="X14" s="129">
        <v>1303</v>
      </c>
      <c r="Y14" s="131">
        <v>694</v>
      </c>
      <c r="Z14" s="130">
        <v>0.53</v>
      </c>
      <c r="AA14" s="131">
        <v>74.41</v>
      </c>
      <c r="AB14" s="132">
        <v>27158</v>
      </c>
      <c r="AD14" s="133">
        <f t="shared" si="15"/>
        <v>0.94011544011544013</v>
      </c>
      <c r="AE14" s="133">
        <f t="shared" si="15"/>
        <v>0.91436100131752307</v>
      </c>
      <c r="AG14" s="31">
        <f t="shared" si="16"/>
        <v>871.48701298701303</v>
      </c>
      <c r="AN14" s="31">
        <f t="shared" si="2"/>
        <v>35.389023949999995</v>
      </c>
      <c r="AO14" s="135">
        <f t="shared" si="17"/>
        <v>1.6976967213272198E-2</v>
      </c>
      <c r="AQ14" s="133">
        <f t="shared" si="4"/>
        <v>8.3947066296653026E-3</v>
      </c>
      <c r="AU14" t="s">
        <v>209</v>
      </c>
      <c r="AV14" t="s">
        <v>158</v>
      </c>
      <c r="AW14" s="160">
        <f>AQ9</f>
        <v>1.5833047042734801E-2</v>
      </c>
      <c r="AX14" s="31">
        <f t="shared" si="5"/>
        <v>18.651306053590613</v>
      </c>
      <c r="AZ14">
        <v>8</v>
      </c>
      <c r="BA14">
        <f t="shared" si="6"/>
        <v>0.08</v>
      </c>
      <c r="BB14">
        <v>0.75</v>
      </c>
      <c r="BC14">
        <f t="shared" si="7"/>
        <v>0.06</v>
      </c>
      <c r="BD14">
        <v>44.3</v>
      </c>
      <c r="BE14">
        <f t="shared" si="8"/>
        <v>2.6579999999999999</v>
      </c>
      <c r="BF14">
        <v>72.513754762763227</v>
      </c>
      <c r="BG14">
        <f>6.43681969225972/1000</f>
        <v>6.4368196922597199E-3</v>
      </c>
      <c r="BH14">
        <f>1.22219082236233/1000</f>
        <v>1.2221908223623299E-3</v>
      </c>
      <c r="BI14" s="31">
        <f t="shared" si="9"/>
        <v>49.57517149044385</v>
      </c>
      <c r="BJ14" s="31">
        <f t="shared" si="10"/>
        <v>3594.8818277799764</v>
      </c>
      <c r="BK14" s="31">
        <f t="shared" si="10"/>
        <v>0.31910644009684164</v>
      </c>
      <c r="BL14" s="31">
        <f t="shared" si="10"/>
        <v>6.0590319612659101E-2</v>
      </c>
      <c r="BN14" s="31">
        <f t="shared" si="11"/>
        <v>3619.8732428000426</v>
      </c>
      <c r="BO14" s="31">
        <f t="shared" si="12"/>
        <v>3620.5395734415806</v>
      </c>
      <c r="BP14">
        <v>2.34</v>
      </c>
      <c r="BQ14">
        <f t="shared" si="13"/>
        <v>3491524.4932321627</v>
      </c>
      <c r="BR14">
        <f t="shared" si="14"/>
        <v>3491.5244932321625</v>
      </c>
      <c r="BU14" s="31">
        <f>BR27-BR9-BR12-BR15-BR18-BR21-BR24</f>
        <v>100514.14523687241</v>
      </c>
    </row>
    <row r="15" spans="1:74" ht="13.75" thickBot="1">
      <c r="A15" s="905"/>
      <c r="B15" s="161" t="s">
        <v>20</v>
      </c>
      <c r="C15" s="162">
        <v>38566</v>
      </c>
      <c r="D15" s="163">
        <v>40513</v>
      </c>
      <c r="E15" s="164">
        <v>39439.63451437137</v>
      </c>
      <c r="F15" s="165">
        <v>118518.63451437137</v>
      </c>
      <c r="G15" s="166">
        <v>921323.80025215249</v>
      </c>
      <c r="H15" s="170"/>
      <c r="I15" s="157"/>
      <c r="J15" s="157"/>
      <c r="K15" s="157"/>
      <c r="L15" s="157"/>
      <c r="M15" s="168"/>
      <c r="Q15" t="s">
        <v>210</v>
      </c>
      <c r="S15">
        <v>4152</v>
      </c>
      <c r="W15" s="146" t="s">
        <v>193</v>
      </c>
      <c r="X15" s="169">
        <v>1765</v>
      </c>
      <c r="Y15" s="147">
        <v>983</v>
      </c>
      <c r="Z15" s="148">
        <v>0.56000000000000005</v>
      </c>
      <c r="AA15" s="147">
        <v>127.72</v>
      </c>
      <c r="AB15" s="149">
        <v>46616</v>
      </c>
      <c r="AD15" s="133">
        <f t="shared" si="15"/>
        <v>0.9849330357142857</v>
      </c>
      <c r="AE15" s="133">
        <f t="shared" si="15"/>
        <v>0.99493927125506076</v>
      </c>
      <c r="AG15" s="31">
        <f t="shared" si="16"/>
        <v>1140.5524553571429</v>
      </c>
      <c r="AN15" s="31">
        <f t="shared" si="2"/>
        <v>82.280417</v>
      </c>
      <c r="AO15" s="135">
        <f t="shared" si="17"/>
        <v>3.9471897944316284E-2</v>
      </c>
      <c r="AQ15" s="133">
        <f t="shared" si="4"/>
        <v>1.9517915019567126E-2</v>
      </c>
      <c r="AV15" t="s">
        <v>25</v>
      </c>
      <c r="AW15" s="160">
        <f>AQ16</f>
        <v>7.5325966509435613E-2</v>
      </c>
      <c r="AX15" s="31">
        <f t="shared" si="5"/>
        <v>88.733877399465541</v>
      </c>
      <c r="AZ15">
        <v>7</v>
      </c>
      <c r="BA15">
        <f t="shared" si="6"/>
        <v>7.0000000000000007E-2</v>
      </c>
      <c r="BB15">
        <v>0.86499999999999999</v>
      </c>
      <c r="BC15">
        <f t="shared" si="7"/>
        <v>6.0550000000000007E-2</v>
      </c>
      <c r="BD15">
        <v>43</v>
      </c>
      <c r="BE15">
        <f t="shared" si="8"/>
        <v>2.6036500000000005</v>
      </c>
      <c r="BF15">
        <v>73.367561400348293</v>
      </c>
      <c r="BG15">
        <f>0.36897495946676/1000</f>
        <v>3.6897495946676E-4</v>
      </c>
      <c r="BH15">
        <f>2.09444904821954/1000</f>
        <v>2.0944490482195399E-3</v>
      </c>
      <c r="BI15" s="31">
        <f t="shared" si="9"/>
        <v>231.0319598911185</v>
      </c>
      <c r="BJ15" s="31">
        <f t="shared" si="10"/>
        <v>16950.25150275444</v>
      </c>
      <c r="BK15" s="31">
        <f t="shared" si="10"/>
        <v>8.5245008036351572E-2</v>
      </c>
      <c r="BL15" s="31">
        <f t="shared" si="10"/>
        <v>0.48388466850224804</v>
      </c>
      <c r="BN15" s="31">
        <f t="shared" si="11"/>
        <v>17080.867800132553</v>
      </c>
      <c r="BO15" s="31">
        <f t="shared" si="12"/>
        <v>17084.011972548516</v>
      </c>
      <c r="BP15">
        <v>2.72</v>
      </c>
      <c r="BQ15">
        <f t="shared" si="13"/>
        <v>16894930.256858241</v>
      </c>
      <c r="BR15">
        <f t="shared" si="14"/>
        <v>16894.930256858243</v>
      </c>
      <c r="BU15" s="31">
        <f>BR27-BU14</f>
        <v>176764.78939410375</v>
      </c>
    </row>
    <row r="16" spans="1:74" ht="13.75" thickBot="1">
      <c r="A16" s="905"/>
      <c r="B16" s="161" t="s">
        <v>211</v>
      </c>
      <c r="C16" s="162">
        <v>41254</v>
      </c>
      <c r="D16" s="163">
        <v>41184</v>
      </c>
      <c r="E16" s="164">
        <v>38954</v>
      </c>
      <c r="F16" s="165">
        <v>121392</v>
      </c>
      <c r="G16" s="166">
        <v>1042715.8002521525</v>
      </c>
      <c r="H16" s="121"/>
      <c r="I16" s="174"/>
      <c r="J16" s="174"/>
      <c r="K16" s="174"/>
      <c r="L16" s="174"/>
      <c r="M16" s="175"/>
      <c r="Q16" t="s">
        <v>212</v>
      </c>
      <c r="S16">
        <v>3802</v>
      </c>
      <c r="W16" s="128" t="s">
        <v>197</v>
      </c>
      <c r="X16" s="129">
        <v>22222</v>
      </c>
      <c r="Y16" s="129">
        <v>11391</v>
      </c>
      <c r="Z16" s="130">
        <v>0.51</v>
      </c>
      <c r="AA16" s="131">
        <v>39.15</v>
      </c>
      <c r="AB16" s="132">
        <v>14288</v>
      </c>
      <c r="AD16" s="133">
        <f t="shared" si="15"/>
        <v>0.76789108123984939</v>
      </c>
      <c r="AE16" s="133">
        <f t="shared" si="15"/>
        <v>0.77258545849158977</v>
      </c>
      <c r="AG16" s="31">
        <f t="shared" si="16"/>
        <v>17657.655413110337</v>
      </c>
      <c r="AN16" s="31">
        <f t="shared" si="2"/>
        <v>317.54682450000001</v>
      </c>
      <c r="AO16" s="135">
        <f t="shared" si="17"/>
        <v>0.15233486054410386</v>
      </c>
      <c r="AQ16" s="133">
        <f t="shared" si="4"/>
        <v>7.5325966509435613E-2</v>
      </c>
      <c r="AV16" t="s">
        <v>42</v>
      </c>
      <c r="AW16" s="160">
        <f>AQ30</f>
        <v>1.1314731336967924E-3</v>
      </c>
      <c r="AX16" s="31">
        <f t="shared" si="5"/>
        <v>1.3328736819283131</v>
      </c>
      <c r="AZ16">
        <v>4</v>
      </c>
      <c r="BA16">
        <f t="shared" si="6"/>
        <v>0.04</v>
      </c>
      <c r="BB16">
        <v>0.75</v>
      </c>
      <c r="BC16">
        <f t="shared" si="7"/>
        <v>0.03</v>
      </c>
      <c r="BD16">
        <v>44.3</v>
      </c>
      <c r="BE16">
        <f t="shared" si="8"/>
        <v>1.329</v>
      </c>
      <c r="BF16">
        <v>72.513754762763227</v>
      </c>
      <c r="BG16">
        <f>6.43681969225972/1000</f>
        <v>6.4368196922597199E-3</v>
      </c>
      <c r="BH16">
        <f>1.22219082236233/1000</f>
        <v>1.2221908223623299E-3</v>
      </c>
      <c r="BI16" s="31">
        <f t="shared" si="9"/>
        <v>1.7713891232827281</v>
      </c>
      <c r="BJ16" s="31">
        <f t="shared" si="10"/>
        <v>128.4500764751499</v>
      </c>
      <c r="BK16" s="31">
        <f t="shared" si="10"/>
        <v>1.1402112391400945E-2</v>
      </c>
      <c r="BL16" s="31">
        <f t="shared" si="10"/>
        <v>2.1649755293086039E-3</v>
      </c>
      <c r="BN16" s="31">
        <f t="shared" si="11"/>
        <v>129.34305413737593</v>
      </c>
      <c r="BO16" s="31">
        <f t="shared" si="12"/>
        <v>129.3668630484789</v>
      </c>
      <c r="BP16">
        <v>2.34</v>
      </c>
      <c r="BQ16">
        <f t="shared" si="13"/>
        <v>124756.97662849011</v>
      </c>
      <c r="BR16">
        <f t="shared" si="14"/>
        <v>124.75697662849011</v>
      </c>
    </row>
    <row r="17" spans="1:71" ht="13.75" thickBot="1">
      <c r="A17" s="905"/>
      <c r="B17" s="161" t="s">
        <v>213</v>
      </c>
      <c r="C17" s="162">
        <v>39454</v>
      </c>
      <c r="D17" s="163">
        <v>39405</v>
      </c>
      <c r="E17" s="164">
        <v>37215</v>
      </c>
      <c r="F17" s="165">
        <v>116074</v>
      </c>
      <c r="G17" s="166">
        <v>1158789.8002521526</v>
      </c>
      <c r="H17" s="121"/>
      <c r="I17" s="174"/>
      <c r="J17" s="174"/>
      <c r="K17" s="174"/>
      <c r="L17" s="174"/>
      <c r="M17" s="175"/>
      <c r="Q17" t="s">
        <v>214</v>
      </c>
      <c r="S17">
        <v>3576</v>
      </c>
      <c r="W17" s="146" t="s">
        <v>199</v>
      </c>
      <c r="X17" s="169">
        <v>5250</v>
      </c>
      <c r="Y17" s="169">
        <v>2769</v>
      </c>
      <c r="Z17" s="148">
        <v>0.53</v>
      </c>
      <c r="AA17" s="147">
        <v>40.729999999999997</v>
      </c>
      <c r="AB17" s="149">
        <v>14865</v>
      </c>
      <c r="AD17" s="133">
        <f t="shared" si="15"/>
        <v>0.89179548156956001</v>
      </c>
      <c r="AE17" s="133">
        <f t="shared" si="15"/>
        <v>0.94601981551076186</v>
      </c>
      <c r="AG17" s="31">
        <f t="shared" si="16"/>
        <v>3390.6064209274673</v>
      </c>
      <c r="AN17" s="31">
        <f t="shared" si="2"/>
        <v>78.048862499999984</v>
      </c>
      <c r="AO17" s="135">
        <f t="shared" si="17"/>
        <v>3.7441919324132419E-2</v>
      </c>
      <c r="AQ17" s="133">
        <f t="shared" si="4"/>
        <v>1.8514138858203393E-2</v>
      </c>
      <c r="AU17" t="s">
        <v>215</v>
      </c>
      <c r="AV17" t="s">
        <v>158</v>
      </c>
      <c r="AW17" s="160">
        <f>AQ8</f>
        <v>4.1611518993850573E-5</v>
      </c>
      <c r="AX17" s="31">
        <f t="shared" si="5"/>
        <v>4.9018307974094837E-2</v>
      </c>
      <c r="AZ17">
        <v>40</v>
      </c>
      <c r="BA17">
        <f t="shared" si="6"/>
        <v>0.4</v>
      </c>
      <c r="BB17">
        <v>0.75</v>
      </c>
      <c r="BC17">
        <f t="shared" si="7"/>
        <v>0.30000000000000004</v>
      </c>
      <c r="BD17">
        <v>44.3</v>
      </c>
      <c r="BE17">
        <f t="shared" si="8"/>
        <v>13.290000000000001</v>
      </c>
      <c r="BF17">
        <v>72.512080209241503</v>
      </c>
      <c r="BG17">
        <f>15.8206501432308/1000</f>
        <v>1.5820650143230801E-2</v>
      </c>
      <c r="BH17">
        <f>0.84755262174617/1000</f>
        <v>8.4755262174616996E-4</v>
      </c>
      <c r="BI17" s="31">
        <f t="shared" si="9"/>
        <v>0.6514533129757204</v>
      </c>
      <c r="BJ17" s="31">
        <f>$BI17*BF17</f>
        <v>47.238234883071549</v>
      </c>
      <c r="BK17" s="31">
        <f t="shared" si="10"/>
        <v>1.0306414949237511E-2</v>
      </c>
      <c r="BL17" s="31">
        <f t="shared" si="10"/>
        <v>5.5214096335780001E-4</v>
      </c>
      <c r="BN17" s="31">
        <f t="shared" si="11"/>
        <v>47.673131856940017</v>
      </c>
      <c r="BO17" s="31">
        <f t="shared" si="12"/>
        <v>47.681907321273627</v>
      </c>
      <c r="BP17">
        <v>2.34</v>
      </c>
      <c r="BQ17">
        <f t="shared" si="13"/>
        <v>45881.136263752764</v>
      </c>
      <c r="BR17">
        <f t="shared" si="14"/>
        <v>45.881136263752765</v>
      </c>
    </row>
    <row r="18" spans="1:71" ht="13.75" thickBot="1">
      <c r="A18" s="905"/>
      <c r="B18" s="161" t="s">
        <v>216</v>
      </c>
      <c r="C18" s="162">
        <v>39646</v>
      </c>
      <c r="D18" s="163">
        <v>41051</v>
      </c>
      <c r="E18" s="164">
        <v>37101</v>
      </c>
      <c r="F18" s="165">
        <v>117798</v>
      </c>
      <c r="G18" s="166">
        <v>1276587.8002521526</v>
      </c>
      <c r="H18" s="121"/>
      <c r="I18" s="174"/>
      <c r="J18" s="174"/>
      <c r="K18" s="174"/>
      <c r="L18" s="174"/>
      <c r="M18" s="175"/>
      <c r="Q18" t="s">
        <v>200</v>
      </c>
      <c r="S18">
        <v>3113</v>
      </c>
      <c r="W18" s="128" t="s">
        <v>201</v>
      </c>
      <c r="X18" s="129">
        <v>6919</v>
      </c>
      <c r="Y18" s="129">
        <v>3391</v>
      </c>
      <c r="Z18" s="130">
        <v>0.49</v>
      </c>
      <c r="AA18" s="131">
        <v>67.87</v>
      </c>
      <c r="AB18" s="132">
        <v>24772</v>
      </c>
      <c r="AD18" s="133">
        <f t="shared" si="15"/>
        <v>0.99396638414020977</v>
      </c>
      <c r="AE18" s="133">
        <f t="shared" si="15"/>
        <v>0.99793996468510893</v>
      </c>
      <c r="AG18" s="31">
        <f t="shared" si="16"/>
        <v>4126.9484269501509</v>
      </c>
      <c r="AN18" s="31">
        <f t="shared" si="2"/>
        <v>171.40127345000002</v>
      </c>
      <c r="AO18" s="135">
        <f t="shared" si="17"/>
        <v>8.2225319460209459E-2</v>
      </c>
      <c r="AQ18" s="133">
        <f t="shared" si="4"/>
        <v>4.0658465421276213E-2</v>
      </c>
      <c r="AV18" t="s">
        <v>25</v>
      </c>
      <c r="AW18" s="160">
        <f>AQ15</f>
        <v>1.9517915019567126E-2</v>
      </c>
      <c r="AX18" s="31">
        <f t="shared" si="5"/>
        <v>22.992075093022699</v>
      </c>
      <c r="AZ18">
        <v>38</v>
      </c>
      <c r="BA18">
        <f t="shared" si="6"/>
        <v>0.38</v>
      </c>
      <c r="BB18">
        <v>0.86499999999999999</v>
      </c>
      <c r="BC18">
        <f t="shared" si="7"/>
        <v>0.32869999999999999</v>
      </c>
      <c r="BD18">
        <v>43</v>
      </c>
      <c r="BE18">
        <f t="shared" si="8"/>
        <v>14.1341</v>
      </c>
      <c r="BF18">
        <v>73.367479939063315</v>
      </c>
      <c r="BG18">
        <f>2.07749454663654/1000</f>
        <v>2.0774945466365403E-3</v>
      </c>
      <c r="BH18">
        <f>2.35970659533889/1000</f>
        <v>2.3597065953388898E-3</v>
      </c>
      <c r="BI18" s="31">
        <f t="shared" si="9"/>
        <v>324.97228857229214</v>
      </c>
      <c r="BJ18" s="31">
        <f t="shared" si="10"/>
        <v>23842.397862579139</v>
      </c>
      <c r="BK18" s="31">
        <f>$BI18*BG18</f>
        <v>0.67512815731693299</v>
      </c>
      <c r="BL18" s="31">
        <f t="shared" si="10"/>
        <v>0.76683925264641073</v>
      </c>
      <c r="BN18" s="31">
        <f t="shared" si="11"/>
        <v>24064.513852935313</v>
      </c>
      <c r="BO18" s="31">
        <f t="shared" si="12"/>
        <v>24068.94354477213</v>
      </c>
      <c r="BP18">
        <v>2.72</v>
      </c>
      <c r="BQ18">
        <f t="shared" si="13"/>
        <v>23764608.816148266</v>
      </c>
      <c r="BR18">
        <f t="shared" si="14"/>
        <v>23764.608816148266</v>
      </c>
    </row>
    <row r="19" spans="1:71" ht="13.75" thickBot="1">
      <c r="A19" s="906"/>
      <c r="B19" s="176" t="s">
        <v>217</v>
      </c>
      <c r="C19" s="177">
        <v>40180</v>
      </c>
      <c r="D19" s="178">
        <v>42745</v>
      </c>
      <c r="E19" s="179">
        <v>36800</v>
      </c>
      <c r="F19" s="180">
        <v>119725</v>
      </c>
      <c r="G19" s="166">
        <v>1396312.8002521526</v>
      </c>
      <c r="H19" s="121"/>
      <c r="I19" s="174"/>
      <c r="J19" s="174"/>
      <c r="K19" s="174"/>
      <c r="L19" s="174"/>
      <c r="M19" s="175"/>
      <c r="W19" s="926" t="s">
        <v>218</v>
      </c>
      <c r="X19" s="927"/>
      <c r="Y19" s="927"/>
      <c r="Z19" s="927"/>
      <c r="AA19" s="927"/>
      <c r="AB19" s="928"/>
      <c r="AG19" t="s">
        <v>219</v>
      </c>
      <c r="AN19" s="31"/>
      <c r="AO19" s="31">
        <f>SUM(AN13:AN18)</f>
        <v>2084.5315600499998</v>
      </c>
      <c r="AQ19" s="133">
        <f t="shared" si="4"/>
        <v>0</v>
      </c>
      <c r="AV19" t="s">
        <v>42</v>
      </c>
      <c r="AW19" s="160">
        <f>AQ29</f>
        <v>1.4564031647847702E-4</v>
      </c>
      <c r="AX19" s="31">
        <f t="shared" si="5"/>
        <v>0.17156407790933195</v>
      </c>
      <c r="AZ19">
        <v>18</v>
      </c>
      <c r="BA19">
        <f t="shared" si="6"/>
        <v>0.18</v>
      </c>
      <c r="BB19">
        <v>0.75</v>
      </c>
      <c r="BC19">
        <f t="shared" si="7"/>
        <v>0.13500000000000001</v>
      </c>
      <c r="BD19">
        <v>44.3</v>
      </c>
      <c r="BE19">
        <f t="shared" si="8"/>
        <v>5.9805000000000001</v>
      </c>
      <c r="BF19">
        <v>72.512080209241503</v>
      </c>
      <c r="BG19">
        <f>15.8206501432308/1000</f>
        <v>1.5820650143230801E-2</v>
      </c>
      <c r="BH19">
        <f>0.84755262174617/1000</f>
        <v>8.4755262174616996E-4</v>
      </c>
      <c r="BI19" s="31">
        <f t="shared" si="9"/>
        <v>1.0260389679367599</v>
      </c>
      <c r="BJ19" s="31">
        <f t="shared" si="10"/>
        <v>74.400219940837701</v>
      </c>
      <c r="BK19" s="31">
        <f t="shared" si="10"/>
        <v>1.6232603545049084E-2</v>
      </c>
      <c r="BL19" s="31">
        <f t="shared" si="10"/>
        <v>8.696220172885352E-4</v>
      </c>
      <c r="BN19" s="31">
        <f t="shared" si="11"/>
        <v>75.085182674680539</v>
      </c>
      <c r="BO19" s="31">
        <f t="shared" si="12"/>
        <v>75.099004031005961</v>
      </c>
      <c r="BP19">
        <v>2.34</v>
      </c>
      <c r="BQ19">
        <f t="shared" si="13"/>
        <v>72262.789615410598</v>
      </c>
      <c r="BR19">
        <f t="shared" si="14"/>
        <v>72.262789615410597</v>
      </c>
    </row>
    <row r="20" spans="1:71" ht="13.75" thickBot="1">
      <c r="A20" s="181" t="s">
        <v>220</v>
      </c>
      <c r="B20" s="182"/>
      <c r="C20" s="183">
        <v>39154.089654148054</v>
      </c>
      <c r="D20" s="183">
        <v>39736.608881551052</v>
      </c>
      <c r="E20" s="183">
        <v>37468.701485313599</v>
      </c>
      <c r="F20" s="184">
        <v>116359.40002101271</v>
      </c>
      <c r="G20" s="184"/>
      <c r="H20" s="185"/>
      <c r="I20" s="186"/>
      <c r="J20" s="186"/>
      <c r="K20" s="186"/>
      <c r="L20" s="186"/>
      <c r="M20" s="187"/>
      <c r="W20" s="128" t="s">
        <v>169</v>
      </c>
      <c r="X20" s="129">
        <v>269825</v>
      </c>
      <c r="Y20" s="129">
        <v>126330</v>
      </c>
      <c r="Z20" s="130">
        <v>0.47</v>
      </c>
      <c r="AA20" s="131">
        <v>35.020000000000003</v>
      </c>
      <c r="AB20" s="132">
        <v>12781</v>
      </c>
      <c r="AD20" s="133">
        <f>X20/$X$26</f>
        <v>0.85715874074780007</v>
      </c>
      <c r="AE20" s="133">
        <f>(X20-X13-X6)/X20</f>
        <v>7.0334476049291203E-2</v>
      </c>
      <c r="AG20">
        <f>S7</f>
        <v>223999</v>
      </c>
      <c r="AI20" s="133">
        <f>AG20/$AG$26</f>
        <v>0.87147953764691688</v>
      </c>
      <c r="AN20" s="31">
        <f>AA20*X20*365/1000000</f>
        <v>3448.9840975000002</v>
      </c>
      <c r="AO20" s="135">
        <f t="shared" ref="AO20:AO25" si="18">AN20/$AO$26</f>
        <v>0.81814094985497487</v>
      </c>
      <c r="AQ20" s="133">
        <f t="shared" si="4"/>
        <v>0.81814094985497487</v>
      </c>
      <c r="AU20" t="str">
        <f>W10</f>
        <v>Vörubifreiðar ≤12t</v>
      </c>
      <c r="AV20" t="s">
        <v>158</v>
      </c>
      <c r="AW20" s="160">
        <f>AQ10</f>
        <v>1.2084570413085115E-3</v>
      </c>
      <c r="AX20" s="31">
        <f t="shared" si="5"/>
        <v>1.4235606114998625</v>
      </c>
      <c r="AZ20">
        <v>30</v>
      </c>
      <c r="BA20">
        <f t="shared" si="6"/>
        <v>0.3</v>
      </c>
      <c r="BB20">
        <v>0.75</v>
      </c>
      <c r="BC20">
        <f t="shared" si="7"/>
        <v>0.22499999999999998</v>
      </c>
      <c r="BD20">
        <v>44.3</v>
      </c>
      <c r="BE20">
        <f t="shared" si="8"/>
        <v>9.9674999999999976</v>
      </c>
      <c r="BF20">
        <v>72.513754762763227</v>
      </c>
      <c r="BG20">
        <f>6.43681969225972/1000</f>
        <v>6.4368196922597199E-3</v>
      </c>
      <c r="BH20">
        <f>1.22219082236233/1000</f>
        <v>1.2221908223623299E-3</v>
      </c>
      <c r="BI20" s="31">
        <f t="shared" si="9"/>
        <v>14.189340395124876</v>
      </c>
      <c r="BJ20" s="31">
        <f t="shared" si="10"/>
        <v>1028.9223496574552</v>
      </c>
      <c r="BK20" s="31">
        <f t="shared" si="10"/>
        <v>9.133422567551612E-2</v>
      </c>
      <c r="BL20" s="31">
        <f t="shared" si="10"/>
        <v>1.7342081606296699E-2</v>
      </c>
      <c r="BN20" s="31">
        <f t="shared" si="11"/>
        <v>1036.0753596020381</v>
      </c>
      <c r="BO20" s="31">
        <f t="shared" si="12"/>
        <v>1036.2660758820678</v>
      </c>
      <c r="BP20">
        <v>2.34</v>
      </c>
      <c r="BQ20">
        <f t="shared" si="13"/>
        <v>999339.54927290336</v>
      </c>
      <c r="BR20">
        <f t="shared" si="14"/>
        <v>999.33954927290335</v>
      </c>
    </row>
    <row r="21" spans="1:71" ht="13.75" thickBot="1">
      <c r="A21" s="905">
        <v>2006</v>
      </c>
      <c r="B21" s="188" t="s">
        <v>191</v>
      </c>
      <c r="C21" s="151">
        <v>37989</v>
      </c>
      <c r="D21" s="152">
        <v>38437</v>
      </c>
      <c r="E21" s="153">
        <v>34682</v>
      </c>
      <c r="F21" s="154">
        <v>111108</v>
      </c>
      <c r="G21" s="155">
        <v>111108</v>
      </c>
      <c r="H21" s="916" t="s">
        <v>221</v>
      </c>
      <c r="I21" s="189">
        <v>2.7729682934747323E-2</v>
      </c>
      <c r="J21" s="190">
        <v>7.1027113828670246E-2</v>
      </c>
      <c r="K21" s="191">
        <v>6.2644656554256883E-2</v>
      </c>
      <c r="L21" s="192">
        <v>6.2644656554256883E-2</v>
      </c>
      <c r="M21" s="193">
        <v>6.2644656554256883E-2</v>
      </c>
      <c r="Q21" t="s">
        <v>222</v>
      </c>
      <c r="S21">
        <v>927</v>
      </c>
      <c r="W21" s="146" t="s">
        <v>190</v>
      </c>
      <c r="X21" s="169">
        <v>1386</v>
      </c>
      <c r="Y21" s="147">
        <v>759</v>
      </c>
      <c r="Z21" s="148">
        <v>0.55000000000000004</v>
      </c>
      <c r="AA21" s="147">
        <v>70.17</v>
      </c>
      <c r="AB21" s="149">
        <v>25613</v>
      </c>
      <c r="AD21" s="133">
        <f t="shared" ref="AD21:AD25" si="19">X21/$X$26</f>
        <v>4.4029352901934623E-3</v>
      </c>
      <c r="AE21" s="133">
        <f t="shared" ref="AE21:AE25" si="20">(Y21-Y14-Y7)/Y21</f>
        <v>0</v>
      </c>
      <c r="AG21">
        <v>927</v>
      </c>
      <c r="AI21" s="133">
        <f t="shared" ref="AI21:AI25" si="21">AG21/$AG$26</f>
        <v>3.606540794372707E-3</v>
      </c>
      <c r="AN21" s="31">
        <f t="shared" si="2"/>
        <v>35.498301299999994</v>
      </c>
      <c r="AO21" s="135">
        <f t="shared" si="18"/>
        <v>8.420628545336482E-3</v>
      </c>
      <c r="AQ21" s="133">
        <f t="shared" si="4"/>
        <v>8.420628545336482E-3</v>
      </c>
      <c r="AV21" t="s">
        <v>25</v>
      </c>
      <c r="AW21" s="160">
        <f>AQ17</f>
        <v>1.8514138858203393E-2</v>
      </c>
      <c r="AX21" s="31">
        <f t="shared" si="5"/>
        <v>21.809628256077055</v>
      </c>
      <c r="AZ21">
        <v>26</v>
      </c>
      <c r="BA21">
        <f t="shared" si="6"/>
        <v>0.26</v>
      </c>
      <c r="BB21">
        <v>0.86499999999999999</v>
      </c>
      <c r="BC21">
        <f t="shared" si="7"/>
        <v>0.22490000000000002</v>
      </c>
      <c r="BD21">
        <v>43</v>
      </c>
      <c r="BE21">
        <f t="shared" si="8"/>
        <v>9.6707000000000001</v>
      </c>
      <c r="BF21">
        <v>73.367561400348293</v>
      </c>
      <c r="BG21">
        <f>0.36897495946676/1000</f>
        <v>3.6897495946676E-4</v>
      </c>
      <c r="BH21">
        <f>2.09444904821954/1000</f>
        <v>2.0944490482195399E-3</v>
      </c>
      <c r="BI21" s="31">
        <f t="shared" si="9"/>
        <v>210.91437197604438</v>
      </c>
      <c r="BJ21" s="31">
        <f t="shared" si="10"/>
        <v>15474.273136168335</v>
      </c>
      <c r="BK21" s="31">
        <f t="shared" si="10"/>
        <v>7.7822121850818118E-2</v>
      </c>
      <c r="BL21" s="31">
        <f t="shared" si="10"/>
        <v>0.44174940564104814</v>
      </c>
      <c r="BN21" s="31">
        <f t="shared" si="11"/>
        <v>15593.515748075035</v>
      </c>
      <c r="BO21" s="31">
        <f t="shared" si="12"/>
        <v>15596.386135145332</v>
      </c>
      <c r="BP21">
        <v>2.72</v>
      </c>
      <c r="BQ21">
        <f t="shared" si="13"/>
        <v>15423769.102697695</v>
      </c>
      <c r="BR21">
        <f t="shared" si="14"/>
        <v>15423.769102697695</v>
      </c>
    </row>
    <row r="22" spans="1:71" ht="13.75" thickBot="1">
      <c r="A22" s="905"/>
      <c r="B22" s="161" t="s">
        <v>195</v>
      </c>
      <c r="C22" s="162">
        <v>40907</v>
      </c>
      <c r="D22" s="163">
        <v>40671</v>
      </c>
      <c r="E22" s="164">
        <v>37501</v>
      </c>
      <c r="F22" s="165">
        <v>119079</v>
      </c>
      <c r="G22" s="166">
        <v>230187</v>
      </c>
      <c r="H22" s="916"/>
      <c r="I22" s="194">
        <v>2.7659146862282068E-2</v>
      </c>
      <c r="J22" s="195">
        <v>6.4039269095448867E-2</v>
      </c>
      <c r="K22" s="196">
        <v>6.2061931004768756E-2</v>
      </c>
      <c r="L22" s="197">
        <v>6.2061931004768756E-2</v>
      </c>
      <c r="M22" s="198">
        <v>6.2343124549252948E-2</v>
      </c>
      <c r="Q22" t="s">
        <v>223</v>
      </c>
      <c r="S22">
        <v>1158</v>
      </c>
      <c r="W22" s="128" t="s">
        <v>193</v>
      </c>
      <c r="X22" s="129">
        <v>1792</v>
      </c>
      <c r="Y22" s="131">
        <v>988</v>
      </c>
      <c r="Z22" s="130">
        <v>0.55000000000000004</v>
      </c>
      <c r="AA22" s="131">
        <v>127.43</v>
      </c>
      <c r="AB22" s="132">
        <v>46511</v>
      </c>
      <c r="AD22" s="133">
        <f t="shared" si="19"/>
        <v>5.6926840115632642E-3</v>
      </c>
      <c r="AE22" s="133">
        <f t="shared" si="20"/>
        <v>1.0121457489878543E-3</v>
      </c>
      <c r="AG22">
        <v>1158</v>
      </c>
      <c r="AI22" s="133">
        <f t="shared" si="21"/>
        <v>4.5052580797018283E-3</v>
      </c>
      <c r="AN22" s="31">
        <f t="shared" si="2"/>
        <v>83.349414400000001</v>
      </c>
      <c r="AO22" s="135">
        <f t="shared" si="18"/>
        <v>1.9771494196363693E-2</v>
      </c>
      <c r="AQ22" s="133">
        <f t="shared" si="4"/>
        <v>1.9771494196363693E-2</v>
      </c>
      <c r="AV22" t="s">
        <v>42</v>
      </c>
      <c r="AW22" s="160">
        <f>AQ31</f>
        <v>3.8061639096331075E-6</v>
      </c>
      <c r="AX22" s="31">
        <f t="shared" si="5"/>
        <v>4.4836554692909061E-3</v>
      </c>
      <c r="AZ22">
        <v>18</v>
      </c>
      <c r="BA22">
        <f t="shared" si="6"/>
        <v>0.18</v>
      </c>
      <c r="BB22">
        <v>0.75</v>
      </c>
      <c r="BC22">
        <f t="shared" si="7"/>
        <v>0.13500000000000001</v>
      </c>
      <c r="BD22">
        <v>44.3</v>
      </c>
      <c r="BE22">
        <f t="shared" si="8"/>
        <v>5.9805000000000001</v>
      </c>
      <c r="BF22">
        <v>72.513754762763227</v>
      </c>
      <c r="BG22">
        <f>6.43681969225972/1000</f>
        <v>6.4368196922597199E-3</v>
      </c>
      <c r="BH22">
        <f>1.22219082236233/1000</f>
        <v>1.2221908223623299E-3</v>
      </c>
      <c r="BI22" s="31">
        <f t="shared" si="9"/>
        <v>2.6814501534094263E-2</v>
      </c>
      <c r="BJ22" s="31">
        <f t="shared" si="10"/>
        <v>1.9444201883290497</v>
      </c>
      <c r="BK22" s="31">
        <f t="shared" si="10"/>
        <v>1.7260011151278641E-4</v>
      </c>
      <c r="BL22" s="31">
        <f t="shared" si="10"/>
        <v>3.2772437681190624E-5</v>
      </c>
      <c r="BN22" s="31">
        <f t="shared" si="11"/>
        <v>1.9579376874369234</v>
      </c>
      <c r="BO22" s="31">
        <f t="shared" si="12"/>
        <v>1.9582980961550898</v>
      </c>
      <c r="BP22">
        <v>2.34</v>
      </c>
      <c r="BQ22">
        <f t="shared" si="13"/>
        <v>1888.5156836653296</v>
      </c>
      <c r="BR22">
        <f t="shared" si="14"/>
        <v>1.8885156836653296</v>
      </c>
    </row>
    <row r="23" spans="1:71" ht="13.75" thickBot="1">
      <c r="A23" s="905"/>
      <c r="B23" s="161" t="s">
        <v>15</v>
      </c>
      <c r="C23" s="162">
        <v>42550</v>
      </c>
      <c r="D23" s="163">
        <v>41844</v>
      </c>
      <c r="E23" s="164">
        <v>39087</v>
      </c>
      <c r="F23" s="165">
        <v>123481</v>
      </c>
      <c r="G23" s="166">
        <v>353668</v>
      </c>
      <c r="H23" s="916"/>
      <c r="I23" s="194">
        <v>8.2311644706720255E-2</v>
      </c>
      <c r="J23" s="195">
        <v>8.1184996680681562E-2</v>
      </c>
      <c r="K23" s="196">
        <v>8.8449213399812709E-2</v>
      </c>
      <c r="L23" s="197">
        <v>8.8449213399812709E-2</v>
      </c>
      <c r="M23" s="198">
        <v>7.1314415927035579E-2</v>
      </c>
      <c r="W23" s="146" t="s">
        <v>197</v>
      </c>
      <c r="X23" s="169">
        <v>28939</v>
      </c>
      <c r="Y23" s="169">
        <v>14744</v>
      </c>
      <c r="Z23" s="148">
        <v>0.51</v>
      </c>
      <c r="AA23" s="147">
        <v>36.94</v>
      </c>
      <c r="AB23" s="149">
        <v>13482</v>
      </c>
      <c r="AD23" s="133">
        <f t="shared" si="19"/>
        <v>9.1931128688967245E-2</v>
      </c>
      <c r="AE23" s="133">
        <f t="shared" si="20"/>
        <v>9.4275637547476948E-3</v>
      </c>
      <c r="AG23">
        <f>S8</f>
        <v>22995</v>
      </c>
      <c r="AI23" s="133">
        <f t="shared" si="21"/>
        <v>8.9463220675944338E-2</v>
      </c>
      <c r="AN23" s="31">
        <f>AA23*X23*365/1000000</f>
        <v>390.18743089999998</v>
      </c>
      <c r="AO23" s="135">
        <f t="shared" si="18"/>
        <v>9.255720128410895E-2</v>
      </c>
      <c r="AQ23" s="133">
        <f t="shared" si="4"/>
        <v>9.255720128410895E-2</v>
      </c>
      <c r="AU23" t="str">
        <f>W25</f>
        <v>Vörubifreiðar &gt;12t</v>
      </c>
      <c r="AV23" t="s">
        <v>158</v>
      </c>
      <c r="AW23" s="160">
        <f>AQ10</f>
        <v>1.2084570413085115E-3</v>
      </c>
      <c r="AX23" s="31">
        <f t="shared" si="5"/>
        <v>1.4235606114998625</v>
      </c>
      <c r="AZ23">
        <v>40</v>
      </c>
      <c r="BA23">
        <f t="shared" si="6"/>
        <v>0.4</v>
      </c>
      <c r="BB23">
        <v>0.75</v>
      </c>
      <c r="BC23">
        <f t="shared" si="7"/>
        <v>0.30000000000000004</v>
      </c>
      <c r="BD23">
        <v>44.3</v>
      </c>
      <c r="BE23">
        <f t="shared" si="8"/>
        <v>13.290000000000001</v>
      </c>
      <c r="BF23">
        <v>72.512080209241503</v>
      </c>
      <c r="BG23">
        <f>15.8206501432308/1000</f>
        <v>1.5820650143230801E-2</v>
      </c>
      <c r="BH23">
        <f>0.84755262174617/1000</f>
        <v>8.4755262174616996E-4</v>
      </c>
      <c r="BI23" s="31">
        <f t="shared" si="9"/>
        <v>18.919120526833172</v>
      </c>
      <c r="BJ23" s="31">
        <f t="shared" si="10"/>
        <v>1371.8647851300343</v>
      </c>
      <c r="BK23" s="31">
        <f t="shared" si="10"/>
        <v>0.29931278687264401</v>
      </c>
      <c r="BL23" s="31">
        <f t="shared" si="10"/>
        <v>1.6034950203649236E-2</v>
      </c>
      <c r="BN23" s="31">
        <f t="shared" si="11"/>
        <v>1384.4948049664354</v>
      </c>
      <c r="BO23" s="31">
        <f t="shared" si="12"/>
        <v>1384.7496567940332</v>
      </c>
      <c r="BP23">
        <v>2.34</v>
      </c>
      <c r="BQ23">
        <f t="shared" si="13"/>
        <v>1332452.7323638711</v>
      </c>
      <c r="BR23">
        <f t="shared" si="14"/>
        <v>1332.4527323638711</v>
      </c>
    </row>
    <row r="24" spans="1:71" ht="13.75" thickBot="1">
      <c r="A24" s="905"/>
      <c r="B24" s="161" t="s">
        <v>16</v>
      </c>
      <c r="C24" s="162">
        <v>38387</v>
      </c>
      <c r="D24" s="163">
        <v>39569</v>
      </c>
      <c r="E24" s="164">
        <v>37569</v>
      </c>
      <c r="F24" s="165">
        <v>115525</v>
      </c>
      <c r="G24" s="166">
        <v>469193</v>
      </c>
      <c r="H24" s="916"/>
      <c r="I24" s="194">
        <v>-5.8474685793451248E-2</v>
      </c>
      <c r="J24" s="195">
        <v>-1.2760188212776139E-3</v>
      </c>
      <c r="K24" s="196">
        <v>-2.8704408751996091E-2</v>
      </c>
      <c r="L24" s="197">
        <v>-2.8704408751996091E-2</v>
      </c>
      <c r="M24" s="198">
        <v>4.4823455965850467E-2</v>
      </c>
      <c r="Q24" t="s">
        <v>207</v>
      </c>
      <c r="W24" s="128" t="s">
        <v>199</v>
      </c>
      <c r="X24" s="129">
        <v>5887</v>
      </c>
      <c r="Y24" s="129">
        <v>2927</v>
      </c>
      <c r="Z24" s="130">
        <v>0.5</v>
      </c>
      <c r="AA24" s="131">
        <v>39.71</v>
      </c>
      <c r="AB24" s="132">
        <v>14496</v>
      </c>
      <c r="AD24" s="133">
        <f t="shared" si="19"/>
        <v>1.870135645986213E-2</v>
      </c>
      <c r="AE24" s="133">
        <f t="shared" si="20"/>
        <v>0</v>
      </c>
      <c r="AG24">
        <f>S16</f>
        <v>3802</v>
      </c>
      <c r="AI24" s="133">
        <f t="shared" si="21"/>
        <v>1.4791874973252461E-2</v>
      </c>
      <c r="AN24" s="31">
        <f t="shared" si="2"/>
        <v>85.327061050000012</v>
      </c>
      <c r="AO24" s="135">
        <f t="shared" si="18"/>
        <v>2.024061601976709E-2</v>
      </c>
      <c r="AQ24" s="133">
        <f t="shared" si="4"/>
        <v>2.024061601976709E-2</v>
      </c>
      <c r="AV24" t="s">
        <v>25</v>
      </c>
      <c r="AW24" s="160">
        <f>AQ18</f>
        <v>4.0658465421276213E-2</v>
      </c>
      <c r="AX24" s="31">
        <f t="shared" si="5"/>
        <v>47.895612271898401</v>
      </c>
      <c r="AZ24">
        <v>38</v>
      </c>
      <c r="BA24">
        <f t="shared" si="6"/>
        <v>0.38</v>
      </c>
      <c r="BB24">
        <v>0.86499999999999999</v>
      </c>
      <c r="BC24">
        <f t="shared" si="7"/>
        <v>0.32869999999999999</v>
      </c>
      <c r="BD24">
        <v>43</v>
      </c>
      <c r="BE24">
        <f t="shared" si="8"/>
        <v>14.1341</v>
      </c>
      <c r="BF24">
        <v>73.367479939063315</v>
      </c>
      <c r="BG24">
        <f>2.07749454663654/1000</f>
        <v>2.0774945466365403E-3</v>
      </c>
      <c r="BH24">
        <f>2.35970659533889/1000</f>
        <v>2.3597065953388898E-3</v>
      </c>
      <c r="BI24" s="31">
        <f t="shared" si="9"/>
        <v>676.96137341223914</v>
      </c>
      <c r="BJ24" s="31">
        <f t="shared" si="10"/>
        <v>49666.949983343206</v>
      </c>
      <c r="BK24" s="31">
        <f t="shared" si="10"/>
        <v>1.4063835615475095</v>
      </c>
      <c r="BL24" s="31">
        <f t="shared" si="10"/>
        <v>1.5974302176305337</v>
      </c>
      <c r="BN24" s="31">
        <f t="shared" si="11"/>
        <v>50129.64773073863</v>
      </c>
      <c r="BO24" s="31">
        <f t="shared" si="12"/>
        <v>50138.87537991086</v>
      </c>
      <c r="BP24">
        <v>2.72</v>
      </c>
      <c r="BQ24">
        <f t="shared" si="13"/>
        <v>49504904.844234191</v>
      </c>
      <c r="BR24">
        <f t="shared" si="14"/>
        <v>49504.904844234188</v>
      </c>
    </row>
    <row r="25" spans="1:71" ht="13.75" thickBot="1">
      <c r="A25" s="905"/>
      <c r="B25" s="161" t="s">
        <v>17</v>
      </c>
      <c r="C25" s="162">
        <v>42024</v>
      </c>
      <c r="D25" s="163">
        <v>42513</v>
      </c>
      <c r="E25" s="164">
        <v>40787</v>
      </c>
      <c r="F25" s="165">
        <v>125324</v>
      </c>
      <c r="G25" s="166">
        <v>594517</v>
      </c>
      <c r="H25" s="916"/>
      <c r="I25" s="194">
        <v>4.4619553058738722E-2</v>
      </c>
      <c r="J25" s="195">
        <v>3.0547273737935216E-2</v>
      </c>
      <c r="K25" s="196">
        <v>3.769085549630713E-2</v>
      </c>
      <c r="L25" s="197">
        <v>3.769085549630713E-2</v>
      </c>
      <c r="M25" s="198">
        <v>4.3311761643636926E-2</v>
      </c>
      <c r="W25" s="199" t="s">
        <v>201</v>
      </c>
      <c r="X25" s="200">
        <v>6961</v>
      </c>
      <c r="Y25" s="200">
        <v>3398</v>
      </c>
      <c r="Z25" s="201">
        <v>0.49</v>
      </c>
      <c r="AA25" s="202">
        <v>67.81</v>
      </c>
      <c r="AB25" s="203">
        <v>24751</v>
      </c>
      <c r="AD25" s="133">
        <f t="shared" si="19"/>
        <v>2.2113154801613775E-2</v>
      </c>
      <c r="AE25" s="133">
        <f t="shared" si="20"/>
        <v>2.0600353148911123E-3</v>
      </c>
      <c r="AG25">
        <f>S15</f>
        <v>4152</v>
      </c>
      <c r="AI25" s="133">
        <f t="shared" si="21"/>
        <v>1.6153567829811737E-2</v>
      </c>
      <c r="AN25" s="31">
        <f t="shared" si="2"/>
        <v>172.28927465000001</v>
      </c>
      <c r="AO25" s="135">
        <f t="shared" si="18"/>
        <v>4.0869110099448824E-2</v>
      </c>
      <c r="AQ25" s="133">
        <f>AN25/$AO$26</f>
        <v>4.0869110099448824E-2</v>
      </c>
      <c r="AV25" t="s">
        <v>42</v>
      </c>
      <c r="AW25" s="160">
        <f>AQ32</f>
        <v>0</v>
      </c>
      <c r="AX25" s="31">
        <f t="shared" si="5"/>
        <v>0</v>
      </c>
      <c r="AZ25">
        <v>18</v>
      </c>
      <c r="BA25">
        <f t="shared" si="6"/>
        <v>0.18</v>
      </c>
      <c r="BB25">
        <v>0.75</v>
      </c>
      <c r="BC25">
        <f t="shared" si="7"/>
        <v>0.13500000000000001</v>
      </c>
      <c r="BD25">
        <v>44.3</v>
      </c>
      <c r="BE25">
        <f t="shared" si="8"/>
        <v>5.9805000000000001</v>
      </c>
      <c r="BF25">
        <v>72.512080209241503</v>
      </c>
      <c r="BG25">
        <f>15.8206501432308/1000</f>
        <v>1.5820650143230801E-2</v>
      </c>
      <c r="BH25">
        <f>0.84755262174617/1000</f>
        <v>8.4755262174616996E-4</v>
      </c>
      <c r="BI25" s="31">
        <f t="shared" si="9"/>
        <v>0</v>
      </c>
      <c r="BJ25" s="31">
        <f t="shared" si="10"/>
        <v>0</v>
      </c>
      <c r="BK25" s="31">
        <f t="shared" si="10"/>
        <v>0</v>
      </c>
      <c r="BL25" s="31">
        <f t="shared" si="10"/>
        <v>0</v>
      </c>
      <c r="BN25" s="31">
        <f t="shared" si="11"/>
        <v>0</v>
      </c>
      <c r="BO25" s="31">
        <f>BN25*$BO$27/$BN$27</f>
        <v>0</v>
      </c>
      <c r="BP25">
        <v>2.34</v>
      </c>
      <c r="BQ25">
        <f t="shared" si="13"/>
        <v>0</v>
      </c>
      <c r="BR25">
        <f t="shared" si="14"/>
        <v>0</v>
      </c>
    </row>
    <row r="26" spans="1:71">
      <c r="A26" s="905"/>
      <c r="B26" s="161" t="s">
        <v>18</v>
      </c>
      <c r="C26" s="162">
        <v>39411</v>
      </c>
      <c r="D26" s="163">
        <v>41522</v>
      </c>
      <c r="E26" s="164">
        <v>40763</v>
      </c>
      <c r="F26" s="165">
        <v>121696</v>
      </c>
      <c r="G26" s="166">
        <v>716213</v>
      </c>
      <c r="H26" s="916"/>
      <c r="I26" s="194">
        <v>8.6762899262899269E-3</v>
      </c>
      <c r="J26" s="195">
        <v>9.4598945048413857E-3</v>
      </c>
      <c r="K26" s="196">
        <v>7.5673527512378769E-3</v>
      </c>
      <c r="L26" s="197">
        <v>7.5673527512378769E-3</v>
      </c>
      <c r="M26" s="198">
        <v>3.7060434854939039E-2</v>
      </c>
      <c r="X26" s="32">
        <f>SUM(X20:X25)</f>
        <v>314790</v>
      </c>
      <c r="AG26">
        <f>SUM(AG20:AG25)</f>
        <v>257033</v>
      </c>
      <c r="AO26" s="31">
        <f>SUM(AN20:AN25)</f>
        <v>4215.6355798000004</v>
      </c>
      <c r="AQ26" s="133">
        <f t="shared" si="4"/>
        <v>0</v>
      </c>
    </row>
    <row r="27" spans="1:71">
      <c r="A27" s="905"/>
      <c r="B27" s="161" t="s">
        <v>19</v>
      </c>
      <c r="C27" s="162">
        <v>35789</v>
      </c>
      <c r="D27" s="163">
        <v>39723</v>
      </c>
      <c r="E27" s="164">
        <v>39963</v>
      </c>
      <c r="F27" s="165">
        <v>115475</v>
      </c>
      <c r="G27" s="166">
        <v>831688</v>
      </c>
      <c r="H27" s="916"/>
      <c r="I27" s="194">
        <v>3.4573468620819239E-2</v>
      </c>
      <c r="J27" s="195">
        <v>3.1016315666585661E-2</v>
      </c>
      <c r="K27" s="196">
        <v>2.9310196741624051E-2</v>
      </c>
      <c r="L27" s="197">
        <v>2.9310196741624051E-2</v>
      </c>
      <c r="M27" s="198">
        <v>3.5977389651791203E-2</v>
      </c>
      <c r="W27" t="str">
        <f t="shared" ref="W27:W32" si="22">W20</f>
        <v>Fólksbifreiðar</v>
      </c>
      <c r="X27" s="32">
        <f t="shared" ref="X27:Y32" si="23">X20-(X6+X13)</f>
        <v>18978</v>
      </c>
      <c r="Y27" s="32">
        <f t="shared" si="23"/>
        <v>2842</v>
      </c>
      <c r="Z27" s="32"/>
      <c r="AA27" s="133">
        <f t="shared" ref="AA27:AA32" si="24">X27/X20</f>
        <v>7.0334476049291203E-2</v>
      </c>
      <c r="AB27" s="32"/>
      <c r="AN27" s="31">
        <f>AA6*X27*365/1000000</f>
        <v>213.69702450000003</v>
      </c>
      <c r="AO27" s="135">
        <f>AN27/$AO$26</f>
        <v>5.0691531669380757E-2</v>
      </c>
      <c r="AQ27" s="133">
        <f t="shared" si="4"/>
        <v>5.0691531669380757E-2</v>
      </c>
      <c r="BI27" s="31">
        <f>SUM(BI8:BI25)</f>
        <v>3844.3655059842672</v>
      </c>
      <c r="BJ27" s="31">
        <f>SUM(BJ8:BJ25)</f>
        <v>280702.78578585153</v>
      </c>
      <c r="BK27" s="31">
        <f>SUM(BK8:BK25)</f>
        <v>13.622246321507179</v>
      </c>
      <c r="BL27" s="31">
        <f>SUM(BL8:BL25)</f>
        <v>7.1007704653415509</v>
      </c>
      <c r="BN27" s="31">
        <f>BJ27+BK27*BM4+BL27*BN4</f>
        <v>282965.91285616922</v>
      </c>
      <c r="BO27">
        <v>283018</v>
      </c>
      <c r="BQ27" s="31">
        <f>SUM(BQ8:BQ25)</f>
        <v>277278934.63097608</v>
      </c>
      <c r="BR27" s="31">
        <f>SUM(BR8:BR25)</f>
        <v>277278.93463097617</v>
      </c>
    </row>
    <row r="28" spans="1:71">
      <c r="A28" s="905"/>
      <c r="B28" s="161" t="s">
        <v>20</v>
      </c>
      <c r="C28" s="162">
        <v>38871</v>
      </c>
      <c r="D28" s="163">
        <v>40298.173510925189</v>
      </c>
      <c r="E28" s="164">
        <v>40485</v>
      </c>
      <c r="F28" s="165">
        <v>119654.17351092519</v>
      </c>
      <c r="G28" s="166">
        <v>951342.17351092515</v>
      </c>
      <c r="H28" s="916"/>
      <c r="I28" s="194">
        <v>7.9085204584348912E-3</v>
      </c>
      <c r="J28" s="195">
        <v>2.6505455704659498E-2</v>
      </c>
      <c r="K28" s="196">
        <v>9.5811009062556352E-3</v>
      </c>
      <c r="L28" s="197">
        <v>9.5811009062556352E-3</v>
      </c>
      <c r="M28" s="198">
        <v>3.2581784222394994E-2</v>
      </c>
      <c r="W28" t="str">
        <f t="shared" si="22"/>
        <v>Hópbifreiðar ≤5t</v>
      </c>
      <c r="X28" s="32">
        <f t="shared" si="23"/>
        <v>-12</v>
      </c>
      <c r="Y28" s="32">
        <f t="shared" si="23"/>
        <v>0</v>
      </c>
      <c r="Z28" s="32"/>
      <c r="AA28" s="133">
        <f t="shared" si="24"/>
        <v>-8.658008658008658E-3</v>
      </c>
      <c r="AB28" s="32"/>
      <c r="AN28" s="96">
        <v>0</v>
      </c>
      <c r="AO28" s="135">
        <f>AN28/$AO$26</f>
        <v>0</v>
      </c>
      <c r="AQ28" s="204">
        <f>AN28/$AO$26</f>
        <v>0</v>
      </c>
      <c r="BO28" s="31">
        <f>SUM(BO8:BO25)</f>
        <v>283018.00000000006</v>
      </c>
    </row>
    <row r="29" spans="1:71">
      <c r="A29" s="905"/>
      <c r="B29" s="161" t="s">
        <v>211</v>
      </c>
      <c r="C29" s="162">
        <v>42702.306473651028</v>
      </c>
      <c r="D29" s="163">
        <v>41641</v>
      </c>
      <c r="E29" s="164">
        <v>41129</v>
      </c>
      <c r="F29" s="165">
        <v>125472.30647365103</v>
      </c>
      <c r="G29" s="166">
        <v>1076814.4799845761</v>
      </c>
      <c r="H29" s="916"/>
      <c r="I29" s="194">
        <v>3.5107055646750082E-2</v>
      </c>
      <c r="J29" s="195">
        <v>5.5835087539148738E-2</v>
      </c>
      <c r="K29" s="196">
        <v>3.3612647239118054E-2</v>
      </c>
      <c r="L29" s="197">
        <v>3.3612647239118054E-2</v>
      </c>
      <c r="M29" s="198">
        <v>3.2701796332402111E-2</v>
      </c>
      <c r="W29" t="str">
        <f t="shared" si="22"/>
        <v>Hópbifreiðar &gt;5t</v>
      </c>
      <c r="X29" s="32">
        <f t="shared" si="23"/>
        <v>21</v>
      </c>
      <c r="Y29" s="32">
        <f t="shared" si="23"/>
        <v>1</v>
      </c>
      <c r="Z29" s="32"/>
      <c r="AA29" s="133">
        <f t="shared" si="24"/>
        <v>1.171875E-2</v>
      </c>
      <c r="AB29" s="32"/>
      <c r="AN29" s="31">
        <f>AA8*X29*365/1000000</f>
        <v>0.61396649999999997</v>
      </c>
      <c r="AQ29" s="133">
        <f t="shared" si="4"/>
        <v>1.4564031647847702E-4</v>
      </c>
    </row>
    <row r="30" spans="1:71">
      <c r="A30" s="905"/>
      <c r="B30" s="161" t="s">
        <v>213</v>
      </c>
      <c r="C30" s="162">
        <v>43343.136815972022</v>
      </c>
      <c r="D30" s="163">
        <v>42356</v>
      </c>
      <c r="E30" s="164">
        <v>40267</v>
      </c>
      <c r="F30" s="165">
        <v>125966.13681597202</v>
      </c>
      <c r="G30" s="166">
        <v>1202780.616800548</v>
      </c>
      <c r="H30" s="916"/>
      <c r="I30" s="194">
        <v>9.8573954883459783E-2</v>
      </c>
      <c r="J30" s="195">
        <v>8.2009942227596402E-2</v>
      </c>
      <c r="K30" s="196">
        <v>8.522267532756711E-2</v>
      </c>
      <c r="L30" s="197">
        <v>8.522267532756711E-2</v>
      </c>
      <c r="M30" s="198">
        <v>3.7962723298757828E-2</v>
      </c>
      <c r="W30" t="str">
        <f t="shared" si="22"/>
        <v>Sendibifreiðar</v>
      </c>
      <c r="X30" s="32">
        <f t="shared" si="23"/>
        <v>448</v>
      </c>
      <c r="Y30" s="32">
        <f t="shared" si="23"/>
        <v>139</v>
      </c>
      <c r="Z30" s="32"/>
      <c r="AA30" s="133">
        <f t="shared" si="24"/>
        <v>1.5480839006185425E-2</v>
      </c>
      <c r="AB30" s="32"/>
      <c r="AN30" s="31">
        <f>AA9*X30*365/1000000</f>
        <v>4.7698784000000005</v>
      </c>
      <c r="AQ30" s="133">
        <f t="shared" si="4"/>
        <v>1.1314731336967924E-3</v>
      </c>
    </row>
    <row r="31" spans="1:71">
      <c r="A31" s="905"/>
      <c r="B31" s="205" t="s">
        <v>216</v>
      </c>
      <c r="C31" s="162">
        <v>43214</v>
      </c>
      <c r="D31" s="163">
        <v>41768</v>
      </c>
      <c r="E31" s="164">
        <v>38748.857885665217</v>
      </c>
      <c r="F31" s="165">
        <v>123730.85788566522</v>
      </c>
      <c r="G31" s="166">
        <v>1326511.4746862133</v>
      </c>
      <c r="H31" s="916"/>
      <c r="I31" s="194">
        <v>8.9996468748423541E-2</v>
      </c>
      <c r="J31" s="195">
        <v>4.4415457417999959E-2</v>
      </c>
      <c r="K31" s="196">
        <v>5.0364674151218258E-2</v>
      </c>
      <c r="L31" s="197">
        <v>5.0364674151218258E-2</v>
      </c>
      <c r="M31" s="198">
        <v>3.9107121675610257E-2</v>
      </c>
      <c r="W31" t="str">
        <f t="shared" si="22"/>
        <v>Vörubifreiðar ≤12t</v>
      </c>
      <c r="X31" s="32">
        <f t="shared" si="23"/>
        <v>2</v>
      </c>
      <c r="Y31" s="32">
        <f t="shared" si="23"/>
        <v>0</v>
      </c>
      <c r="Z31" s="32"/>
      <c r="AA31" s="133">
        <f t="shared" si="24"/>
        <v>3.3973161202649905E-4</v>
      </c>
      <c r="AB31" s="32"/>
      <c r="AN31" s="31">
        <f>AA10*X31*365/1000000</f>
        <v>1.6045400000000001E-2</v>
      </c>
      <c r="AQ31" s="133">
        <f>AN31/$AO$26</f>
        <v>3.8061639096331075E-6</v>
      </c>
    </row>
    <row r="32" spans="1:71" ht="16.75" thickBot="1">
      <c r="A32" s="915"/>
      <c r="B32" s="206" t="s">
        <v>217</v>
      </c>
      <c r="C32" s="177">
        <v>42532</v>
      </c>
      <c r="D32" s="178">
        <v>42771</v>
      </c>
      <c r="E32" s="179">
        <v>38934</v>
      </c>
      <c r="F32" s="180">
        <v>124237</v>
      </c>
      <c r="G32" s="166">
        <v>1450748.4746862133</v>
      </c>
      <c r="H32" s="916"/>
      <c r="I32" s="207">
        <v>5.8536585365853662E-2</v>
      </c>
      <c r="J32" s="208">
        <v>5.7989130434782606E-2</v>
      </c>
      <c r="K32" s="209">
        <v>3.7686364585508558E-2</v>
      </c>
      <c r="L32" s="210">
        <v>3.7686364585508558E-2</v>
      </c>
      <c r="M32" s="211">
        <v>3.8985300732207406E-2</v>
      </c>
      <c r="W32" t="str">
        <f t="shared" si="22"/>
        <v>Vörubifreiðar &gt;12t</v>
      </c>
      <c r="X32" s="32">
        <f t="shared" si="23"/>
        <v>29</v>
      </c>
      <c r="Y32" s="32">
        <f t="shared" si="23"/>
        <v>7</v>
      </c>
      <c r="Z32" s="32"/>
      <c r="AA32" s="133">
        <f t="shared" si="24"/>
        <v>4.1660680936647029E-3</v>
      </c>
      <c r="AB32" s="32"/>
      <c r="AN32" s="31">
        <f>AA11*X32*365/1000000</f>
        <v>0</v>
      </c>
      <c r="AQ32" s="133">
        <f t="shared" si="4"/>
        <v>0</v>
      </c>
      <c r="BM32" s="212">
        <v>97745.141340000002</v>
      </c>
      <c r="BO32" s="31">
        <f>BN8+BN10+BN11+BN13</f>
        <v>97739.668974934233</v>
      </c>
      <c r="BS32">
        <v>96894</v>
      </c>
    </row>
    <row r="33" spans="1:71" ht="16.75" thickBot="1">
      <c r="A33" s="213" t="s">
        <v>220</v>
      </c>
      <c r="B33" s="214"/>
      <c r="C33" s="183">
        <v>40643.286940801925</v>
      </c>
      <c r="D33" s="183">
        <v>41092.764459243765</v>
      </c>
      <c r="E33" s="183">
        <v>39159.654823805431</v>
      </c>
      <c r="F33" s="184">
        <v>120895.70622385111</v>
      </c>
      <c r="G33" s="184"/>
      <c r="H33" s="917"/>
      <c r="I33" s="215">
        <v>3.8034271765940542E-2</v>
      </c>
      <c r="J33" s="215">
        <v>3.4128618819366574E-2</v>
      </c>
      <c r="K33" s="216">
        <v>4.5129755541558403E-2</v>
      </c>
      <c r="L33" s="217"/>
      <c r="M33" s="216">
        <v>3.8985300732207406E-2</v>
      </c>
      <c r="X33" s="32"/>
      <c r="Y33" s="32"/>
      <c r="Z33" s="32"/>
      <c r="AA33" s="32"/>
      <c r="AB33" s="32"/>
      <c r="BM33" s="212">
        <v>72042.283264651443</v>
      </c>
      <c r="BO33" s="31">
        <f>BN9+BN12</f>
        <v>72063.196035628571</v>
      </c>
      <c r="BS33">
        <v>98163</v>
      </c>
    </row>
    <row r="34" spans="1:71" ht="16">
      <c r="A34" s="905">
        <v>2007</v>
      </c>
      <c r="B34" s="188" t="s">
        <v>191</v>
      </c>
      <c r="C34" s="151">
        <v>40666</v>
      </c>
      <c r="D34" s="152">
        <v>39409</v>
      </c>
      <c r="E34" s="153">
        <v>37899</v>
      </c>
      <c r="F34" s="154">
        <v>117974</v>
      </c>
      <c r="G34" s="155">
        <v>117974</v>
      </c>
      <c r="H34" s="907" t="s">
        <v>224</v>
      </c>
      <c r="I34" s="189">
        <v>7.0467766985179925E-2</v>
      </c>
      <c r="J34" s="190">
        <v>9.2757049766449454E-2</v>
      </c>
      <c r="K34" s="191">
        <v>6.1795730280447936E-2</v>
      </c>
      <c r="L34" s="192">
        <v>6.1795730280447936E-2</v>
      </c>
      <c r="M34" s="193">
        <v>6.1795730280447936E-2</v>
      </c>
      <c r="W34" s="218" t="s">
        <v>225</v>
      </c>
      <c r="X34" s="32"/>
      <c r="Y34" s="32"/>
      <c r="Z34" s="32"/>
      <c r="AA34" s="32"/>
      <c r="AB34" s="32"/>
      <c r="AQ34" s="160">
        <f>SUM(AQ6:AQ18)+SUM(AQ27:AQ32)</f>
        <v>1.0002539852484238</v>
      </c>
      <c r="AS34" s="160">
        <f>SUM(AQ20:AQ25)</f>
        <v>0.99999999999999989</v>
      </c>
      <c r="BM34" s="212">
        <v>4818.8989200000015</v>
      </c>
      <c r="BO34" s="31">
        <f>BN14+BN16+BN20+BN22</f>
        <v>4787.2495942268943</v>
      </c>
      <c r="BS34">
        <v>9004</v>
      </c>
    </row>
    <row r="35" spans="1:71" ht="16">
      <c r="A35" s="905"/>
      <c r="B35" s="161" t="s">
        <v>195</v>
      </c>
      <c r="C35" s="162">
        <v>42636</v>
      </c>
      <c r="D35" s="163">
        <v>41580</v>
      </c>
      <c r="E35" s="164">
        <v>40896</v>
      </c>
      <c r="F35" s="165">
        <v>125112</v>
      </c>
      <c r="G35" s="166">
        <v>243086</v>
      </c>
      <c r="H35" s="908"/>
      <c r="I35" s="194">
        <v>4.2266604737575479E-2</v>
      </c>
      <c r="J35" s="195">
        <v>9.0530919175488653E-2</v>
      </c>
      <c r="K35" s="196">
        <v>5.0663845010455288E-2</v>
      </c>
      <c r="L35" s="197">
        <v>5.0663845010455288E-2</v>
      </c>
      <c r="M35" s="198">
        <v>5.6037048139121692E-2</v>
      </c>
      <c r="X35" s="32"/>
      <c r="Y35" s="32"/>
      <c r="Z35" s="32"/>
      <c r="AA35" s="32"/>
      <c r="AB35" s="32"/>
      <c r="BM35" s="212">
        <v>32678.350765468364</v>
      </c>
      <c r="BO35" s="31">
        <f>BN15+BN21</f>
        <v>32674.383548207588</v>
      </c>
      <c r="BS35">
        <v>9</v>
      </c>
    </row>
    <row r="36" spans="1:71" ht="16">
      <c r="A36" s="905"/>
      <c r="B36" s="161" t="s">
        <v>15</v>
      </c>
      <c r="C36" s="162">
        <v>44711</v>
      </c>
      <c r="D36" s="163">
        <v>43720</v>
      </c>
      <c r="E36" s="164">
        <v>42527</v>
      </c>
      <c r="F36" s="165">
        <v>130958</v>
      </c>
      <c r="G36" s="166">
        <v>374044</v>
      </c>
      <c r="H36" s="908"/>
      <c r="I36" s="194">
        <v>5.0787309048178617E-2</v>
      </c>
      <c r="J36" s="195">
        <v>8.8008800880088014E-2</v>
      </c>
      <c r="K36" s="196">
        <v>6.0551825786963276E-2</v>
      </c>
      <c r="L36" s="197">
        <v>6.0551825786963276E-2</v>
      </c>
      <c r="M36" s="198">
        <v>5.7613354897813718E-2</v>
      </c>
      <c r="X36" s="32"/>
      <c r="Y36" s="32"/>
      <c r="Z36" s="32"/>
      <c r="AA36" s="32"/>
      <c r="AB36" s="32"/>
      <c r="BM36" s="212">
        <v>1536.7751583397605</v>
      </c>
      <c r="BO36" s="31">
        <f>BN17+BN19+BN23+BN25</f>
        <v>1507.2531194980559</v>
      </c>
      <c r="BS36">
        <v>2482</v>
      </c>
    </row>
    <row r="37" spans="1:71" ht="16">
      <c r="A37" s="905"/>
      <c r="B37" s="161" t="s">
        <v>16</v>
      </c>
      <c r="C37" s="162">
        <v>41126</v>
      </c>
      <c r="D37" s="163">
        <v>42156</v>
      </c>
      <c r="E37" s="164">
        <v>42383</v>
      </c>
      <c r="F37" s="165">
        <v>125665</v>
      </c>
      <c r="G37" s="166">
        <v>499709</v>
      </c>
      <c r="H37" s="908"/>
      <c r="I37" s="194">
        <v>7.1352280720035424E-2</v>
      </c>
      <c r="J37" s="195">
        <v>0.1281375602225239</v>
      </c>
      <c r="K37" s="196">
        <v>8.7773209262064444E-2</v>
      </c>
      <c r="L37" s="197">
        <v>8.7773209262064444E-2</v>
      </c>
      <c r="M37" s="198">
        <v>6.5039333493892793E-2</v>
      </c>
      <c r="X37" s="32"/>
      <c r="Y37" s="32"/>
      <c r="Z37" s="32"/>
      <c r="AA37" s="32"/>
      <c r="AB37" s="32"/>
      <c r="BM37" s="212">
        <v>74199.074003842441</v>
      </c>
      <c r="BO37" s="31">
        <f>BN24+BN18</f>
        <v>74194.161583673937</v>
      </c>
      <c r="BS37">
        <v>0</v>
      </c>
    </row>
    <row r="38" spans="1:71">
      <c r="A38" s="905"/>
      <c r="B38" s="161" t="s">
        <v>17</v>
      </c>
      <c r="C38" s="162">
        <v>43780</v>
      </c>
      <c r="D38" s="163">
        <v>44517</v>
      </c>
      <c r="E38" s="164">
        <v>45850</v>
      </c>
      <c r="F38" s="165">
        <v>134147</v>
      </c>
      <c r="G38" s="166">
        <v>633856</v>
      </c>
      <c r="H38" s="908"/>
      <c r="I38" s="194">
        <v>4.1785646297353894E-2</v>
      </c>
      <c r="J38" s="195">
        <v>0.12413268933728884</v>
      </c>
      <c r="K38" s="196">
        <v>7.0401519262072609E-2</v>
      </c>
      <c r="L38" s="197">
        <v>7.0401519262072609E-2</v>
      </c>
      <c r="M38" s="198">
        <v>6.6169680597863545E-2</v>
      </c>
      <c r="X38" s="32"/>
      <c r="Y38" s="32"/>
      <c r="Z38" s="32"/>
      <c r="AA38" s="32"/>
      <c r="AB38" s="32"/>
      <c r="BS38">
        <v>3521</v>
      </c>
    </row>
    <row r="39" spans="1:71">
      <c r="A39" s="905"/>
      <c r="B39" s="161" t="s">
        <v>18</v>
      </c>
      <c r="C39" s="162">
        <v>42691</v>
      </c>
      <c r="D39" s="163">
        <v>44919</v>
      </c>
      <c r="E39" s="164">
        <v>47313</v>
      </c>
      <c r="F39" s="165">
        <v>134923</v>
      </c>
      <c r="G39" s="166">
        <v>768779</v>
      </c>
      <c r="H39" s="908"/>
      <c r="I39" s="194">
        <v>8.3225495420060386E-2</v>
      </c>
      <c r="J39" s="195">
        <v>0.16068493486740426</v>
      </c>
      <c r="K39" s="196">
        <v>0.10868886405469369</v>
      </c>
      <c r="L39" s="197">
        <v>0.10868886405469369</v>
      </c>
      <c r="M39" s="198">
        <v>7.3394367318102338E-2</v>
      </c>
      <c r="BS39">
        <v>22235</v>
      </c>
    </row>
    <row r="40" spans="1:71">
      <c r="A40" s="905"/>
      <c r="B40" s="161" t="s">
        <v>19</v>
      </c>
      <c r="C40" s="162">
        <v>39540</v>
      </c>
      <c r="D40" s="163">
        <v>44232.379760577489</v>
      </c>
      <c r="E40" s="164">
        <v>46367</v>
      </c>
      <c r="F40" s="165">
        <v>130139.37976057749</v>
      </c>
      <c r="G40" s="166">
        <v>898918.37976057746</v>
      </c>
      <c r="H40" s="908"/>
      <c r="I40" s="194">
        <v>0.10480874011567801</v>
      </c>
      <c r="J40" s="195">
        <v>0.16024822961239146</v>
      </c>
      <c r="K40" s="196">
        <v>0.1269918143371076</v>
      </c>
      <c r="L40" s="197">
        <v>0.1269918143371076</v>
      </c>
      <c r="M40" s="198">
        <v>8.083605842645003E-2</v>
      </c>
      <c r="BM40" s="31">
        <f>SUM(BM32:BM37)</f>
        <v>283020.52345230203</v>
      </c>
      <c r="BS40">
        <v>201</v>
      </c>
    </row>
    <row r="41" spans="1:71">
      <c r="A41" s="905"/>
      <c r="B41" s="161" t="s">
        <v>20</v>
      </c>
      <c r="C41" s="162">
        <v>43072</v>
      </c>
      <c r="D41" s="163">
        <v>45828</v>
      </c>
      <c r="E41" s="164">
        <v>46593</v>
      </c>
      <c r="F41" s="165">
        <v>135493</v>
      </c>
      <c r="G41" s="166">
        <v>1034411.3797605775</v>
      </c>
      <c r="H41" s="908"/>
      <c r="I41" s="194">
        <v>0.10807542898304649</v>
      </c>
      <c r="J41" s="195">
        <v>0.1508706928492034</v>
      </c>
      <c r="K41" s="196">
        <v>0.13237170108093732</v>
      </c>
      <c r="L41" s="197">
        <v>0.13237170108093732</v>
      </c>
      <c r="M41" s="198">
        <v>8.7317905757384517E-2</v>
      </c>
      <c r="BD41" t="s">
        <v>194</v>
      </c>
      <c r="BE41" t="s">
        <v>158</v>
      </c>
      <c r="BF41">
        <v>70.9769741921898</v>
      </c>
      <c r="BG41">
        <v>7.3169105356480999E-3</v>
      </c>
      <c r="BH41">
        <v>6.0998104818480998E-4</v>
      </c>
      <c r="BS41">
        <v>20</v>
      </c>
    </row>
    <row r="42" spans="1:71">
      <c r="A42" s="905"/>
      <c r="B42" s="161" t="s">
        <v>211</v>
      </c>
      <c r="C42" s="162">
        <v>44536</v>
      </c>
      <c r="D42" s="163">
        <v>46730</v>
      </c>
      <c r="E42" s="164">
        <v>46157</v>
      </c>
      <c r="F42" s="165">
        <v>137423</v>
      </c>
      <c r="G42" s="166">
        <v>1171834.3797605773</v>
      </c>
      <c r="H42" s="908"/>
      <c r="I42" s="194">
        <v>4.2941322794365501E-2</v>
      </c>
      <c r="J42" s="195">
        <v>0.12224950764667267</v>
      </c>
      <c r="K42" s="196">
        <v>9.5245667049713489E-2</v>
      </c>
      <c r="L42" s="197">
        <v>9.5245667049713489E-2</v>
      </c>
      <c r="M42" s="198">
        <v>8.8241662368212515E-2</v>
      </c>
      <c r="BE42" t="s">
        <v>25</v>
      </c>
      <c r="BF42">
        <v>74.054734089485606</v>
      </c>
      <c r="BG42">
        <v>1.1457692289250001E-4</v>
      </c>
      <c r="BH42">
        <v>2.5659043229536902E-3</v>
      </c>
      <c r="BS42">
        <v>11541</v>
      </c>
    </row>
    <row r="43" spans="1:71" ht="14.25">
      <c r="A43" s="905"/>
      <c r="B43" s="161" t="s">
        <v>213</v>
      </c>
      <c r="C43" s="162">
        <v>45561</v>
      </c>
      <c r="D43" s="163">
        <v>47695</v>
      </c>
      <c r="E43" s="164">
        <v>46533</v>
      </c>
      <c r="F43" s="165">
        <v>139789</v>
      </c>
      <c r="G43" s="166">
        <v>1311623.3797605773</v>
      </c>
      <c r="H43" s="908"/>
      <c r="I43" s="194">
        <v>5.1169881714945263E-2</v>
      </c>
      <c r="J43" s="195">
        <v>0.15561129460848835</v>
      </c>
      <c r="K43" s="196">
        <v>0.10973475517648246</v>
      </c>
      <c r="L43" s="197">
        <v>0.10973475517648246</v>
      </c>
      <c r="M43" s="198">
        <v>9.0492614729322796E-2</v>
      </c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BE43" t="s">
        <v>252</v>
      </c>
      <c r="BF43">
        <v>70.9769741921898</v>
      </c>
      <c r="BG43">
        <v>7.3169105356480999E-3</v>
      </c>
      <c r="BH43">
        <v>6.0998104818480998E-4</v>
      </c>
      <c r="BS43">
        <v>26</v>
      </c>
    </row>
    <row r="44" spans="1:71" ht="14.25">
      <c r="A44" s="905"/>
      <c r="B44" s="205" t="s">
        <v>216</v>
      </c>
      <c r="C44" s="162">
        <v>45586</v>
      </c>
      <c r="D44" s="163">
        <v>48466</v>
      </c>
      <c r="E44" s="164">
        <v>45560</v>
      </c>
      <c r="F44" s="165">
        <v>139612</v>
      </c>
      <c r="G44" s="166">
        <v>1451235.3797605773</v>
      </c>
      <c r="H44" s="908"/>
      <c r="I44" s="194">
        <v>5.4889619104919699E-2</v>
      </c>
      <c r="J44" s="195">
        <v>0.17577659022705036</v>
      </c>
      <c r="K44" s="196">
        <v>0.12835231554775062</v>
      </c>
      <c r="L44" s="197">
        <v>0.12835231554775062</v>
      </c>
      <c r="M44" s="198">
        <v>9.4023992595968719E-2</v>
      </c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BE44" t="s">
        <v>467</v>
      </c>
      <c r="BF44">
        <v>70.9769741921898</v>
      </c>
      <c r="BG44">
        <v>7.3169105356480999E-3</v>
      </c>
      <c r="BH44">
        <v>6.0998104818480998E-4</v>
      </c>
      <c r="BS44">
        <v>593</v>
      </c>
    </row>
    <row r="45" spans="1:71" ht="15" thickBot="1">
      <c r="A45" s="918"/>
      <c r="B45" s="220" t="s">
        <v>217</v>
      </c>
      <c r="C45" s="177">
        <v>41950</v>
      </c>
      <c r="D45" s="178">
        <v>46794</v>
      </c>
      <c r="E45" s="179">
        <v>42143</v>
      </c>
      <c r="F45" s="180">
        <v>130887</v>
      </c>
      <c r="G45" s="166">
        <v>1582122.3797605773</v>
      </c>
      <c r="H45" s="908"/>
      <c r="I45" s="221">
        <v>-1.3683814539640741E-2</v>
      </c>
      <c r="J45" s="222">
        <v>8.2421533877844552E-2</v>
      </c>
      <c r="K45" s="223">
        <v>5.3526727142477748E-2</v>
      </c>
      <c r="L45" s="210">
        <v>5.3526727142477748E-2</v>
      </c>
      <c r="M45" s="224">
        <v>9.0555949130175284E-2</v>
      </c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BE45" t="s">
        <v>468</v>
      </c>
      <c r="BF45">
        <v>70.9769741921898</v>
      </c>
      <c r="BG45">
        <v>7.3169105356480999E-3</v>
      </c>
      <c r="BH45">
        <v>6.0998104818480998E-4</v>
      </c>
      <c r="BS45">
        <v>10930</v>
      </c>
    </row>
    <row r="46" spans="1:71" ht="15" thickBot="1">
      <c r="A46" s="213" t="s">
        <v>220</v>
      </c>
      <c r="B46" s="214"/>
      <c r="C46" s="183">
        <v>42987.916666666664</v>
      </c>
      <c r="D46" s="183">
        <v>44670.531646714786</v>
      </c>
      <c r="E46" s="183">
        <v>44185.083333333336</v>
      </c>
      <c r="F46" s="184">
        <v>131843.53164671478</v>
      </c>
      <c r="G46" s="184"/>
      <c r="H46" s="909"/>
      <c r="I46" s="215">
        <v>5.768799480415443E-2</v>
      </c>
      <c r="J46" s="215">
        <v>8.7065624193268576E-2</v>
      </c>
      <c r="K46" s="216">
        <v>0.1283317877069976</v>
      </c>
      <c r="L46" s="217"/>
      <c r="M46" s="216">
        <v>9.0555949130175284E-2</v>
      </c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BE46" t="s">
        <v>469</v>
      </c>
      <c r="BF46">
        <v>74.054734089485606</v>
      </c>
      <c r="BG46">
        <v>1.1457692289250001E-4</v>
      </c>
      <c r="BH46">
        <v>2.5659043229536902E-3</v>
      </c>
      <c r="BS46">
        <v>0</v>
      </c>
    </row>
    <row r="47" spans="1:71" ht="14.25">
      <c r="A47" s="919">
        <v>2008</v>
      </c>
      <c r="B47" s="150" t="s">
        <v>191</v>
      </c>
      <c r="C47" s="151">
        <v>42079</v>
      </c>
      <c r="D47" s="152">
        <v>43928</v>
      </c>
      <c r="E47" s="153">
        <v>41438</v>
      </c>
      <c r="F47" s="154">
        <v>127445</v>
      </c>
      <c r="G47" s="155">
        <v>127445</v>
      </c>
      <c r="H47" s="907" t="s">
        <v>226</v>
      </c>
      <c r="I47" s="189">
        <v>3.4746471253627106E-2</v>
      </c>
      <c r="J47" s="190">
        <v>9.337977255336552E-2</v>
      </c>
      <c r="K47" s="191">
        <v>8.0280400766270521E-2</v>
      </c>
      <c r="L47" s="192">
        <v>8.0280400766270521E-2</v>
      </c>
      <c r="M47" s="193">
        <v>8.0280400766270521E-2</v>
      </c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BE47" t="s">
        <v>470</v>
      </c>
      <c r="BF47">
        <v>74.054734089485606</v>
      </c>
      <c r="BG47">
        <v>1.1457692289250001E-4</v>
      </c>
      <c r="BH47">
        <v>2.5659043229536902E-3</v>
      </c>
      <c r="BS47">
        <v>595</v>
      </c>
    </row>
    <row r="48" spans="1:71" ht="14.25">
      <c r="A48" s="905"/>
      <c r="B48" s="161" t="s">
        <v>195</v>
      </c>
      <c r="C48" s="162">
        <v>42211</v>
      </c>
      <c r="D48" s="163">
        <v>45714</v>
      </c>
      <c r="E48" s="164">
        <v>43597</v>
      </c>
      <c r="F48" s="165">
        <v>131522</v>
      </c>
      <c r="G48" s="166">
        <v>258967</v>
      </c>
      <c r="H48" s="908"/>
      <c r="I48" s="194">
        <v>-9.9681020733652318E-3</v>
      </c>
      <c r="J48" s="195">
        <v>6.6045579029733958E-2</v>
      </c>
      <c r="K48" s="196">
        <v>5.1234094251550566E-2</v>
      </c>
      <c r="L48" s="197">
        <v>5.1234094251550566E-2</v>
      </c>
      <c r="M48" s="198">
        <v>6.5330788280690832E-2</v>
      </c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BE48" t="s">
        <v>471</v>
      </c>
      <c r="BF48">
        <v>70.9769741921898</v>
      </c>
      <c r="BG48">
        <v>7.3169105356480999E-3</v>
      </c>
      <c r="BH48">
        <v>6.0998104818480998E-4</v>
      </c>
      <c r="BS48">
        <v>24042</v>
      </c>
    </row>
    <row r="49" spans="1:71" ht="14.25">
      <c r="A49" s="905"/>
      <c r="B49" s="161" t="s">
        <v>15</v>
      </c>
      <c r="C49" s="162">
        <v>42884.551201761278</v>
      </c>
      <c r="D49" s="163">
        <v>44927</v>
      </c>
      <c r="E49" s="164">
        <v>43751</v>
      </c>
      <c r="F49" s="165">
        <v>131562.55120176129</v>
      </c>
      <c r="G49" s="166">
        <v>390529.55120176129</v>
      </c>
      <c r="H49" s="908"/>
      <c r="I49" s="194">
        <v>-4.0850099488687834E-2</v>
      </c>
      <c r="J49" s="195">
        <v>2.8781715145672161E-2</v>
      </c>
      <c r="K49" s="196">
        <v>4.6163747290068891E-3</v>
      </c>
      <c r="L49" s="197">
        <v>4.6163747290068891E-3</v>
      </c>
      <c r="M49" s="198">
        <v>4.4073828752128952E-2</v>
      </c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BD49" t="s">
        <v>202</v>
      </c>
      <c r="BE49" t="s">
        <v>158</v>
      </c>
      <c r="BF49">
        <v>71.051977446800905</v>
      </c>
      <c r="BG49">
        <v>6.0214126798913805E-3</v>
      </c>
      <c r="BH49">
        <v>1.2119593011540399E-3</v>
      </c>
      <c r="BS49">
        <v>0</v>
      </c>
    </row>
    <row r="50" spans="1:71" ht="14.25">
      <c r="A50" s="905"/>
      <c r="B50" s="161" t="s">
        <v>16</v>
      </c>
      <c r="C50" s="162">
        <v>45303</v>
      </c>
      <c r="D50" s="163">
        <v>48229</v>
      </c>
      <c r="E50" s="164">
        <v>47282</v>
      </c>
      <c r="F50" s="165">
        <v>140814</v>
      </c>
      <c r="G50" s="166">
        <v>531343.55120176123</v>
      </c>
      <c r="H50" s="908"/>
      <c r="I50" s="194">
        <v>0.10156591936974177</v>
      </c>
      <c r="J50" s="195">
        <v>0.11558879739518203</v>
      </c>
      <c r="K50" s="196">
        <v>0.12055067043329482</v>
      </c>
      <c r="L50" s="197">
        <v>0.12055067043329482</v>
      </c>
      <c r="M50" s="198">
        <v>6.3305946464364826E-2</v>
      </c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BE50" t="s">
        <v>25</v>
      </c>
      <c r="BF50">
        <v>74.054734089485805</v>
      </c>
      <c r="BG50">
        <v>1.0094332347649E-4</v>
      </c>
      <c r="BH50">
        <v>2.0471581355555601E-3</v>
      </c>
      <c r="BS50">
        <f>SUM(BS32:BS49)</f>
        <v>280256</v>
      </c>
    </row>
    <row r="51" spans="1:71" ht="14.25">
      <c r="A51" s="905"/>
      <c r="B51" s="161" t="s">
        <v>17</v>
      </c>
      <c r="C51" s="162">
        <v>43400</v>
      </c>
      <c r="D51" s="163">
        <v>48148.221902515186</v>
      </c>
      <c r="E51" s="164">
        <v>47334</v>
      </c>
      <c r="F51" s="165">
        <v>138882.22190251519</v>
      </c>
      <c r="G51" s="166">
        <v>670225.77310427639</v>
      </c>
      <c r="H51" s="908"/>
      <c r="I51" s="194">
        <v>-8.6797624486066698E-3</v>
      </c>
      <c r="J51" s="195">
        <v>3.236641221374046E-2</v>
      </c>
      <c r="K51" s="196">
        <v>3.5298753624868118E-2</v>
      </c>
      <c r="L51" s="197">
        <v>3.5298753624868118E-2</v>
      </c>
      <c r="M51" s="198">
        <v>5.7378605084240641E-2</v>
      </c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BE51" t="s">
        <v>42</v>
      </c>
      <c r="BF51">
        <v>71.051977446800905</v>
      </c>
      <c r="BG51">
        <v>6.0214126798913805E-3</v>
      </c>
      <c r="BH51">
        <v>1.2119593011540399E-3</v>
      </c>
    </row>
    <row r="52" spans="1:71" ht="14.25">
      <c r="A52" s="905"/>
      <c r="B52" s="161" t="s">
        <v>18</v>
      </c>
      <c r="C52" s="162">
        <v>40402</v>
      </c>
      <c r="D52" s="163">
        <v>45572.666795350764</v>
      </c>
      <c r="E52" s="164">
        <v>47040</v>
      </c>
      <c r="F52" s="165">
        <v>133014.66679535076</v>
      </c>
      <c r="G52" s="166">
        <v>803240.43989962712</v>
      </c>
      <c r="H52" s="908"/>
      <c r="I52" s="194">
        <v>-5.3617858565037126E-2</v>
      </c>
      <c r="J52" s="195">
        <v>-5.770084332001775E-3</v>
      </c>
      <c r="K52" s="196">
        <v>-1.4143868759583178E-2</v>
      </c>
      <c r="L52" s="197">
        <v>-1.4143868759583178E-2</v>
      </c>
      <c r="M52" s="198">
        <v>4.4826198295774278E-2</v>
      </c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BD52" t="s">
        <v>209</v>
      </c>
      <c r="BE52" t="s">
        <v>158</v>
      </c>
      <c r="BF52">
        <v>71.051977446800905</v>
      </c>
      <c r="BG52">
        <v>6.0214126798913805E-3</v>
      </c>
      <c r="BH52">
        <v>1.2119593011540399E-3</v>
      </c>
    </row>
    <row r="53" spans="1:71" ht="14.25">
      <c r="A53" s="905"/>
      <c r="B53" s="161" t="s">
        <v>19</v>
      </c>
      <c r="C53" s="162">
        <v>37788</v>
      </c>
      <c r="D53" s="163">
        <v>45431</v>
      </c>
      <c r="E53" s="164">
        <v>46196.383537711605</v>
      </c>
      <c r="F53" s="165">
        <v>129415.3835377116</v>
      </c>
      <c r="G53" s="166">
        <v>932655.82343733869</v>
      </c>
      <c r="H53" s="908"/>
      <c r="I53" s="194">
        <v>-4.4309559939301975E-2</v>
      </c>
      <c r="J53" s="195">
        <v>-3.6796959537687421E-3</v>
      </c>
      <c r="K53" s="196">
        <v>-5.5632370785679841E-3</v>
      </c>
      <c r="L53" s="197">
        <v>-5.5632370785679841E-3</v>
      </c>
      <c r="M53" s="198">
        <v>3.7531153479971158E-2</v>
      </c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BE53" t="s">
        <v>25</v>
      </c>
      <c r="BF53">
        <v>74.054734089485805</v>
      </c>
      <c r="BG53">
        <v>1.0094332347649E-4</v>
      </c>
      <c r="BH53">
        <v>2.0471581355555601E-3</v>
      </c>
    </row>
    <row r="54" spans="1:71" ht="14.25">
      <c r="A54" s="905"/>
      <c r="B54" s="161" t="s">
        <v>20</v>
      </c>
      <c r="C54" s="162">
        <v>39855</v>
      </c>
      <c r="D54" s="163">
        <v>45009.046086335104</v>
      </c>
      <c r="E54" s="164">
        <v>46690</v>
      </c>
      <c r="F54" s="165">
        <v>131554.04608633509</v>
      </c>
      <c r="G54" s="166">
        <v>1064209.8695236738</v>
      </c>
      <c r="H54" s="908"/>
      <c r="I54" s="194">
        <v>-7.4688893016344723E-2</v>
      </c>
      <c r="J54" s="195">
        <v>2.0818577897967505E-3</v>
      </c>
      <c r="K54" s="196">
        <v>-2.907127241750429E-2</v>
      </c>
      <c r="L54" s="197">
        <v>-2.907127241750429E-2</v>
      </c>
      <c r="M54" s="198">
        <v>2.8807194454872898E-2</v>
      </c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BE54" t="s">
        <v>42</v>
      </c>
      <c r="BF54">
        <v>71.051977446800905</v>
      </c>
      <c r="BG54">
        <v>6.0214126798913805E-3</v>
      </c>
      <c r="BH54">
        <v>1.2119593011540399E-3</v>
      </c>
    </row>
    <row r="55" spans="1:71" ht="14.25">
      <c r="A55" s="905"/>
      <c r="B55" s="161" t="s">
        <v>211</v>
      </c>
      <c r="C55" s="162">
        <v>44393</v>
      </c>
      <c r="D55" s="163">
        <v>46983</v>
      </c>
      <c r="E55" s="164">
        <v>47628</v>
      </c>
      <c r="F55" s="165">
        <v>139004</v>
      </c>
      <c r="G55" s="166">
        <v>1203213.8695236738</v>
      </c>
      <c r="H55" s="908"/>
      <c r="I55" s="194">
        <v>-3.2108855757140291E-3</v>
      </c>
      <c r="J55" s="195">
        <v>3.1869488918257249E-2</v>
      </c>
      <c r="K55" s="196">
        <v>1.1504624407850272E-2</v>
      </c>
      <c r="L55" s="197">
        <v>1.1504624407850272E-2</v>
      </c>
      <c r="M55" s="198">
        <v>2.6778092796277075E-2</v>
      </c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BD55" t="s">
        <v>215</v>
      </c>
      <c r="BE55" t="s">
        <v>158</v>
      </c>
      <c r="BF55">
        <v>71.051104664576499</v>
      </c>
      <c r="BG55">
        <v>1.53682172957139E-2</v>
      </c>
      <c r="BH55">
        <v>8.2329735512008E-4</v>
      </c>
    </row>
    <row r="56" spans="1:71" ht="14.25">
      <c r="A56" s="905"/>
      <c r="B56" s="161" t="s">
        <v>213</v>
      </c>
      <c r="C56" s="162">
        <v>43645</v>
      </c>
      <c r="D56" s="163">
        <v>44328</v>
      </c>
      <c r="E56" s="164">
        <v>46087</v>
      </c>
      <c r="F56" s="165">
        <v>134060</v>
      </c>
      <c r="G56" s="166">
        <v>1337273.8695236738</v>
      </c>
      <c r="H56" s="908"/>
      <c r="I56" s="194">
        <v>-4.2053510677992144E-2</v>
      </c>
      <c r="J56" s="195">
        <v>-9.5845958781939702E-3</v>
      </c>
      <c r="K56" s="196">
        <v>-4.0983196102697628E-2</v>
      </c>
      <c r="L56" s="197">
        <v>-4.0983196102697628E-2</v>
      </c>
      <c r="M56" s="198">
        <v>1.9556291965288519E-2</v>
      </c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BE56" t="s">
        <v>25</v>
      </c>
      <c r="BF56">
        <v>74.054734089485507</v>
      </c>
      <c r="BG56">
        <v>1.4363980931045299E-3</v>
      </c>
      <c r="BH56">
        <v>3.0837733297494202E-3</v>
      </c>
    </row>
    <row r="57" spans="1:71" ht="14.25">
      <c r="A57" s="905"/>
      <c r="B57" s="161" t="s">
        <v>216</v>
      </c>
      <c r="C57" s="162">
        <v>42610</v>
      </c>
      <c r="D57" s="163">
        <v>43068</v>
      </c>
      <c r="E57" s="164">
        <v>44500</v>
      </c>
      <c r="F57" s="165">
        <v>130178</v>
      </c>
      <c r="G57" s="166">
        <v>1467451.8695236738</v>
      </c>
      <c r="H57" s="908"/>
      <c r="I57" s="194">
        <v>-6.5283200982757861E-2</v>
      </c>
      <c r="J57" s="195">
        <v>-2.3266022827041263E-2</v>
      </c>
      <c r="K57" s="196">
        <v>-6.7572987995301315E-2</v>
      </c>
      <c r="L57" s="197">
        <v>-6.7572987995301315E-2</v>
      </c>
      <c r="M57" s="198">
        <v>1.1174265725089949E-2</v>
      </c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BE57" t="s">
        <v>42</v>
      </c>
      <c r="BF57">
        <v>71.051104664576499</v>
      </c>
      <c r="BG57">
        <v>1.53682172957139E-2</v>
      </c>
      <c r="BH57">
        <v>8.2329735512008E-4</v>
      </c>
    </row>
    <row r="58" spans="1:71" ht="15" thickBot="1">
      <c r="A58" s="906"/>
      <c r="B58" s="225" t="s">
        <v>217</v>
      </c>
      <c r="C58" s="177">
        <v>41091</v>
      </c>
      <c r="D58" s="178">
        <v>44677</v>
      </c>
      <c r="E58" s="179">
        <v>42705</v>
      </c>
      <c r="F58" s="180">
        <v>128473</v>
      </c>
      <c r="G58" s="166">
        <v>1595924.8695236738</v>
      </c>
      <c r="H58" s="908"/>
      <c r="I58" s="207">
        <v>-2.0476758045292014E-2</v>
      </c>
      <c r="J58" s="208">
        <v>1.3335548015091474E-2</v>
      </c>
      <c r="K58" s="209">
        <v>-1.8443390099857182E-2</v>
      </c>
      <c r="L58" s="210">
        <v>-1.8443390099857182E-2</v>
      </c>
      <c r="M58" s="211">
        <v>8.7240342085199707E-3</v>
      </c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BD58" t="s">
        <v>199</v>
      </c>
      <c r="BE58" t="s">
        <v>158</v>
      </c>
      <c r="BF58">
        <v>71.051977446800905</v>
      </c>
      <c r="BG58">
        <v>6.0214126798913805E-3</v>
      </c>
      <c r="BH58">
        <v>1.2119593011540399E-3</v>
      </c>
    </row>
    <row r="59" spans="1:71" ht="15" thickBot="1">
      <c r="A59" s="213" t="s">
        <v>220</v>
      </c>
      <c r="B59" s="214"/>
      <c r="C59" s="183">
        <v>42138.462600146777</v>
      </c>
      <c r="D59" s="183">
        <v>45501.244565350084</v>
      </c>
      <c r="E59" s="183">
        <v>45354.031961475965</v>
      </c>
      <c r="F59" s="184">
        <v>132993.73912697283</v>
      </c>
      <c r="G59" s="184"/>
      <c r="H59" s="909"/>
      <c r="I59" s="215">
        <v>-1.9760298530088205E-2</v>
      </c>
      <c r="J59" s="215">
        <v>1.8596441278226683E-2</v>
      </c>
      <c r="K59" s="216">
        <v>2.6455729851725174E-2</v>
      </c>
      <c r="L59" s="217"/>
      <c r="M59" s="216">
        <v>8.7240342085199707E-3</v>
      </c>
      <c r="W59" s="226">
        <v>0.65</v>
      </c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BE59" t="s">
        <v>25</v>
      </c>
      <c r="BF59">
        <v>74.054734089485805</v>
      </c>
      <c r="BG59">
        <v>1.0094332347649E-4</v>
      </c>
      <c r="BH59">
        <v>2.0471581355555601E-3</v>
      </c>
    </row>
    <row r="60" spans="1:71">
      <c r="A60" s="919">
        <v>2009</v>
      </c>
      <c r="B60" s="227" t="s">
        <v>191</v>
      </c>
      <c r="C60" s="151">
        <v>40051</v>
      </c>
      <c r="D60" s="152">
        <v>41955</v>
      </c>
      <c r="E60" s="153">
        <v>42020</v>
      </c>
      <c r="F60" s="154">
        <v>124026</v>
      </c>
      <c r="G60" s="155">
        <v>124026</v>
      </c>
      <c r="H60" s="907" t="s">
        <v>227</v>
      </c>
      <c r="I60" s="228">
        <v>-4.8195061669716488E-2</v>
      </c>
      <c r="J60" s="229">
        <v>1.4045079395723732E-2</v>
      </c>
      <c r="K60" s="230">
        <v>-2.682725881752912E-2</v>
      </c>
      <c r="L60" s="192">
        <v>-2.682725881752912E-2</v>
      </c>
      <c r="M60" s="231">
        <v>-2.682725881752912E-2</v>
      </c>
      <c r="S60" t="s">
        <v>228</v>
      </c>
      <c r="Z60" t="s">
        <v>229</v>
      </c>
      <c r="BE60" t="s">
        <v>42</v>
      </c>
      <c r="BF60">
        <v>71.051977446800905</v>
      </c>
      <c r="BG60">
        <v>6.0214126798913805E-3</v>
      </c>
      <c r="BH60">
        <v>1.2119593011540399E-3</v>
      </c>
    </row>
    <row r="61" spans="1:71" ht="14.25">
      <c r="A61" s="905"/>
      <c r="B61" s="232" t="s">
        <v>195</v>
      </c>
      <c r="C61" s="162">
        <v>41468</v>
      </c>
      <c r="D61" s="163">
        <v>43176</v>
      </c>
      <c r="E61" s="164">
        <v>43833</v>
      </c>
      <c r="F61" s="165">
        <v>128477</v>
      </c>
      <c r="G61" s="166">
        <v>252503</v>
      </c>
      <c r="H61" s="908"/>
      <c r="I61" s="194">
        <v>-1.7602046859823268E-2</v>
      </c>
      <c r="J61" s="195">
        <v>5.4132165057228709E-3</v>
      </c>
      <c r="K61" s="196">
        <v>-2.315202019434015E-2</v>
      </c>
      <c r="L61" s="197">
        <v>-2.315202019434015E-2</v>
      </c>
      <c r="M61" s="198">
        <v>-2.4960709279560733E-2</v>
      </c>
      <c r="P61" s="219">
        <v>2012</v>
      </c>
      <c r="Q61" t="s">
        <v>230</v>
      </c>
      <c r="S61">
        <v>4.2350000000000003</v>
      </c>
      <c r="T61" s="96">
        <f>S61*365*0.65</f>
        <v>1004.7537500000001</v>
      </c>
      <c r="U61" s="96">
        <f>S61/0.16</f>
        <v>26.46875</v>
      </c>
      <c r="V61" s="96">
        <f>U61/0.0194</f>
        <v>1364.3685567010309</v>
      </c>
      <c r="W61" s="96">
        <f>V61*$W$59</f>
        <v>886.83956185567013</v>
      </c>
      <c r="BD61" t="s">
        <v>201</v>
      </c>
      <c r="BE61" t="s">
        <v>158</v>
      </c>
      <c r="BF61">
        <v>71.051104664576499</v>
      </c>
      <c r="BG61">
        <v>1.53682172957139E-2</v>
      </c>
      <c r="BH61">
        <v>8.2329735512008E-4</v>
      </c>
    </row>
    <row r="62" spans="1:71" ht="14.25">
      <c r="A62" s="905"/>
      <c r="B62" s="232" t="s">
        <v>15</v>
      </c>
      <c r="C62" s="162">
        <v>42649</v>
      </c>
      <c r="D62" s="163">
        <v>43974</v>
      </c>
      <c r="E62" s="164">
        <v>45207</v>
      </c>
      <c r="F62" s="165">
        <v>131830</v>
      </c>
      <c r="G62" s="166">
        <v>384333</v>
      </c>
      <c r="H62" s="908"/>
      <c r="I62" s="194">
        <v>-5.4926819836138121E-3</v>
      </c>
      <c r="J62" s="195">
        <v>3.3279239331672421E-2</v>
      </c>
      <c r="K62" s="196">
        <v>2.0328641835818395E-3</v>
      </c>
      <c r="L62" s="197">
        <v>2.0328641835818395E-3</v>
      </c>
      <c r="M62" s="198">
        <v>-1.5867048172648834E-2</v>
      </c>
      <c r="P62" s="219">
        <v>2013</v>
      </c>
      <c r="R62" s="173">
        <f>M124</f>
        <v>2.8204394465260352E-2</v>
      </c>
      <c r="S62" s="98">
        <f>S61*(1+R62)</f>
        <v>4.3544456105603775</v>
      </c>
      <c r="T62" s="96">
        <f t="shared" ref="T62:T67" si="25">S62*365*0.65</f>
        <v>1033.0922211054497</v>
      </c>
      <c r="U62" s="96">
        <f t="shared" ref="U62:U68" si="26">S62/0.16</f>
        <v>27.215285066002359</v>
      </c>
      <c r="V62" s="96">
        <f t="shared" ref="V62:V68" si="27">U62/0.0194</f>
        <v>1402.8497456702246</v>
      </c>
      <c r="W62" s="96">
        <f t="shared" ref="W62:W67" si="28">V62*$W$59</f>
        <v>911.85233468564604</v>
      </c>
      <c r="Z62">
        <v>5470</v>
      </c>
      <c r="AA62">
        <v>3406</v>
      </c>
      <c r="AB62">
        <f>AA62+Z62</f>
        <v>8876</v>
      </c>
      <c r="BE62" t="s">
        <v>25</v>
      </c>
      <c r="BF62">
        <v>74.054734089485507</v>
      </c>
      <c r="BG62">
        <v>1.4363980931045299E-3</v>
      </c>
      <c r="BH62">
        <v>3.0837733297494202E-3</v>
      </c>
    </row>
    <row r="63" spans="1:71" ht="14.25">
      <c r="A63" s="905"/>
      <c r="B63" s="232" t="s">
        <v>16</v>
      </c>
      <c r="C63" s="162">
        <v>40139</v>
      </c>
      <c r="D63" s="163">
        <v>43031</v>
      </c>
      <c r="E63" s="164">
        <v>44800</v>
      </c>
      <c r="F63" s="165">
        <v>127970</v>
      </c>
      <c r="G63" s="166">
        <v>512303</v>
      </c>
      <c r="H63" s="908"/>
      <c r="I63" s="194">
        <v>-0.11398803611239874</v>
      </c>
      <c r="J63" s="195">
        <v>-5.2493549342244407E-2</v>
      </c>
      <c r="K63" s="196">
        <v>-9.1212521482239017E-2</v>
      </c>
      <c r="L63" s="197">
        <v>-9.1212521482239017E-2</v>
      </c>
      <c r="M63" s="198">
        <v>-3.5834727190527604E-2</v>
      </c>
      <c r="P63" s="219">
        <v>2014</v>
      </c>
      <c r="R63" s="173">
        <f>M137</f>
        <v>2.9891451882241293E-2</v>
      </c>
      <c r="S63" s="98">
        <f t="shared" ref="S63:S68" si="29">S62*(1+R63)</f>
        <v>4.4846063120022794</v>
      </c>
      <c r="T63" s="96">
        <f t="shared" si="25"/>
        <v>1063.9728475225409</v>
      </c>
      <c r="U63" s="96">
        <f t="shared" si="26"/>
        <v>28.028789450014244</v>
      </c>
      <c r="V63" s="96">
        <f t="shared" si="27"/>
        <v>1444.7829613409403</v>
      </c>
      <c r="W63" s="96">
        <f t="shared" si="28"/>
        <v>939.10892487161129</v>
      </c>
      <c r="Z63">
        <v>328</v>
      </c>
      <c r="AA63">
        <v>950</v>
      </c>
      <c r="AB63">
        <f>AA63+Z63</f>
        <v>1278</v>
      </c>
      <c r="BE63" t="s">
        <v>42</v>
      </c>
      <c r="BF63">
        <v>71.051104664576499</v>
      </c>
      <c r="BG63">
        <v>1.53682172957139E-2</v>
      </c>
      <c r="BH63">
        <v>8.2329735512008E-4</v>
      </c>
    </row>
    <row r="64" spans="1:71" ht="14.25">
      <c r="A64" s="905"/>
      <c r="B64" s="232" t="s">
        <v>17</v>
      </c>
      <c r="C64" s="162">
        <v>41143</v>
      </c>
      <c r="D64" s="163">
        <v>45166</v>
      </c>
      <c r="E64" s="164">
        <v>46849</v>
      </c>
      <c r="F64" s="165">
        <v>133158</v>
      </c>
      <c r="G64" s="166">
        <v>645461</v>
      </c>
      <c r="H64" s="908"/>
      <c r="I64" s="194">
        <v>-5.2004608294930872E-2</v>
      </c>
      <c r="J64" s="195">
        <v>-1.0246334558668187E-2</v>
      </c>
      <c r="K64" s="196">
        <v>-4.1216376179041503E-2</v>
      </c>
      <c r="L64" s="197">
        <v>-4.1216376179041503E-2</v>
      </c>
      <c r="M64" s="198">
        <v>-3.69498967334152E-2</v>
      </c>
      <c r="P64" s="219">
        <v>2015</v>
      </c>
      <c r="R64" s="173">
        <f>M150</f>
        <v>4.227000115618762E-2</v>
      </c>
      <c r="S64" s="98">
        <f t="shared" si="29"/>
        <v>4.6741706259956617</v>
      </c>
      <c r="T64" s="96">
        <f t="shared" si="25"/>
        <v>1108.9469810174708</v>
      </c>
      <c r="U64" s="96">
        <f t="shared" si="26"/>
        <v>29.213566412472886</v>
      </c>
      <c r="V64" s="96">
        <f t="shared" si="27"/>
        <v>1505.8539387872622</v>
      </c>
      <c r="W64" s="96">
        <f t="shared" si="28"/>
        <v>978.8050602117205</v>
      </c>
      <c r="Z64">
        <v>30</v>
      </c>
      <c r="AA64">
        <v>2706</v>
      </c>
      <c r="AB64">
        <f>AA64+Z64</f>
        <v>2736</v>
      </c>
    </row>
    <row r="65" spans="1:60" ht="14.25">
      <c r="A65" s="905"/>
      <c r="B65" s="232" t="s">
        <v>18</v>
      </c>
      <c r="C65" s="162">
        <v>39338</v>
      </c>
      <c r="D65" s="163">
        <v>45356</v>
      </c>
      <c r="E65" s="164">
        <v>47542</v>
      </c>
      <c r="F65" s="165">
        <v>132236</v>
      </c>
      <c r="G65" s="166">
        <v>777697</v>
      </c>
      <c r="H65" s="908"/>
      <c r="I65" s="194">
        <v>-2.6335329934161676E-2</v>
      </c>
      <c r="J65" s="195">
        <v>1.0671768707482994E-2</v>
      </c>
      <c r="K65" s="196">
        <v>-5.8539920003616297E-3</v>
      </c>
      <c r="L65" s="197">
        <v>-5.8539920003616297E-3</v>
      </c>
      <c r="M65" s="198">
        <v>-3.1800490402125403E-2</v>
      </c>
      <c r="P65" s="219">
        <v>2016</v>
      </c>
      <c r="R65" s="173">
        <f>M163</f>
        <v>7.2047840846281241E-2</v>
      </c>
      <c r="S65" s="98">
        <f t="shared" si="29"/>
        <v>5.0109345273457597</v>
      </c>
      <c r="T65" s="96">
        <f t="shared" si="25"/>
        <v>1188.8442166127816</v>
      </c>
      <c r="U65" s="96">
        <f t="shared" si="26"/>
        <v>31.318340795910999</v>
      </c>
      <c r="V65" s="96">
        <f t="shared" si="27"/>
        <v>1614.3474637067525</v>
      </c>
      <c r="W65" s="96">
        <f t="shared" si="28"/>
        <v>1049.3258514093891</v>
      </c>
      <c r="Z65">
        <f>SUM(Z62:Z64)</f>
        <v>5828</v>
      </c>
      <c r="AA65">
        <f>SUM(AA62:AA64)</f>
        <v>7062</v>
      </c>
      <c r="AB65">
        <f>SUM(AB62:AB64)</f>
        <v>12890</v>
      </c>
    </row>
    <row r="66" spans="1:60" ht="14.25">
      <c r="A66" s="905"/>
      <c r="B66" s="232" t="s">
        <v>19</v>
      </c>
      <c r="C66" s="162">
        <v>36278</v>
      </c>
      <c r="D66" s="163">
        <v>43055</v>
      </c>
      <c r="E66" s="164">
        <v>46544</v>
      </c>
      <c r="F66" s="165">
        <v>125877</v>
      </c>
      <c r="G66" s="166">
        <v>903574</v>
      </c>
      <c r="H66" s="908"/>
      <c r="I66" s="194">
        <v>-3.9959775590134437E-2</v>
      </c>
      <c r="J66" s="195">
        <v>7.5247548762042097E-3</v>
      </c>
      <c r="K66" s="196">
        <v>-2.7341290045943545E-2</v>
      </c>
      <c r="L66" s="197">
        <v>-2.7341290045943545E-2</v>
      </c>
      <c r="M66" s="198">
        <v>-3.1181731466766061E-2</v>
      </c>
      <c r="P66" s="219">
        <v>2017</v>
      </c>
      <c r="R66" s="173">
        <f>M176</f>
        <v>8.0027290299421239E-2</v>
      </c>
      <c r="S66" s="98">
        <f>S65*(1+R66)</f>
        <v>5.4119460394370522</v>
      </c>
      <c r="T66" s="96">
        <f>S66*365*0.65</f>
        <v>1283.9841978564407</v>
      </c>
      <c r="U66" s="96">
        <f t="shared" si="26"/>
        <v>33.824662746481579</v>
      </c>
      <c r="V66" s="96">
        <f t="shared" si="27"/>
        <v>1743.5393168289472</v>
      </c>
      <c r="W66" s="96">
        <f t="shared" si="28"/>
        <v>1133.3005559388157</v>
      </c>
      <c r="BC66" t="s">
        <v>158</v>
      </c>
      <c r="BE66">
        <f>BG66/1000</f>
        <v>7.3169105356480999E-3</v>
      </c>
      <c r="BF66">
        <f>BH66/1000</f>
        <v>6.0998104818480998E-4</v>
      </c>
      <c r="BG66">
        <v>7.3169105356481001</v>
      </c>
      <c r="BH66">
        <v>0.60998104818481003</v>
      </c>
    </row>
    <row r="67" spans="1:60" ht="14.25">
      <c r="A67" s="905"/>
      <c r="B67" s="232" t="s">
        <v>20</v>
      </c>
      <c r="C67" s="162">
        <v>38943</v>
      </c>
      <c r="D67" s="163">
        <v>43639.509729323123</v>
      </c>
      <c r="E67" s="164">
        <v>46669</v>
      </c>
      <c r="F67" s="165">
        <v>129251.50972932312</v>
      </c>
      <c r="G67" s="166">
        <v>1032825.5097293231</v>
      </c>
      <c r="H67" s="908"/>
      <c r="I67" s="194">
        <v>-2.2882950696273992E-2</v>
      </c>
      <c r="J67" s="195">
        <v>-4.4977511244377811E-4</v>
      </c>
      <c r="K67" s="196">
        <v>-1.7502588673714237E-2</v>
      </c>
      <c r="L67" s="197">
        <v>-1.7502588673714237E-2</v>
      </c>
      <c r="M67" s="198">
        <v>-2.9490761825388789E-2</v>
      </c>
      <c r="P67" s="219">
        <v>2018</v>
      </c>
      <c r="R67" s="173">
        <f>M189</f>
        <v>2.8042488962377599E-2</v>
      </c>
      <c r="S67" s="98">
        <f t="shared" si="29"/>
        <v>5.5637104765129486</v>
      </c>
      <c r="T67" s="96">
        <f t="shared" si="25"/>
        <v>1319.9903105526971</v>
      </c>
      <c r="U67" s="96">
        <f t="shared" si="26"/>
        <v>34.773190478205926</v>
      </c>
      <c r="V67" s="96">
        <f t="shared" si="27"/>
        <v>1792.4324988765941</v>
      </c>
      <c r="W67" s="96">
        <f t="shared" si="28"/>
        <v>1165.0811242697862</v>
      </c>
      <c r="Z67" s="135">
        <f>Z62/$AB$65</f>
        <v>0.42435996896819239</v>
      </c>
      <c r="AA67" s="135">
        <f>AA62/$AB$65</f>
        <v>0.26423584173778125</v>
      </c>
      <c r="AB67" s="135">
        <f t="shared" ref="Z67:AB69" si="30">AB62/$AB$65</f>
        <v>0.68859581070597364</v>
      </c>
      <c r="BC67" t="s">
        <v>25</v>
      </c>
      <c r="BE67">
        <f>BG67/1000</f>
        <v>1.1457692289250001E-4</v>
      </c>
      <c r="BF67">
        <f t="shared" ref="BF67" si="31">BH67/1000</f>
        <v>2.5659043229536902E-3</v>
      </c>
      <c r="BG67">
        <v>0.1145769228925</v>
      </c>
      <c r="BH67">
        <v>2.5659043229536902</v>
      </c>
    </row>
    <row r="68" spans="1:60" ht="14.25">
      <c r="A68" s="905"/>
      <c r="B68" s="232" t="s">
        <v>211</v>
      </c>
      <c r="C68" s="162">
        <v>42344</v>
      </c>
      <c r="D68" s="163">
        <v>45323.090825744075</v>
      </c>
      <c r="E68" s="164">
        <v>46364</v>
      </c>
      <c r="F68" s="165">
        <v>134031.09082574409</v>
      </c>
      <c r="G68" s="166">
        <v>1166856.6005550672</v>
      </c>
      <c r="H68" s="908"/>
      <c r="I68" s="194">
        <v>-4.6155925483747438E-2</v>
      </c>
      <c r="J68" s="195">
        <v>-2.6539010665994792E-2</v>
      </c>
      <c r="K68" s="196">
        <v>-3.5775295489740677E-2</v>
      </c>
      <c r="L68" s="197">
        <v>-3.5775295489740677E-2</v>
      </c>
      <c r="M68" s="198">
        <v>-3.0216796771965093E-2</v>
      </c>
      <c r="P68" s="219">
        <v>2019</v>
      </c>
      <c r="R68" s="173">
        <f>M202</f>
        <v>1.1087125087072547E-2</v>
      </c>
      <c r="S68" s="98">
        <f t="shared" si="29"/>
        <v>5.6253960305143034</v>
      </c>
      <c r="T68" s="96">
        <f>S68*365*0.65</f>
        <v>1334.6252082395183</v>
      </c>
      <c r="U68" s="96">
        <f t="shared" si="26"/>
        <v>35.158725190714392</v>
      </c>
      <c r="V68" s="96">
        <f t="shared" si="27"/>
        <v>1812.3054222017727</v>
      </c>
      <c r="W68" s="96">
        <f>V68*$W$59</f>
        <v>1177.9985244311522</v>
      </c>
      <c r="Z68" s="135">
        <f t="shared" si="30"/>
        <v>2.5446082234290148E-2</v>
      </c>
      <c r="AA68" s="135">
        <f t="shared" si="30"/>
        <v>7.3700543056633053E-2</v>
      </c>
      <c r="AB68" s="135">
        <f t="shared" si="30"/>
        <v>9.914662529092319E-2</v>
      </c>
      <c r="BC68" t="s">
        <v>252</v>
      </c>
      <c r="BE68">
        <f>BG68/1000</f>
        <v>7.3169105356480999E-3</v>
      </c>
      <c r="BF68">
        <f>BH68/1000</f>
        <v>6.0998104818480998E-4</v>
      </c>
      <c r="BG68">
        <v>7.3169105356481001</v>
      </c>
      <c r="BH68">
        <v>0.60998104818481003</v>
      </c>
    </row>
    <row r="69" spans="1:60">
      <c r="A69" s="905"/>
      <c r="B69" s="232" t="s">
        <v>213</v>
      </c>
      <c r="C69" s="162">
        <v>41415</v>
      </c>
      <c r="D69" s="163">
        <v>44791.584372036959</v>
      </c>
      <c r="E69" s="164">
        <v>44499</v>
      </c>
      <c r="F69" s="165">
        <v>130705.58437203696</v>
      </c>
      <c r="G69" s="166">
        <v>1297562.184927104</v>
      </c>
      <c r="H69" s="908"/>
      <c r="I69" s="194">
        <v>-5.1094054301752775E-2</v>
      </c>
      <c r="J69" s="195">
        <v>-3.4456571267385598E-2</v>
      </c>
      <c r="K69" s="196">
        <v>-2.5021748679419975E-2</v>
      </c>
      <c r="L69" s="197">
        <v>-2.5021748679419975E-2</v>
      </c>
      <c r="M69" s="198">
        <v>-2.9695999825910535E-2</v>
      </c>
      <c r="Z69" s="135">
        <f t="shared" si="30"/>
        <v>2.3273855702094647E-3</v>
      </c>
      <c r="AA69" s="135">
        <f t="shared" si="30"/>
        <v>0.20993017843289372</v>
      </c>
      <c r="AB69" s="135">
        <f t="shared" si="30"/>
        <v>0.21225756400310319</v>
      </c>
      <c r="BC69" t="s">
        <v>467</v>
      </c>
      <c r="BE69">
        <f>BG69/1000</f>
        <v>7.3169105356480999E-3</v>
      </c>
      <c r="BF69">
        <f>BH69/1000</f>
        <v>6.0998104818480998E-4</v>
      </c>
      <c r="BG69">
        <v>7.3169105356481001</v>
      </c>
      <c r="BH69">
        <v>0.60998104818481003</v>
      </c>
    </row>
    <row r="70" spans="1:60">
      <c r="A70" s="905"/>
      <c r="B70" s="232" t="s">
        <v>216</v>
      </c>
      <c r="C70" s="162">
        <v>41585</v>
      </c>
      <c r="D70" s="163">
        <v>44265</v>
      </c>
      <c r="E70" s="164">
        <v>44559</v>
      </c>
      <c r="F70" s="165">
        <v>130409</v>
      </c>
      <c r="G70" s="166">
        <v>1427971.184927104</v>
      </c>
      <c r="H70" s="908"/>
      <c r="I70" s="194">
        <v>-2.4055386059610419E-2</v>
      </c>
      <c r="J70" s="195">
        <v>1.3258426966292136E-3</v>
      </c>
      <c r="K70" s="196">
        <v>1.7744933859791256E-3</v>
      </c>
      <c r="L70" s="197">
        <v>1.7744933859791256E-3</v>
      </c>
      <c r="M70" s="198">
        <v>-2.6904244981734826E-2</v>
      </c>
      <c r="R70" s="135">
        <f>(S68-S61)/S61</f>
        <v>0.32831075100691925</v>
      </c>
      <c r="BC70" t="s">
        <v>468</v>
      </c>
      <c r="BE70">
        <f t="shared" ref="BE70:BE73" si="32">BG70/1000</f>
        <v>7.3169105356480999E-3</v>
      </c>
      <c r="BF70">
        <f t="shared" ref="BF70:BF73" si="33">BH70/1000</f>
        <v>6.0998104818480998E-4</v>
      </c>
      <c r="BG70">
        <v>7.3169105356481001</v>
      </c>
      <c r="BH70">
        <v>0.60998104818481003</v>
      </c>
    </row>
    <row r="71" spans="1:60" ht="13.75" thickBot="1">
      <c r="A71" s="906"/>
      <c r="B71" s="176" t="s">
        <v>217</v>
      </c>
      <c r="C71" s="177">
        <v>40810</v>
      </c>
      <c r="D71" s="178">
        <v>45965</v>
      </c>
      <c r="E71" s="179">
        <v>43664</v>
      </c>
      <c r="F71" s="180">
        <v>130439</v>
      </c>
      <c r="G71" s="166">
        <v>1558410.184927104</v>
      </c>
      <c r="H71" s="908"/>
      <c r="I71" s="221">
        <v>-6.838480445839722E-3</v>
      </c>
      <c r="J71" s="222">
        <v>2.2456386839948484E-2</v>
      </c>
      <c r="K71" s="223">
        <v>1.5302826274781411E-2</v>
      </c>
      <c r="L71" s="210">
        <v>1.5302826274781411E-2</v>
      </c>
      <c r="M71" s="224">
        <v>-2.3506548029273211E-2</v>
      </c>
      <c r="R71" s="135">
        <f>(S68-S66)/S66</f>
        <v>3.9440524632328763E-2</v>
      </c>
      <c r="BC71" t="s">
        <v>469</v>
      </c>
      <c r="BE71">
        <f t="shared" si="32"/>
        <v>1.1457692289250001E-4</v>
      </c>
      <c r="BF71">
        <f t="shared" si="33"/>
        <v>2.5659043229536902E-3</v>
      </c>
      <c r="BG71">
        <v>0.1145769228925</v>
      </c>
      <c r="BH71">
        <v>2.5659043229536902</v>
      </c>
    </row>
    <row r="72" spans="1:60" ht="13.75" thickBot="1">
      <c r="A72" s="213" t="s">
        <v>220</v>
      </c>
      <c r="B72" s="214"/>
      <c r="C72" s="183">
        <v>40513.583333333336</v>
      </c>
      <c r="D72" s="183">
        <v>44141.43207725868</v>
      </c>
      <c r="E72" s="183">
        <v>45212.5</v>
      </c>
      <c r="F72" s="184">
        <v>129867.51541059201</v>
      </c>
      <c r="G72" s="184"/>
      <c r="H72" s="908"/>
      <c r="I72" s="215">
        <v>-3.8560478160581502E-2</v>
      </c>
      <c r="J72" s="215">
        <v>-2.9885171297642343E-2</v>
      </c>
      <c r="K72" s="216">
        <v>-3.1206037336698467E-3</v>
      </c>
      <c r="L72" s="217"/>
      <c r="M72" s="216">
        <v>-2.3506548029273211E-2</v>
      </c>
      <c r="W72">
        <f>W74/0.16/0.0194*0.65</f>
        <v>1261.9925902061855</v>
      </c>
      <c r="BC72" t="s">
        <v>470</v>
      </c>
      <c r="BE72">
        <f t="shared" si="32"/>
        <v>1.1457692289250001E-4</v>
      </c>
      <c r="BF72">
        <f t="shared" si="33"/>
        <v>2.5659043229536902E-3</v>
      </c>
      <c r="BG72">
        <v>0.1145769228925</v>
      </c>
      <c r="BH72">
        <v>2.5659043229536902</v>
      </c>
    </row>
    <row r="73" spans="1:60" ht="14.25">
      <c r="A73" s="905">
        <v>2010</v>
      </c>
      <c r="B73" s="188" t="s">
        <v>191</v>
      </c>
      <c r="C73" s="151">
        <v>38769</v>
      </c>
      <c r="D73" s="152">
        <v>40948</v>
      </c>
      <c r="E73" s="153">
        <v>40896</v>
      </c>
      <c r="F73" s="154">
        <v>120613</v>
      </c>
      <c r="G73" s="155">
        <v>120613</v>
      </c>
      <c r="H73" s="920" t="s">
        <v>231</v>
      </c>
      <c r="I73" s="233">
        <v>-3.2009188284936707E-2</v>
      </c>
      <c r="J73" s="229">
        <v>-2.674916706330319E-2</v>
      </c>
      <c r="K73" s="230">
        <v>-2.7518423556351035E-2</v>
      </c>
      <c r="L73" s="192">
        <v>-2.7518423556351035E-2</v>
      </c>
      <c r="M73" s="231">
        <v>-2.7518423556351035E-2</v>
      </c>
      <c r="P73" s="219">
        <v>2015</v>
      </c>
      <c r="S73">
        <f>S61*1.092</f>
        <v>4.6246200000000011</v>
      </c>
      <c r="X73">
        <v>852370</v>
      </c>
      <c r="Y73">
        <f>X73*5</f>
        <v>4261850</v>
      </c>
      <c r="BC73" t="s">
        <v>471</v>
      </c>
      <c r="BE73">
        <f t="shared" si="32"/>
        <v>7.3169105356480999E-3</v>
      </c>
      <c r="BF73">
        <f t="shared" si="33"/>
        <v>6.0998104818480998E-4</v>
      </c>
      <c r="BG73">
        <v>7.3169105356481001</v>
      </c>
      <c r="BH73">
        <v>0.60998104818481003</v>
      </c>
    </row>
    <row r="74" spans="1:60" ht="14.25">
      <c r="A74" s="905"/>
      <c r="B74" s="161" t="s">
        <v>195</v>
      </c>
      <c r="C74" s="162">
        <v>40353</v>
      </c>
      <c r="D74" s="163">
        <v>42290</v>
      </c>
      <c r="E74" s="164">
        <v>42919</v>
      </c>
      <c r="F74" s="165">
        <v>125562</v>
      </c>
      <c r="G74" s="166">
        <v>246175</v>
      </c>
      <c r="H74" s="921"/>
      <c r="I74" s="234">
        <v>-2.688820295167358E-2</v>
      </c>
      <c r="J74" s="195">
        <v>-2.0851869595966511E-2</v>
      </c>
      <c r="K74" s="196">
        <v>-2.2688885948457749E-2</v>
      </c>
      <c r="L74" s="197">
        <v>-2.2688885948457749E-2</v>
      </c>
      <c r="M74" s="198">
        <v>-2.5061088383108276E-2</v>
      </c>
      <c r="P74" s="219">
        <v>2016</v>
      </c>
      <c r="S74">
        <f>S73*1.072</f>
        <v>4.9575926400000014</v>
      </c>
      <c r="W74">
        <f>X74*5/10^6</f>
        <v>6.0265000000000004</v>
      </c>
      <c r="X74">
        <v>1205300</v>
      </c>
      <c r="Y74">
        <f>X74*5</f>
        <v>6026500</v>
      </c>
      <c r="BC74" t="s">
        <v>158</v>
      </c>
      <c r="BE74">
        <f t="shared" ref="BE74:BF80" si="34">BG74/1000</f>
        <v>6.0214126798913805E-3</v>
      </c>
      <c r="BF74">
        <f t="shared" si="34"/>
        <v>1.2119593011540399E-3</v>
      </c>
      <c r="BG74">
        <v>6.0214126798913803</v>
      </c>
      <c r="BH74">
        <v>1.2119593011540399</v>
      </c>
    </row>
    <row r="75" spans="1:60" ht="14.25">
      <c r="A75" s="905"/>
      <c r="B75" s="161" t="s">
        <v>15</v>
      </c>
      <c r="C75" s="162">
        <v>39577.55385956086</v>
      </c>
      <c r="D75" s="163">
        <v>44527</v>
      </c>
      <c r="E75" s="164">
        <v>44702</v>
      </c>
      <c r="F75" s="165">
        <v>128806.55385956087</v>
      </c>
      <c r="G75" s="166">
        <v>374981.55385956087</v>
      </c>
      <c r="H75" s="921"/>
      <c r="I75" s="234">
        <v>-7.2016838388687665E-2</v>
      </c>
      <c r="J75" s="195">
        <v>-1.1170836374897693E-2</v>
      </c>
      <c r="K75" s="196">
        <v>-2.2934431771517327E-2</v>
      </c>
      <c r="L75" s="197">
        <v>-2.2934431771517327E-2</v>
      </c>
      <c r="M75" s="198">
        <v>-2.4331624243661421E-2</v>
      </c>
      <c r="P75" s="219">
        <v>2017</v>
      </c>
      <c r="S75">
        <f>S74*1.08</f>
        <v>5.3542000512000021</v>
      </c>
      <c r="V75">
        <f>1/52</f>
        <v>1.9230769230769232E-2</v>
      </c>
      <c r="BC75" t="s">
        <v>25</v>
      </c>
      <c r="BE75">
        <f t="shared" si="34"/>
        <v>1.0094332347649E-4</v>
      </c>
      <c r="BF75">
        <f t="shared" si="34"/>
        <v>2.0471581355555601E-3</v>
      </c>
      <c r="BG75">
        <v>0.10094332347649</v>
      </c>
      <c r="BH75">
        <v>2.0471581355555601</v>
      </c>
    </row>
    <row r="76" spans="1:60" ht="14.25">
      <c r="A76" s="905"/>
      <c r="B76" s="161" t="s">
        <v>16</v>
      </c>
      <c r="C76" s="162">
        <v>38546</v>
      </c>
      <c r="D76" s="163">
        <v>41213</v>
      </c>
      <c r="E76" s="164">
        <v>42389</v>
      </c>
      <c r="F76" s="165">
        <v>122148</v>
      </c>
      <c r="G76" s="166">
        <v>497129.55385956087</v>
      </c>
      <c r="H76" s="921"/>
      <c r="I76" s="234">
        <v>-3.968708737138444E-2</v>
      </c>
      <c r="J76" s="195">
        <v>-5.3816964285714287E-2</v>
      </c>
      <c r="K76" s="196">
        <v>-4.5495037899507706E-2</v>
      </c>
      <c r="L76" s="197">
        <v>-4.5495037899507706E-2</v>
      </c>
      <c r="M76" s="198">
        <v>-2.9618109088643152E-2</v>
      </c>
      <c r="P76" s="219">
        <v>2017</v>
      </c>
      <c r="Q76" t="s">
        <v>232</v>
      </c>
      <c r="S76">
        <f>S75/0.16</f>
        <v>33.46375032000001</v>
      </c>
      <c r="V76">
        <f>1/7</f>
        <v>0.14285714285714285</v>
      </c>
      <c r="X76" s="135">
        <f>(X74-X73)/X73</f>
        <v>0.41405727559627858</v>
      </c>
      <c r="BC76" t="s">
        <v>42</v>
      </c>
      <c r="BE76">
        <f t="shared" si="34"/>
        <v>6.0214126798913805E-3</v>
      </c>
      <c r="BF76">
        <f t="shared" si="34"/>
        <v>1.2119593011540399E-3</v>
      </c>
      <c r="BG76">
        <v>6.0214126798913803</v>
      </c>
      <c r="BH76">
        <v>1.2119593011540399</v>
      </c>
    </row>
    <row r="77" spans="1:60" ht="14.25">
      <c r="A77" s="905"/>
      <c r="B77" s="161" t="s">
        <v>17</v>
      </c>
      <c r="C77" s="162">
        <v>42047</v>
      </c>
      <c r="D77" s="163">
        <v>46617</v>
      </c>
      <c r="E77" s="164">
        <v>48759</v>
      </c>
      <c r="F77" s="165">
        <v>137423</v>
      </c>
      <c r="G77" s="166">
        <v>634552.55385956087</v>
      </c>
      <c r="H77" s="921"/>
      <c r="I77" s="234">
        <v>2.1972145930048852E-2</v>
      </c>
      <c r="J77" s="195">
        <v>4.0769280027321823E-2</v>
      </c>
      <c r="K77" s="196">
        <v>3.202961894891776E-2</v>
      </c>
      <c r="L77" s="197">
        <v>3.202961894891776E-2</v>
      </c>
      <c r="M77" s="198">
        <v>-1.6900240510951292E-2</v>
      </c>
      <c r="P77" s="219">
        <v>2012</v>
      </c>
      <c r="Q77" t="s">
        <v>233</v>
      </c>
      <c r="S77">
        <f>S76/0.0194</f>
        <v>1724.9355835051551</v>
      </c>
      <c r="U77">
        <f>S75*365</f>
        <v>1954.2830186880008</v>
      </c>
      <c r="AG77">
        <f>1/0.16</f>
        <v>6.25</v>
      </c>
      <c r="BC77" t="s">
        <v>158</v>
      </c>
      <c r="BE77">
        <f t="shared" si="34"/>
        <v>6.0214126798913805E-3</v>
      </c>
      <c r="BF77">
        <f t="shared" si="34"/>
        <v>1.2119593011540399E-3</v>
      </c>
      <c r="BG77">
        <v>6.0214126798913803</v>
      </c>
      <c r="BH77">
        <v>1.2119593011540399</v>
      </c>
    </row>
    <row r="78" spans="1:60">
      <c r="A78" s="905"/>
      <c r="B78" s="161" t="s">
        <v>18</v>
      </c>
      <c r="C78" s="162">
        <v>38698</v>
      </c>
      <c r="D78" s="163">
        <v>44896</v>
      </c>
      <c r="E78" s="164">
        <v>47264</v>
      </c>
      <c r="F78" s="165">
        <v>130858</v>
      </c>
      <c r="G78" s="166">
        <v>765410.55385956087</v>
      </c>
      <c r="H78" s="921"/>
      <c r="I78" s="234">
        <v>-1.6269256189943567E-2</v>
      </c>
      <c r="J78" s="195">
        <v>-5.8474611922089944E-3</v>
      </c>
      <c r="K78" s="196">
        <v>-1.042076287848992E-2</v>
      </c>
      <c r="L78" s="197">
        <v>-1.042076287848992E-2</v>
      </c>
      <c r="M78" s="198">
        <v>-1.5798500110504654E-2</v>
      </c>
      <c r="P78" s="226">
        <v>0.65</v>
      </c>
      <c r="Q78" t="s">
        <v>234</v>
      </c>
      <c r="S78">
        <f>S77*0.65</f>
        <v>1121.208129278351</v>
      </c>
      <c r="AG78">
        <f>1/1.94</f>
        <v>0.51546391752577325</v>
      </c>
      <c r="BC78" t="s">
        <v>25</v>
      </c>
      <c r="BE78">
        <f t="shared" si="34"/>
        <v>1.0094332347649E-4</v>
      </c>
      <c r="BF78">
        <f t="shared" si="34"/>
        <v>2.0471581355555601E-3</v>
      </c>
      <c r="BG78">
        <v>0.10094332347649</v>
      </c>
      <c r="BH78">
        <v>2.0471581355555601</v>
      </c>
    </row>
    <row r="79" spans="1:60">
      <c r="A79" s="905"/>
      <c r="B79" s="161" t="s">
        <v>19</v>
      </c>
      <c r="C79" s="162">
        <v>32469.834451891707</v>
      </c>
      <c r="D79" s="163">
        <v>40894</v>
      </c>
      <c r="E79" s="164">
        <v>45038</v>
      </c>
      <c r="F79" s="165">
        <v>118401.83445189171</v>
      </c>
      <c r="G79" s="166">
        <v>883812.38831145258</v>
      </c>
      <c r="H79" s="921"/>
      <c r="I79" s="234">
        <v>-0.1049717610702986</v>
      </c>
      <c r="J79" s="195">
        <v>-3.2356479889996563E-2</v>
      </c>
      <c r="K79" s="196">
        <v>-5.9384681459744737E-2</v>
      </c>
      <c r="L79" s="197">
        <v>-5.9384681459744737E-2</v>
      </c>
      <c r="M79" s="198">
        <v>-2.1870496150340091E-2</v>
      </c>
      <c r="BC79" t="s">
        <v>42</v>
      </c>
      <c r="BE79">
        <f t="shared" si="34"/>
        <v>6.0214126798913805E-3</v>
      </c>
      <c r="BF79">
        <f t="shared" si="34"/>
        <v>1.2119593011540399E-3</v>
      </c>
      <c r="BG79">
        <v>6.0214126798913803</v>
      </c>
      <c r="BH79">
        <v>1.2119593011540399</v>
      </c>
    </row>
    <row r="80" spans="1:60">
      <c r="A80" s="905"/>
      <c r="B80" s="161" t="s">
        <v>20</v>
      </c>
      <c r="C80" s="162">
        <v>39203</v>
      </c>
      <c r="D80" s="163">
        <v>44069</v>
      </c>
      <c r="E80" s="164">
        <v>46872</v>
      </c>
      <c r="F80" s="165">
        <v>130144</v>
      </c>
      <c r="G80" s="166">
        <v>1013956.3883114526</v>
      </c>
      <c r="H80" s="921"/>
      <c r="I80" s="234">
        <v>6.6764245178851144E-3</v>
      </c>
      <c r="J80" s="195">
        <v>4.3497825108744564E-3</v>
      </c>
      <c r="K80" s="196">
        <v>6.9050665059613436E-3</v>
      </c>
      <c r="L80" s="197">
        <v>6.9050665059613436E-3</v>
      </c>
      <c r="M80" s="198">
        <v>-1.8269418444956553E-2</v>
      </c>
      <c r="BC80" t="s">
        <v>158</v>
      </c>
      <c r="BE80">
        <f t="shared" si="34"/>
        <v>1.53682172957139E-2</v>
      </c>
      <c r="BF80">
        <f t="shared" si="34"/>
        <v>8.2329735512008E-4</v>
      </c>
      <c r="BG80">
        <v>15.368217295713899</v>
      </c>
      <c r="BH80">
        <v>0.82329735512007995</v>
      </c>
    </row>
    <row r="81" spans="1:60">
      <c r="A81" s="905"/>
      <c r="B81" s="161" t="s">
        <v>211</v>
      </c>
      <c r="C81" s="162">
        <v>41946</v>
      </c>
      <c r="D81" s="163">
        <v>44929</v>
      </c>
      <c r="E81" s="164">
        <v>46070</v>
      </c>
      <c r="F81" s="165">
        <v>132945</v>
      </c>
      <c r="G81" s="166">
        <v>1146901.3883114527</v>
      </c>
      <c r="H81" s="921"/>
      <c r="I81" s="234">
        <v>-9.3992064991498207E-3</v>
      </c>
      <c r="J81" s="195">
        <v>-6.3411267362608924E-3</v>
      </c>
      <c r="K81" s="196">
        <v>-8.1032752852555623E-3</v>
      </c>
      <c r="L81" s="197">
        <v>-8.1032752852555623E-3</v>
      </c>
      <c r="M81" s="198">
        <v>-1.7101683475177598E-2</v>
      </c>
      <c r="BC81" t="s">
        <v>25</v>
      </c>
      <c r="BE81">
        <f t="shared" ref="BE81:BE88" si="35">BG81/1000</f>
        <v>1.4363980931045299E-3</v>
      </c>
      <c r="BF81">
        <f t="shared" ref="BF81:BF88" si="36">BH81/1000</f>
        <v>3.0837733297494202E-3</v>
      </c>
      <c r="BG81">
        <v>1.4363980931045299</v>
      </c>
      <c r="BH81">
        <v>3.0837733297494201</v>
      </c>
    </row>
    <row r="82" spans="1:60">
      <c r="A82" s="905"/>
      <c r="B82" s="161" t="s">
        <v>213</v>
      </c>
      <c r="C82" s="162">
        <v>41381</v>
      </c>
      <c r="D82" s="163">
        <v>44334</v>
      </c>
      <c r="E82" s="164">
        <v>45824</v>
      </c>
      <c r="F82" s="165">
        <v>131539</v>
      </c>
      <c r="G82" s="166">
        <v>1278440.3883114527</v>
      </c>
      <c r="H82" s="921"/>
      <c r="I82" s="234">
        <v>-8.2095858988289264E-4</v>
      </c>
      <c r="J82" s="195">
        <v>2.9775950021348793E-2</v>
      </c>
      <c r="K82" s="196">
        <v>6.3762817171668651E-3</v>
      </c>
      <c r="L82" s="197">
        <v>6.3762817171668651E-3</v>
      </c>
      <c r="M82" s="198">
        <v>-1.4736709221165878E-2</v>
      </c>
      <c r="S82">
        <f>1/(0.16*0.0194)</f>
        <v>322.16494845360825</v>
      </c>
      <c r="V82">
        <f>1/0.16</f>
        <v>6.25</v>
      </c>
      <c r="W82">
        <v>7</v>
      </c>
      <c r="X82">
        <f>V82/W82</f>
        <v>0.8928571428571429</v>
      </c>
      <c r="BC82" t="s">
        <v>42</v>
      </c>
      <c r="BE82">
        <f t="shared" si="35"/>
        <v>1.53682172957139E-2</v>
      </c>
      <c r="BF82">
        <f t="shared" si="36"/>
        <v>8.2329735512008E-4</v>
      </c>
      <c r="BG82">
        <v>15.368217295713899</v>
      </c>
      <c r="BH82">
        <v>0.82329735512007995</v>
      </c>
    </row>
    <row r="83" spans="1:60">
      <c r="A83" s="905"/>
      <c r="B83" s="161" t="s">
        <v>216</v>
      </c>
      <c r="C83" s="162">
        <v>38837.210682722696</v>
      </c>
      <c r="D83" s="163">
        <v>44338</v>
      </c>
      <c r="E83" s="164">
        <v>44525</v>
      </c>
      <c r="F83" s="165">
        <v>127700.2106827227</v>
      </c>
      <c r="G83" s="166">
        <v>1406140.5989941754</v>
      </c>
      <c r="H83" s="921"/>
      <c r="I83" s="234">
        <v>-6.6076453463443638E-2</v>
      </c>
      <c r="J83" s="195">
        <v>-7.6303328171637601E-4</v>
      </c>
      <c r="K83" s="196">
        <v>-2.0771490597100706E-2</v>
      </c>
      <c r="L83" s="197">
        <v>-2.0771490597100706E-2</v>
      </c>
      <c r="M83" s="198">
        <v>-1.5287833650538984E-2</v>
      </c>
      <c r="V83">
        <f>1/0.0194</f>
        <v>51.546391752577321</v>
      </c>
      <c r="W83">
        <v>52</v>
      </c>
      <c r="X83">
        <f>V83/W83</f>
        <v>0.99127676447264079</v>
      </c>
      <c r="BC83" t="s">
        <v>158</v>
      </c>
      <c r="BE83">
        <f t="shared" si="35"/>
        <v>6.0214126798913805E-3</v>
      </c>
      <c r="BF83">
        <f t="shared" si="36"/>
        <v>1.2119593011540399E-3</v>
      </c>
      <c r="BG83">
        <v>6.0214126798913803</v>
      </c>
      <c r="BH83">
        <v>1.2119593011540399</v>
      </c>
    </row>
    <row r="84" spans="1:60" ht="13.75" thickBot="1">
      <c r="A84" s="906"/>
      <c r="B84" s="161" t="s">
        <v>217</v>
      </c>
      <c r="C84" s="235">
        <v>40499</v>
      </c>
      <c r="D84" s="236">
        <v>46137</v>
      </c>
      <c r="E84" s="237">
        <v>44030</v>
      </c>
      <c r="F84" s="180">
        <v>130666</v>
      </c>
      <c r="G84" s="166">
        <v>1536806.5989941754</v>
      </c>
      <c r="H84" s="921"/>
      <c r="I84" s="234">
        <v>-7.6206812055868659E-3</v>
      </c>
      <c r="J84" s="195">
        <v>8.3821912788567248E-3</v>
      </c>
      <c r="K84" s="196">
        <v>1.7402770643748511E-3</v>
      </c>
      <c r="L84" s="197">
        <v>1.7402770643748511E-3</v>
      </c>
      <c r="M84" s="198">
        <v>-1.3862580045919781E-2</v>
      </c>
      <c r="BC84" t="s">
        <v>25</v>
      </c>
      <c r="BE84">
        <f t="shared" si="35"/>
        <v>1.0094332347649E-4</v>
      </c>
      <c r="BF84">
        <f t="shared" si="36"/>
        <v>2.0471581355555601E-3</v>
      </c>
      <c r="BG84">
        <v>0.10094332347649</v>
      </c>
      <c r="BH84">
        <v>2.0471581355555601</v>
      </c>
    </row>
    <row r="85" spans="1:60" ht="13.75" thickBot="1">
      <c r="A85" s="213" t="s">
        <v>220</v>
      </c>
      <c r="B85" s="214"/>
      <c r="C85" s="183">
        <v>39360.54991618127</v>
      </c>
      <c r="D85" s="183">
        <v>43766</v>
      </c>
      <c r="E85" s="183">
        <v>44940.666666666664</v>
      </c>
      <c r="F85" s="184">
        <v>128067.21658284795</v>
      </c>
      <c r="G85" s="184"/>
      <c r="H85" s="922"/>
      <c r="I85" s="238">
        <v>-2.8460415551625262E-2</v>
      </c>
      <c r="J85" s="215">
        <v>-8.5052083630087205E-3</v>
      </c>
      <c r="K85" s="216">
        <v>-6.0123490922495693E-3</v>
      </c>
      <c r="L85" s="217"/>
      <c r="M85" s="216">
        <v>-1.3862580045919781E-2</v>
      </c>
      <c r="BC85" t="s">
        <v>42</v>
      </c>
      <c r="BE85">
        <f t="shared" si="35"/>
        <v>6.0214126798913805E-3</v>
      </c>
      <c r="BF85">
        <f t="shared" si="36"/>
        <v>1.2119593011540399E-3</v>
      </c>
      <c r="BG85">
        <v>6.0214126798913803</v>
      </c>
      <c r="BH85">
        <v>1.2119593011540399</v>
      </c>
    </row>
    <row r="86" spans="1:60">
      <c r="A86" s="905">
        <v>2011</v>
      </c>
      <c r="B86" s="239" t="s">
        <v>191</v>
      </c>
      <c r="C86" s="240">
        <v>34438</v>
      </c>
      <c r="D86" s="241">
        <v>40650</v>
      </c>
      <c r="E86" s="242">
        <v>40584</v>
      </c>
      <c r="F86" s="154">
        <v>115672</v>
      </c>
      <c r="G86" s="155">
        <v>115672</v>
      </c>
      <c r="H86" s="908" t="s">
        <v>235</v>
      </c>
      <c r="I86" s="243">
        <v>-0.11171296654543579</v>
      </c>
      <c r="J86" s="244">
        <v>-7.2775227117319527E-3</v>
      </c>
      <c r="K86" s="245">
        <v>-7.6291079812206572E-3</v>
      </c>
      <c r="L86" s="246">
        <v>-4.0965733378657387E-2</v>
      </c>
      <c r="M86" s="247">
        <v>-4.0965733378657387E-2</v>
      </c>
      <c r="BC86" t="s">
        <v>158</v>
      </c>
      <c r="BE86">
        <f t="shared" si="35"/>
        <v>1.53682172957139E-2</v>
      </c>
      <c r="BF86">
        <f t="shared" si="36"/>
        <v>8.2329735512008E-4</v>
      </c>
      <c r="BG86">
        <v>15.368217295713899</v>
      </c>
      <c r="BH86">
        <v>0.82329735512007995</v>
      </c>
    </row>
    <row r="87" spans="1:60">
      <c r="A87" s="905"/>
      <c r="B87" s="248" t="s">
        <v>195</v>
      </c>
      <c r="C87" s="240">
        <v>38278</v>
      </c>
      <c r="D87" s="241">
        <v>41594</v>
      </c>
      <c r="E87" s="242">
        <v>42191</v>
      </c>
      <c r="F87" s="165">
        <v>122063</v>
      </c>
      <c r="G87" s="166">
        <v>237735</v>
      </c>
      <c r="H87" s="908"/>
      <c r="I87" s="249">
        <v>-5.1421207840804894E-2</v>
      </c>
      <c r="J87" s="250">
        <v>-1.6457791440056751E-2</v>
      </c>
      <c r="K87" s="251">
        <v>-1.6962184580255831E-2</v>
      </c>
      <c r="L87" s="252">
        <v>-2.786671126614737E-2</v>
      </c>
      <c r="M87" s="253">
        <v>-3.4284553671168894E-2</v>
      </c>
      <c r="BC87" t="s">
        <v>25</v>
      </c>
      <c r="BE87">
        <f t="shared" si="35"/>
        <v>1.4363980931045299E-3</v>
      </c>
      <c r="BF87">
        <f t="shared" si="36"/>
        <v>3.0837733297494202E-3</v>
      </c>
      <c r="BG87">
        <v>1.4363980931045299</v>
      </c>
      <c r="BH87">
        <v>3.0837733297494201</v>
      </c>
    </row>
    <row r="88" spans="1:60">
      <c r="A88" s="905"/>
      <c r="B88" s="239" t="s">
        <v>15</v>
      </c>
      <c r="C88" s="240">
        <v>39577.55385956086</v>
      </c>
      <c r="D88" s="241">
        <v>42024</v>
      </c>
      <c r="E88" s="242">
        <v>42382</v>
      </c>
      <c r="F88" s="165">
        <v>123983.55385956087</v>
      </c>
      <c r="G88" s="166">
        <v>361718.55385956087</v>
      </c>
      <c r="H88" s="908"/>
      <c r="I88" s="249">
        <v>0</v>
      </c>
      <c r="J88" s="250">
        <v>-5.6213084196105732E-2</v>
      </c>
      <c r="K88" s="251">
        <v>-5.1899243881705519E-2</v>
      </c>
      <c r="L88" s="252">
        <v>-3.7443746886191565E-2</v>
      </c>
      <c r="M88" s="253">
        <v>-3.53697398271684E-2</v>
      </c>
      <c r="BC88" t="s">
        <v>42</v>
      </c>
      <c r="BE88">
        <f t="shared" si="35"/>
        <v>1.53682172957139E-2</v>
      </c>
      <c r="BF88">
        <f t="shared" si="36"/>
        <v>8.2329735512008E-4</v>
      </c>
      <c r="BG88">
        <v>15.368217295713899</v>
      </c>
      <c r="BH88">
        <v>0.82329735512007995</v>
      </c>
    </row>
    <row r="89" spans="1:60">
      <c r="A89" s="905"/>
      <c r="B89" s="248" t="s">
        <v>16</v>
      </c>
      <c r="C89" s="254">
        <v>38191</v>
      </c>
      <c r="D89" s="255">
        <v>41786</v>
      </c>
      <c r="E89" s="256">
        <v>42456</v>
      </c>
      <c r="F89" s="165">
        <v>122433</v>
      </c>
      <c r="G89" s="166">
        <v>484151.55385956087</v>
      </c>
      <c r="H89" s="908"/>
      <c r="I89" s="257">
        <v>-9.2097753333679234E-3</v>
      </c>
      <c r="J89" s="258">
        <v>1.3903380001455851E-2</v>
      </c>
      <c r="K89" s="259">
        <v>1.5805987402392129E-3</v>
      </c>
      <c r="L89" s="260">
        <v>2.3332350918556788E-3</v>
      </c>
      <c r="M89" s="261">
        <v>-2.6105870993270885E-2</v>
      </c>
    </row>
    <row r="90" spans="1:60">
      <c r="A90" s="905"/>
      <c r="B90" s="239" t="s">
        <v>17</v>
      </c>
      <c r="C90" s="240">
        <v>40629</v>
      </c>
      <c r="D90" s="241">
        <v>44902.820709191597</v>
      </c>
      <c r="E90" s="242">
        <v>45805</v>
      </c>
      <c r="F90" s="165">
        <v>131336.82070919161</v>
      </c>
      <c r="G90" s="166">
        <v>615488.37456875248</v>
      </c>
      <c r="H90" s="908"/>
      <c r="I90" s="249">
        <v>-3.372416581444574E-2</v>
      </c>
      <c r="J90" s="250">
        <v>-3.6771548808554877E-2</v>
      </c>
      <c r="K90" s="251">
        <v>-6.0583687114173793E-2</v>
      </c>
      <c r="L90" s="252">
        <v>-4.4287923352047232E-2</v>
      </c>
      <c r="M90" s="253">
        <v>-3.0043499430982834E-2</v>
      </c>
    </row>
    <row r="91" spans="1:60">
      <c r="A91" s="905"/>
      <c r="B91" s="248" t="s">
        <v>18</v>
      </c>
      <c r="C91" s="254">
        <v>37310</v>
      </c>
      <c r="D91" s="255">
        <v>43292.140361930658</v>
      </c>
      <c r="E91" s="256">
        <v>46102</v>
      </c>
      <c r="F91" s="165">
        <v>126704.14036193065</v>
      </c>
      <c r="G91" s="166">
        <v>742192.51493068319</v>
      </c>
      <c r="H91" s="908"/>
      <c r="I91" s="257">
        <v>-3.5867486691818697E-2</v>
      </c>
      <c r="J91" s="258">
        <v>-3.5723887162984268E-2</v>
      </c>
      <c r="K91" s="259">
        <v>-2.4585308056872038E-2</v>
      </c>
      <c r="L91" s="260">
        <v>-3.1743260924585015E-2</v>
      </c>
      <c r="M91" s="261">
        <v>-3.0334098232381757E-2</v>
      </c>
    </row>
    <row r="92" spans="1:60">
      <c r="A92" s="905"/>
      <c r="B92" s="239" t="s">
        <v>19</v>
      </c>
      <c r="C92" s="262">
        <v>32469.834451891707</v>
      </c>
      <c r="D92" s="263">
        <v>40295</v>
      </c>
      <c r="E92" s="264">
        <v>44324</v>
      </c>
      <c r="F92" s="165">
        <v>117088.83445189171</v>
      </c>
      <c r="G92" s="166">
        <v>859281.3493825749</v>
      </c>
      <c r="H92" s="908"/>
      <c r="I92" s="249">
        <v>0</v>
      </c>
      <c r="J92" s="250">
        <v>-1.4647625568543063E-2</v>
      </c>
      <c r="K92" s="251">
        <v>-1.5853279452906436E-2</v>
      </c>
      <c r="L92" s="252">
        <v>-1.1089355212089091E-2</v>
      </c>
      <c r="M92" s="253">
        <v>-2.775593469078308E-2</v>
      </c>
    </row>
    <row r="93" spans="1:60">
      <c r="A93" s="905"/>
      <c r="B93" s="248" t="s">
        <v>20</v>
      </c>
      <c r="C93" s="254">
        <v>39501</v>
      </c>
      <c r="D93" s="255">
        <v>43816</v>
      </c>
      <c r="E93" s="256">
        <v>47395</v>
      </c>
      <c r="F93" s="165">
        <v>130712</v>
      </c>
      <c r="G93" s="166">
        <v>989993.3493825749</v>
      </c>
      <c r="H93" s="908"/>
      <c r="I93" s="257">
        <v>7.6014590720097953E-3</v>
      </c>
      <c r="J93" s="258">
        <v>-5.7409970727722434E-3</v>
      </c>
      <c r="K93" s="259">
        <v>1.1158047448370029E-2</v>
      </c>
      <c r="L93" s="260">
        <v>4.3643963609540926E-3</v>
      </c>
      <c r="M93" s="261">
        <v>-2.3633204746392966E-2</v>
      </c>
    </row>
    <row r="94" spans="1:60">
      <c r="A94" s="905"/>
      <c r="B94" s="239" t="s">
        <v>211</v>
      </c>
      <c r="C94" s="240">
        <v>42149</v>
      </c>
      <c r="D94" s="241">
        <v>44852</v>
      </c>
      <c r="E94" s="242">
        <v>46305</v>
      </c>
      <c r="F94" s="165">
        <v>133306</v>
      </c>
      <c r="G94" s="166">
        <v>1123299.3493825749</v>
      </c>
      <c r="H94" s="908"/>
      <c r="I94" s="249">
        <v>4.8395556191293569E-3</v>
      </c>
      <c r="J94" s="250">
        <v>-1.7138151305392953E-3</v>
      </c>
      <c r="K94" s="251">
        <v>5.1009333622747989E-3</v>
      </c>
      <c r="L94" s="252">
        <v>2.7154086276279799E-3</v>
      </c>
      <c r="M94" s="253">
        <v>-2.0578960989511397E-2</v>
      </c>
    </row>
    <row r="95" spans="1:60">
      <c r="A95" s="905"/>
      <c r="B95" s="248" t="s">
        <v>213</v>
      </c>
      <c r="C95" s="240">
        <v>38837.210682722696</v>
      </c>
      <c r="D95" s="241">
        <v>43630</v>
      </c>
      <c r="E95" s="242">
        <v>44120</v>
      </c>
      <c r="F95" s="165">
        <v>126587.2106827227</v>
      </c>
      <c r="G95" s="166">
        <v>1249886.5600652976</v>
      </c>
      <c r="H95" s="908"/>
      <c r="I95" s="249">
        <v>-6.147239837793441E-2</v>
      </c>
      <c r="J95" s="250">
        <v>-1.5879460459241216E-2</v>
      </c>
      <c r="K95" s="251">
        <v>-3.7185754189944131E-2</v>
      </c>
      <c r="L95" s="252">
        <v>-3.764502784176027E-2</v>
      </c>
      <c r="M95" s="253">
        <v>-2.2334892191468225E-2</v>
      </c>
    </row>
    <row r="96" spans="1:60">
      <c r="A96" s="905"/>
      <c r="B96" s="239" t="s">
        <v>216</v>
      </c>
      <c r="C96" s="240">
        <v>38914</v>
      </c>
      <c r="D96" s="241">
        <v>45013</v>
      </c>
      <c r="E96" s="242">
        <v>43954</v>
      </c>
      <c r="F96" s="165">
        <v>127881</v>
      </c>
      <c r="G96" s="166">
        <v>1377767.5600652976</v>
      </c>
      <c r="H96" s="908"/>
      <c r="I96" s="249">
        <v>1.9772098955465056E-3</v>
      </c>
      <c r="J96" s="250">
        <v>1.5223961387523117E-2</v>
      </c>
      <c r="K96" s="251">
        <v>-1.2824256035934869E-2</v>
      </c>
      <c r="L96" s="252">
        <v>1.4157323336487782E-3</v>
      </c>
      <c r="M96" s="253">
        <v>-2.0177953007809668E-2</v>
      </c>
    </row>
    <row r="97" spans="1:23" ht="13.75" thickBot="1">
      <c r="A97" s="906"/>
      <c r="B97" s="248" t="s">
        <v>217</v>
      </c>
      <c r="C97" s="240">
        <v>39009</v>
      </c>
      <c r="D97" s="241">
        <v>44817</v>
      </c>
      <c r="E97" s="242">
        <v>41196</v>
      </c>
      <c r="F97" s="180">
        <v>125022</v>
      </c>
      <c r="G97" s="166">
        <v>1502789.5600652976</v>
      </c>
      <c r="H97" s="908"/>
      <c r="I97" s="265">
        <v>-3.6791031877330307E-2</v>
      </c>
      <c r="J97" s="266">
        <v>-2.8610442811626245E-2</v>
      </c>
      <c r="K97" s="267">
        <v>-6.4365205541676129E-2</v>
      </c>
      <c r="L97" s="268">
        <v>-4.3194097929071029E-2</v>
      </c>
      <c r="M97" s="269">
        <v>-2.2134886036500379E-2</v>
      </c>
    </row>
    <row r="98" spans="1:23" ht="13.75" thickBot="1">
      <c r="A98" s="213" t="s">
        <v>220</v>
      </c>
      <c r="B98" s="214"/>
      <c r="C98" s="183">
        <v>38275.29991618127</v>
      </c>
      <c r="D98" s="183">
        <v>43055.996755926855</v>
      </c>
      <c r="E98" s="183">
        <v>43901.166666666664</v>
      </c>
      <c r="F98" s="184">
        <v>125232.4633387748</v>
      </c>
      <c r="G98" s="184"/>
      <c r="H98" s="909"/>
      <c r="I98" s="215">
        <v>-2.7572023315503791E-2</v>
      </c>
      <c r="J98" s="215">
        <v>-1.6222712701026931E-2</v>
      </c>
      <c r="K98" s="216">
        <v>-2.3130497989942267E-2</v>
      </c>
      <c r="L98" s="217"/>
      <c r="M98" s="216">
        <v>-2.2134886036500379E-2</v>
      </c>
    </row>
    <row r="99" spans="1:23">
      <c r="A99" s="905">
        <v>2012</v>
      </c>
      <c r="B99" s="239" t="s">
        <v>191</v>
      </c>
      <c r="C99" s="240">
        <v>36756</v>
      </c>
      <c r="D99" s="241">
        <v>40229</v>
      </c>
      <c r="E99" s="242">
        <v>37935</v>
      </c>
      <c r="F99" s="154">
        <v>114920</v>
      </c>
      <c r="G99" s="155">
        <v>114920</v>
      </c>
      <c r="H99" s="907" t="s">
        <v>236</v>
      </c>
      <c r="I99" s="243">
        <v>6.7309367559091698E-2</v>
      </c>
      <c r="J99" s="244">
        <v>-1.035670356703567E-2</v>
      </c>
      <c r="K99" s="245">
        <v>-6.5272028385570668E-2</v>
      </c>
      <c r="L99" s="246">
        <v>-6.5011411577564626E-3</v>
      </c>
      <c r="M99" s="247">
        <v>-6.5011411577564626E-3</v>
      </c>
    </row>
    <row r="100" spans="1:23">
      <c r="A100" s="905"/>
      <c r="B100" s="248" t="s">
        <v>195</v>
      </c>
      <c r="C100" s="240">
        <v>39916</v>
      </c>
      <c r="D100" s="241">
        <v>42641</v>
      </c>
      <c r="E100" s="242">
        <v>42098</v>
      </c>
      <c r="F100" s="165">
        <v>124655</v>
      </c>
      <c r="G100" s="166">
        <v>239575</v>
      </c>
      <c r="H100" s="908"/>
      <c r="I100" s="249">
        <v>4.2792204399393907E-2</v>
      </c>
      <c r="J100" s="250">
        <v>2.5171899793239409E-2</v>
      </c>
      <c r="K100" s="251">
        <v>-2.204261572373255E-3</v>
      </c>
      <c r="L100" s="252">
        <v>2.1234936057609621E-2</v>
      </c>
      <c r="M100" s="253">
        <v>7.7397101815046554E-3</v>
      </c>
    </row>
    <row r="101" spans="1:23">
      <c r="A101" s="905"/>
      <c r="B101" s="239" t="s">
        <v>15</v>
      </c>
      <c r="C101" s="240">
        <v>40799</v>
      </c>
      <c r="D101" s="241">
        <v>42827.129822515941</v>
      </c>
      <c r="E101" s="242">
        <v>43161</v>
      </c>
      <c r="F101" s="165">
        <v>126787.12982251594</v>
      </c>
      <c r="G101" s="166">
        <v>366362.12982251594</v>
      </c>
      <c r="H101" s="908"/>
      <c r="I101" s="249">
        <v>3.0862092810823687E-2</v>
      </c>
      <c r="J101" s="250">
        <v>1.9111217935368855E-2</v>
      </c>
      <c r="K101" s="251">
        <v>1.8380444528337501E-2</v>
      </c>
      <c r="L101" s="252">
        <v>2.2612482669521983E-2</v>
      </c>
      <c r="M101" s="253">
        <v>1.2837538780932967E-2</v>
      </c>
    </row>
    <row r="102" spans="1:23">
      <c r="A102" s="905"/>
      <c r="B102" s="248" t="s">
        <v>16</v>
      </c>
      <c r="C102" s="240">
        <v>37312</v>
      </c>
      <c r="D102" s="241">
        <v>41032</v>
      </c>
      <c r="E102" s="242">
        <v>42770</v>
      </c>
      <c r="F102" s="165">
        <v>121114</v>
      </c>
      <c r="G102" s="166">
        <v>487476.12982251594</v>
      </c>
      <c r="H102" s="908"/>
      <c r="I102" s="249">
        <v>-2.3015893796967873E-2</v>
      </c>
      <c r="J102" s="250">
        <v>-1.8044321064471354E-2</v>
      </c>
      <c r="K102" s="251">
        <v>7.3958922178255131E-3</v>
      </c>
      <c r="L102" s="252">
        <v>-1.0773239241054333E-2</v>
      </c>
      <c r="M102" s="253">
        <v>6.8668084124736684E-3</v>
      </c>
    </row>
    <row r="103" spans="1:23">
      <c r="A103" s="905"/>
      <c r="B103" s="239" t="s">
        <v>17</v>
      </c>
      <c r="C103" s="240">
        <v>39532</v>
      </c>
      <c r="D103" s="241">
        <v>44101</v>
      </c>
      <c r="E103" s="242">
        <v>47730</v>
      </c>
      <c r="F103" s="165">
        <v>131363</v>
      </c>
      <c r="G103" s="166">
        <v>618839.12982251588</v>
      </c>
      <c r="H103" s="908"/>
      <c r="I103" s="249">
        <v>-2.700041842034015E-2</v>
      </c>
      <c r="J103" s="250">
        <v>-1.7856800453238897E-2</v>
      </c>
      <c r="K103" s="251">
        <v>4.2025979696539678E-2</v>
      </c>
      <c r="L103" s="252">
        <v>1.9932940866862481E-4</v>
      </c>
      <c r="M103" s="253">
        <v>5.4440593717324237E-3</v>
      </c>
      <c r="S103">
        <v>2005</v>
      </c>
      <c r="T103">
        <v>116359</v>
      </c>
      <c r="V103" s="32">
        <v>1396313</v>
      </c>
    </row>
    <row r="104" spans="1:23">
      <c r="A104" s="905"/>
      <c r="B104" s="248" t="s">
        <v>18</v>
      </c>
      <c r="C104" s="240">
        <v>38535</v>
      </c>
      <c r="D104" s="241">
        <v>45391</v>
      </c>
      <c r="E104" s="242">
        <v>49113</v>
      </c>
      <c r="F104" s="165">
        <v>133039</v>
      </c>
      <c r="G104" s="166">
        <v>751878.12982251588</v>
      </c>
      <c r="H104" s="908"/>
      <c r="I104" s="249">
        <v>3.283302063789869E-2</v>
      </c>
      <c r="J104" s="250">
        <v>4.8481309090344565E-2</v>
      </c>
      <c r="K104" s="251">
        <v>6.5311700143160817E-2</v>
      </c>
      <c r="L104" s="252">
        <v>4.9997258337208361E-2</v>
      </c>
      <c r="M104" s="253">
        <v>1.3050003465391091E-2</v>
      </c>
      <c r="S104">
        <v>2006</v>
      </c>
      <c r="T104">
        <v>120896</v>
      </c>
      <c r="U104" s="133">
        <f t="shared" ref="U104:U117" si="37">(T104-T103)/T103</f>
        <v>3.8991397313486706E-2</v>
      </c>
      <c r="V104" s="32">
        <v>1450748</v>
      </c>
      <c r="W104" s="133">
        <f t="shared" ref="W104:W116" si="38">(V104-V103)/V103</f>
        <v>3.898481214455498E-2</v>
      </c>
    </row>
    <row r="105" spans="1:23">
      <c r="A105" s="905"/>
      <c r="B105" s="239" t="s">
        <v>19</v>
      </c>
      <c r="C105" s="240">
        <v>35019</v>
      </c>
      <c r="D105" s="241">
        <v>42613</v>
      </c>
      <c r="E105" s="242">
        <v>45682</v>
      </c>
      <c r="F105" s="165">
        <v>123314</v>
      </c>
      <c r="G105" s="166">
        <v>875192.12982251588</v>
      </c>
      <c r="H105" s="908"/>
      <c r="I105" s="249">
        <v>7.8508732524805863E-2</v>
      </c>
      <c r="J105" s="250">
        <v>5.7525747611366175E-2</v>
      </c>
      <c r="K105" s="251">
        <v>3.0638029058749211E-2</v>
      </c>
      <c r="L105" s="252">
        <v>5.316617572673854E-2</v>
      </c>
      <c r="M105" s="253">
        <v>1.8516380521203413E-2</v>
      </c>
      <c r="S105">
        <v>2007</v>
      </c>
      <c r="T105">
        <v>131844</v>
      </c>
      <c r="U105" s="133">
        <f t="shared" si="37"/>
        <v>9.0557173107464264E-2</v>
      </c>
      <c r="V105" s="32">
        <v>1582122</v>
      </c>
      <c r="W105" s="133">
        <f t="shared" si="38"/>
        <v>9.0556044192375243E-2</v>
      </c>
    </row>
    <row r="106" spans="1:23">
      <c r="A106" s="905"/>
      <c r="B106" s="248" t="s">
        <v>20</v>
      </c>
      <c r="C106" s="240">
        <v>38080</v>
      </c>
      <c r="D106" s="241">
        <v>44481</v>
      </c>
      <c r="E106" s="242">
        <v>46569</v>
      </c>
      <c r="F106" s="165">
        <v>129130</v>
      </c>
      <c r="G106" s="166">
        <v>1004322.1298225159</v>
      </c>
      <c r="H106" s="908"/>
      <c r="I106" s="249">
        <v>-3.5973772815878081E-2</v>
      </c>
      <c r="J106" s="250">
        <v>1.5177104254153733E-2</v>
      </c>
      <c r="K106" s="251">
        <v>-1.7427998734043677E-2</v>
      </c>
      <c r="L106" s="252">
        <v>-1.2102943876614258E-2</v>
      </c>
      <c r="M106" s="253">
        <v>1.4473612826669369E-2</v>
      </c>
      <c r="S106">
        <v>2008</v>
      </c>
      <c r="T106">
        <v>132994</v>
      </c>
      <c r="U106" s="133">
        <f t="shared" si="37"/>
        <v>8.7224295379387754E-3</v>
      </c>
      <c r="V106" s="32">
        <v>1595925</v>
      </c>
      <c r="W106" s="133">
        <f t="shared" si="38"/>
        <v>8.7243588041882991E-3</v>
      </c>
    </row>
    <row r="107" spans="1:23">
      <c r="A107" s="905"/>
      <c r="B107" s="239" t="s">
        <v>211</v>
      </c>
      <c r="C107" s="240">
        <v>40494</v>
      </c>
      <c r="D107" s="241">
        <v>45206</v>
      </c>
      <c r="E107" s="242">
        <v>45960</v>
      </c>
      <c r="F107" s="165">
        <v>131660</v>
      </c>
      <c r="G107" s="166">
        <v>1135982.1298225159</v>
      </c>
      <c r="H107" s="908"/>
      <c r="I107" s="249">
        <v>-3.9265463000308427E-2</v>
      </c>
      <c r="J107" s="250">
        <v>7.8926246321234274E-3</v>
      </c>
      <c r="K107" s="251">
        <v>-7.4505992873339809E-3</v>
      </c>
      <c r="L107" s="252">
        <v>-1.2347531243904974E-2</v>
      </c>
      <c r="M107" s="253">
        <v>1.1290650570493277E-2</v>
      </c>
      <c r="S107">
        <v>2009</v>
      </c>
      <c r="T107">
        <v>129868</v>
      </c>
      <c r="U107" s="133">
        <f t="shared" si="37"/>
        <v>-2.3504819766305248E-2</v>
      </c>
      <c r="V107" s="32">
        <v>1558410</v>
      </c>
      <c r="W107" s="133">
        <f t="shared" si="38"/>
        <v>-2.3506743737957612E-2</v>
      </c>
    </row>
    <row r="108" spans="1:23">
      <c r="A108" s="905"/>
      <c r="B108" s="248" t="s">
        <v>213</v>
      </c>
      <c r="C108" s="240">
        <v>40938</v>
      </c>
      <c r="D108" s="241">
        <v>45269</v>
      </c>
      <c r="E108" s="242">
        <v>45129</v>
      </c>
      <c r="F108" s="165">
        <v>131336</v>
      </c>
      <c r="G108" s="166">
        <v>1267318.1298225159</v>
      </c>
      <c r="H108" s="908"/>
      <c r="I108" s="249">
        <v>5.4092178103096134E-2</v>
      </c>
      <c r="J108" s="250">
        <v>3.7565895026358008E-2</v>
      </c>
      <c r="K108" s="251">
        <v>2.2869446962828648E-2</v>
      </c>
      <c r="L108" s="252">
        <v>3.7513973897249642E-2</v>
      </c>
      <c r="M108" s="253">
        <v>1.3946521479763385E-2</v>
      </c>
      <c r="S108">
        <v>2010</v>
      </c>
      <c r="T108">
        <v>128067</v>
      </c>
      <c r="U108" s="133">
        <f t="shared" si="37"/>
        <v>-1.3867927434009917E-2</v>
      </c>
      <c r="V108" s="32">
        <v>1536807</v>
      </c>
      <c r="W108" s="133">
        <f t="shared" si="38"/>
        <v>-1.386220570966562E-2</v>
      </c>
    </row>
    <row r="109" spans="1:23">
      <c r="A109" s="905"/>
      <c r="B109" s="239" t="s">
        <v>216</v>
      </c>
      <c r="C109" s="240">
        <v>40371</v>
      </c>
      <c r="D109" s="241">
        <v>45583</v>
      </c>
      <c r="E109" s="242">
        <v>43603</v>
      </c>
      <c r="F109" s="165">
        <v>129557</v>
      </c>
      <c r="G109" s="166">
        <v>1396875.1298225159</v>
      </c>
      <c r="H109" s="908"/>
      <c r="I109" s="249">
        <v>3.7441537749910055E-2</v>
      </c>
      <c r="J109" s="250">
        <v>1.2663008464221448E-2</v>
      </c>
      <c r="K109" s="251">
        <v>-7.9856213313919105E-3</v>
      </c>
      <c r="L109" s="252">
        <v>1.3105934423409238E-2</v>
      </c>
      <c r="M109" s="253">
        <v>1.3868500254362592E-2</v>
      </c>
      <c r="S109">
        <v>2011</v>
      </c>
      <c r="T109">
        <v>125232</v>
      </c>
      <c r="U109" s="133">
        <f t="shared" si="37"/>
        <v>-2.2136850242451218E-2</v>
      </c>
      <c r="V109" s="32">
        <v>1502790</v>
      </c>
      <c r="W109" s="133">
        <f t="shared" si="38"/>
        <v>-2.2134854929734181E-2</v>
      </c>
    </row>
    <row r="110" spans="1:23" ht="13.75" thickBot="1">
      <c r="A110" s="906"/>
      <c r="B110" s="248" t="s">
        <v>217</v>
      </c>
      <c r="C110" s="240">
        <v>39019</v>
      </c>
      <c r="D110" s="241">
        <v>46113</v>
      </c>
      <c r="E110" s="242">
        <v>42487</v>
      </c>
      <c r="F110" s="180">
        <v>127619</v>
      </c>
      <c r="G110" s="166">
        <v>1524494.1298225159</v>
      </c>
      <c r="H110" s="908"/>
      <c r="I110" s="265">
        <v>2.563510984644569E-4</v>
      </c>
      <c r="J110" s="266">
        <v>2.8917598232813441E-2</v>
      </c>
      <c r="K110" s="267">
        <v>3.1337993979998056E-2</v>
      </c>
      <c r="L110" s="268">
        <v>2.0772344067444104E-2</v>
      </c>
      <c r="M110" s="269">
        <v>1.4442853699539349E-2</v>
      </c>
      <c r="S110">
        <v>2012</v>
      </c>
      <c r="T110">
        <v>127041</v>
      </c>
      <c r="U110" s="133">
        <f t="shared" si="37"/>
        <v>1.4445189727865083E-2</v>
      </c>
      <c r="V110" s="32">
        <v>1524494</v>
      </c>
      <c r="W110" s="133">
        <f t="shared" si="38"/>
        <v>1.4442470338503717E-2</v>
      </c>
    </row>
    <row r="111" spans="1:23" ht="13.75" thickBot="1">
      <c r="A111" s="213" t="s">
        <v>220</v>
      </c>
      <c r="B111" s="214"/>
      <c r="C111" s="183">
        <v>38897.583333333336</v>
      </c>
      <c r="D111" s="183">
        <v>43790.510818542993</v>
      </c>
      <c r="E111" s="183">
        <v>44353.083333333336</v>
      </c>
      <c r="F111" s="184">
        <v>127041.17748520966</v>
      </c>
      <c r="G111" s="184"/>
      <c r="H111" s="909"/>
      <c r="I111" s="215">
        <v>1.6258093823295905E-2</v>
      </c>
      <c r="J111" s="215">
        <v>1.7059506641546429E-2</v>
      </c>
      <c r="K111" s="216">
        <v>1.0293955741495164E-2</v>
      </c>
      <c r="L111" s="217"/>
      <c r="M111" s="216">
        <v>1.4442853699539349E-2</v>
      </c>
      <c r="S111">
        <v>2013</v>
      </c>
      <c r="T111">
        <v>130624</v>
      </c>
      <c r="U111" s="133">
        <f t="shared" si="37"/>
        <v>2.8203493360411207E-2</v>
      </c>
      <c r="V111" s="32">
        <v>1567492</v>
      </c>
      <c r="W111" s="133">
        <f t="shared" si="38"/>
        <v>2.8204768270652426E-2</v>
      </c>
    </row>
    <row r="112" spans="1:23">
      <c r="A112" s="912" t="s">
        <v>237</v>
      </c>
      <c r="B112" s="239" t="s">
        <v>191</v>
      </c>
      <c r="C112" s="240">
        <v>38446</v>
      </c>
      <c r="D112" s="241">
        <v>42881</v>
      </c>
      <c r="E112" s="242">
        <v>41350</v>
      </c>
      <c r="F112" s="154">
        <v>122677</v>
      </c>
      <c r="G112" s="155">
        <v>122677</v>
      </c>
      <c r="H112" s="907" t="s">
        <v>238</v>
      </c>
      <c r="I112" s="243">
        <v>4.5978887800631189E-2</v>
      </c>
      <c r="J112" s="244">
        <v>6.5922593154192244E-2</v>
      </c>
      <c r="K112" s="245">
        <v>9.0022406748385395E-2</v>
      </c>
      <c r="L112" s="246">
        <v>6.7499129829446503E-2</v>
      </c>
      <c r="M112" s="247">
        <v>6.7499129829446503E-2</v>
      </c>
      <c r="Q112" s="907" t="s">
        <v>239</v>
      </c>
      <c r="S112">
        <v>2014</v>
      </c>
      <c r="T112">
        <v>134529</v>
      </c>
      <c r="U112" s="133">
        <f t="shared" si="37"/>
        <v>2.9894965703086723E-2</v>
      </c>
      <c r="V112" s="32">
        <v>1614346</v>
      </c>
      <c r="W112" s="133">
        <f t="shared" si="38"/>
        <v>2.9891061644971711E-2</v>
      </c>
    </row>
    <row r="113" spans="1:24">
      <c r="A113" s="913"/>
      <c r="B113" s="248" t="s">
        <v>195</v>
      </c>
      <c r="C113" s="240">
        <v>40169</v>
      </c>
      <c r="D113" s="241">
        <v>44492</v>
      </c>
      <c r="E113" s="242">
        <v>43946</v>
      </c>
      <c r="F113" s="165">
        <v>128607</v>
      </c>
      <c r="G113" s="166">
        <v>251284</v>
      </c>
      <c r="H113" s="908"/>
      <c r="I113" s="249">
        <v>6.3383104519490934E-3</v>
      </c>
      <c r="J113" s="250">
        <v>4.340892568185549E-2</v>
      </c>
      <c r="K113" s="251">
        <v>4.3897572331227139E-2</v>
      </c>
      <c r="L113" s="252">
        <v>3.1703501664594347E-2</v>
      </c>
      <c r="M113" s="253">
        <v>4.8874047792966779E-2</v>
      </c>
      <c r="Q113" s="908"/>
      <c r="S113">
        <v>2015</v>
      </c>
      <c r="T113">
        <v>140215</v>
      </c>
      <c r="U113" s="133">
        <f t="shared" si="37"/>
        <v>4.226597982591114E-2</v>
      </c>
      <c r="V113" s="32">
        <v>1682585</v>
      </c>
      <c r="W113" s="133">
        <f t="shared" si="38"/>
        <v>4.2270368310139216E-2</v>
      </c>
    </row>
    <row r="114" spans="1:24">
      <c r="A114" s="913"/>
      <c r="B114" s="239" t="s">
        <v>15</v>
      </c>
      <c r="C114" s="240">
        <v>38554</v>
      </c>
      <c r="D114" s="241">
        <v>43020</v>
      </c>
      <c r="E114" s="242">
        <v>43475</v>
      </c>
      <c r="F114" s="165">
        <v>125049</v>
      </c>
      <c r="G114" s="166">
        <v>376333</v>
      </c>
      <c r="H114" s="908"/>
      <c r="I114" s="249">
        <v>-5.5025858476923456E-2</v>
      </c>
      <c r="J114" s="250">
        <v>4.5034579315343156E-3</v>
      </c>
      <c r="K114" s="251">
        <v>7.2750863047658767E-3</v>
      </c>
      <c r="L114" s="252">
        <v>-1.3709039907671028E-2</v>
      </c>
      <c r="M114" s="253">
        <v>2.7215886593721983E-2</v>
      </c>
      <c r="Q114" s="908"/>
      <c r="S114">
        <v>2016</v>
      </c>
      <c r="T114">
        <v>150300</v>
      </c>
      <c r="U114" s="133">
        <f t="shared" si="37"/>
        <v>7.1925257640052781E-2</v>
      </c>
      <c r="V114" s="32">
        <v>1803811</v>
      </c>
      <c r="W114" s="133">
        <f t="shared" si="38"/>
        <v>7.2047474570378314E-2</v>
      </c>
    </row>
    <row r="115" spans="1:24">
      <c r="A115" s="913"/>
      <c r="B115" s="248" t="s">
        <v>16</v>
      </c>
      <c r="C115" s="270">
        <v>41025.992454615342</v>
      </c>
      <c r="D115" s="241">
        <v>45251</v>
      </c>
      <c r="E115" s="242">
        <v>45048</v>
      </c>
      <c r="F115" s="165">
        <v>131324.99245461533</v>
      </c>
      <c r="G115" s="166">
        <v>507657.99245461531</v>
      </c>
      <c r="H115" s="908"/>
      <c r="I115" s="249">
        <v>9.9538820074382015E-2</v>
      </c>
      <c r="J115" s="250">
        <v>0.10282218756092805</v>
      </c>
      <c r="K115" s="251">
        <v>5.3261631985036244E-2</v>
      </c>
      <c r="L115" s="252">
        <v>8.4308935834134235E-2</v>
      </c>
      <c r="M115" s="253">
        <v>4.1400719742825887E-2</v>
      </c>
      <c r="Q115" s="908"/>
      <c r="S115">
        <v>2017</v>
      </c>
      <c r="T115">
        <v>162347</v>
      </c>
      <c r="U115" s="133">
        <f t="shared" si="37"/>
        <v>8.0153027278775782E-2</v>
      </c>
      <c r="V115" s="32">
        <v>1948165</v>
      </c>
      <c r="W115" s="133">
        <f t="shared" si="38"/>
        <v>8.0027231234314461E-2</v>
      </c>
    </row>
    <row r="116" spans="1:24">
      <c r="A116" s="913"/>
      <c r="B116" s="239" t="s">
        <v>17</v>
      </c>
      <c r="C116" s="270">
        <v>41638.072431964101</v>
      </c>
      <c r="D116" s="241">
        <v>46760</v>
      </c>
      <c r="E116" s="242">
        <v>46681</v>
      </c>
      <c r="F116" s="165">
        <v>135079.0724319641</v>
      </c>
      <c r="G116" s="166">
        <v>642737.06488657941</v>
      </c>
      <c r="H116" s="908"/>
      <c r="I116" s="271">
        <v>5.3275129817972812E-2</v>
      </c>
      <c r="J116" s="250">
        <v>6.0293417382825787E-2</v>
      </c>
      <c r="K116" s="251">
        <v>-2.1977791745233604E-2</v>
      </c>
      <c r="L116" s="252">
        <v>2.8288577696642836E-2</v>
      </c>
      <c r="M116" s="253">
        <v>3.8617362594568716E-2</v>
      </c>
      <c r="Q116" s="908"/>
      <c r="S116">
        <v>2018</v>
      </c>
      <c r="T116">
        <v>166900</v>
      </c>
      <c r="U116" s="133">
        <f t="shared" si="37"/>
        <v>2.8044866859258256E-2</v>
      </c>
      <c r="V116" s="32">
        <v>2002797</v>
      </c>
      <c r="W116" s="133">
        <f t="shared" si="38"/>
        <v>2.8042799249550217E-2</v>
      </c>
      <c r="X116" s="133">
        <f>(V117-V115)/V115</f>
        <v>3.9440704457784637E-2</v>
      </c>
    </row>
    <row r="117" spans="1:24">
      <c r="A117" s="913"/>
      <c r="B117" s="248" t="s">
        <v>18</v>
      </c>
      <c r="C117" s="270">
        <v>38222.105951478632</v>
      </c>
      <c r="D117" s="241">
        <v>47287</v>
      </c>
      <c r="E117" s="242">
        <v>47928</v>
      </c>
      <c r="F117" s="165">
        <v>133437.10595147865</v>
      </c>
      <c r="G117" s="166">
        <v>776174.17083805799</v>
      </c>
      <c r="H117" s="908"/>
      <c r="I117" s="271">
        <v>-8.1197365647169579E-3</v>
      </c>
      <c r="J117" s="250">
        <v>4.1770395012227096E-2</v>
      </c>
      <c r="K117" s="251">
        <v>-2.412803127481522E-2</v>
      </c>
      <c r="L117" s="252">
        <v>2.9924003598842397E-3</v>
      </c>
      <c r="M117" s="253">
        <v>3.2313802000434988E-2</v>
      </c>
      <c r="Q117" s="908"/>
      <c r="S117">
        <v>2019</v>
      </c>
      <c r="T117">
        <v>168750</v>
      </c>
      <c r="U117" s="133">
        <f t="shared" si="37"/>
        <v>1.1084481725584181E-2</v>
      </c>
      <c r="V117" s="32">
        <v>2025002</v>
      </c>
      <c r="W117" s="133">
        <f>(V117-V116)/V116</f>
        <v>1.1086994837719449E-2</v>
      </c>
    </row>
    <row r="118" spans="1:24">
      <c r="A118" s="913"/>
      <c r="B118" s="239" t="s">
        <v>19</v>
      </c>
      <c r="C118" s="270">
        <v>35270.866740609854</v>
      </c>
      <c r="D118" s="241">
        <v>45276.189877627912</v>
      </c>
      <c r="E118" s="242">
        <v>46438</v>
      </c>
      <c r="F118" s="165">
        <v>126985.05661823777</v>
      </c>
      <c r="G118" s="166">
        <v>903159.22745629575</v>
      </c>
      <c r="H118" s="908"/>
      <c r="I118" s="271">
        <v>7.1922882038280324E-3</v>
      </c>
      <c r="J118" s="250">
        <v>6.2497122418696462E-2</v>
      </c>
      <c r="K118" s="251">
        <v>1.6549187863928901E-2</v>
      </c>
      <c r="L118" s="252">
        <v>2.9769990578829342E-2</v>
      </c>
      <c r="M118" s="253">
        <v>3.195538063105241E-2</v>
      </c>
      <c r="Q118" s="908"/>
    </row>
    <row r="119" spans="1:24">
      <c r="A119" s="913"/>
      <c r="B119" s="248" t="s">
        <v>20</v>
      </c>
      <c r="C119" s="270">
        <v>40374.267105126455</v>
      </c>
      <c r="D119" s="241">
        <v>46420.427353601655</v>
      </c>
      <c r="E119" s="242">
        <v>47179</v>
      </c>
      <c r="F119" s="165">
        <v>133973.6944587281</v>
      </c>
      <c r="G119" s="166">
        <v>1037132.9219150238</v>
      </c>
      <c r="H119" s="908"/>
      <c r="I119" s="271">
        <v>6.024861095395103E-2</v>
      </c>
      <c r="J119" s="250">
        <v>4.3601253425095104E-2</v>
      </c>
      <c r="K119" s="272">
        <v>1.3098842577680431E-2</v>
      </c>
      <c r="L119" s="273">
        <v>3.7510218064958689E-2</v>
      </c>
      <c r="M119" s="274">
        <v>3.266958988378188E-2</v>
      </c>
      <c r="Q119" s="908"/>
    </row>
    <row r="120" spans="1:24">
      <c r="A120" s="913"/>
      <c r="B120" s="239" t="s">
        <v>211</v>
      </c>
      <c r="C120" s="270">
        <v>42472.023969770264</v>
      </c>
      <c r="D120" s="241">
        <v>43342</v>
      </c>
      <c r="E120" s="242">
        <v>46766</v>
      </c>
      <c r="F120" s="165">
        <v>132580.02396977026</v>
      </c>
      <c r="G120" s="166">
        <v>1169712.945884794</v>
      </c>
      <c r="H120" s="908"/>
      <c r="I120" s="271">
        <v>4.8847334661190886E-2</v>
      </c>
      <c r="J120" s="250">
        <v>-4.1233464584347214E-2</v>
      </c>
      <c r="K120" s="251">
        <v>1.7536988685813749E-2</v>
      </c>
      <c r="L120" s="252">
        <v>6.9878776376293139E-3</v>
      </c>
      <c r="M120" s="253">
        <v>2.9693086868847196E-2</v>
      </c>
      <c r="Q120" s="908"/>
    </row>
    <row r="121" spans="1:24">
      <c r="A121" s="913"/>
      <c r="B121" s="248" t="s">
        <v>213</v>
      </c>
      <c r="C121" s="270">
        <v>41749.008322299123</v>
      </c>
      <c r="D121" s="241">
        <v>47052</v>
      </c>
      <c r="E121" s="242">
        <v>46704</v>
      </c>
      <c r="F121" s="165">
        <v>135505.00832229911</v>
      </c>
      <c r="G121" s="166">
        <v>1305217.954207093</v>
      </c>
      <c r="H121" s="908"/>
      <c r="I121" s="271">
        <v>1.9810648353586483E-2</v>
      </c>
      <c r="J121" s="250">
        <v>3.9386776822991451E-2</v>
      </c>
      <c r="K121" s="251">
        <v>3.4899953466728709E-2</v>
      </c>
      <c r="L121" s="252">
        <v>3.1743073660680299E-2</v>
      </c>
      <c r="M121" s="253">
        <v>2.9905533182804644E-2</v>
      </c>
      <c r="Q121" s="908"/>
    </row>
    <row r="122" spans="1:24">
      <c r="A122" s="913"/>
      <c r="B122" s="239" t="s">
        <v>216</v>
      </c>
      <c r="C122" s="270">
        <v>40370.91955089409</v>
      </c>
      <c r="D122" s="241">
        <v>46729</v>
      </c>
      <c r="E122" s="242">
        <v>44895</v>
      </c>
      <c r="F122" s="165">
        <v>131994.91955089409</v>
      </c>
      <c r="G122" s="166">
        <v>1437212.8737579871</v>
      </c>
      <c r="H122" s="908"/>
      <c r="I122" s="271">
        <v>-1.9927449384407796E-6</v>
      </c>
      <c r="J122" s="250">
        <v>2.5140951670578945E-2</v>
      </c>
      <c r="K122" s="251">
        <v>2.9630988693438526E-2</v>
      </c>
      <c r="L122" s="252">
        <v>1.8817351057017984E-2</v>
      </c>
      <c r="M122" s="253">
        <v>2.8877129440049831E-2</v>
      </c>
      <c r="Q122" s="908"/>
      <c r="S122" s="133">
        <f>(V117-V110)/V110</f>
        <v>0.32831090184677669</v>
      </c>
    </row>
    <row r="123" spans="1:24" ht="13.75" thickBot="1">
      <c r="A123" s="914"/>
      <c r="B123" s="248" t="s">
        <v>217</v>
      </c>
      <c r="C123" s="270">
        <v>40251.689862017127</v>
      </c>
      <c r="D123" s="241">
        <v>47091</v>
      </c>
      <c r="E123" s="242">
        <v>42936</v>
      </c>
      <c r="F123" s="180">
        <v>130278.68986201713</v>
      </c>
      <c r="G123" s="166">
        <v>1567491.5636200041</v>
      </c>
      <c r="H123" s="908"/>
      <c r="I123" s="271">
        <v>3.1592041364902401E-2</v>
      </c>
      <c r="J123" s="250">
        <v>2.1208769761238696E-2</v>
      </c>
      <c r="K123" s="267">
        <v>1.0567938428225104E-2</v>
      </c>
      <c r="L123" s="268">
        <v>2.0840861172843672E-2</v>
      </c>
      <c r="M123" s="269">
        <v>2.8204394465260352E-2</v>
      </c>
      <c r="Q123" s="908"/>
    </row>
    <row r="124" spans="1:24" ht="13.75" thickBot="1">
      <c r="A124" s="213" t="s">
        <v>220</v>
      </c>
      <c r="B124" s="214"/>
      <c r="C124" s="183">
        <v>39878.66219906458</v>
      </c>
      <c r="D124" s="183">
        <v>45466.801435935799</v>
      </c>
      <c r="E124" s="183">
        <v>45278.833333333336</v>
      </c>
      <c r="F124" s="184">
        <v>130624.29696833367</v>
      </c>
      <c r="G124" s="184"/>
      <c r="H124" s="909"/>
      <c r="I124" s="275">
        <v>2.5222103319989753E-2</v>
      </c>
      <c r="J124" s="275">
        <v>3.8279768517406332E-2</v>
      </c>
      <c r="K124" s="216">
        <v>2.087228058177093E-2</v>
      </c>
      <c r="L124" s="217"/>
      <c r="M124" s="216">
        <v>2.8204394465260352E-2</v>
      </c>
      <c r="Q124" s="909"/>
    </row>
    <row r="125" spans="1:24">
      <c r="A125" s="905">
        <v>2014</v>
      </c>
      <c r="B125" s="239" t="s">
        <v>191</v>
      </c>
      <c r="C125" s="276">
        <v>39107.855064252552</v>
      </c>
      <c r="D125" s="277">
        <v>45437</v>
      </c>
      <c r="E125" s="278">
        <v>43038</v>
      </c>
      <c r="F125" s="279">
        <v>127582.85506425255</v>
      </c>
      <c r="G125" s="280">
        <v>127582.85506425255</v>
      </c>
      <c r="H125" s="907" t="s">
        <v>240</v>
      </c>
      <c r="I125" s="281">
        <v>1.7215186605955144E-2</v>
      </c>
      <c r="J125" s="282">
        <v>5.9606818870828575E-2</v>
      </c>
      <c r="K125" s="283">
        <v>4.0822249093107617E-2</v>
      </c>
      <c r="L125" s="284">
        <v>3.9990014951886366E-2</v>
      </c>
      <c r="M125" s="285">
        <v>3.9990014951886366E-2</v>
      </c>
    </row>
    <row r="126" spans="1:24">
      <c r="A126" s="905"/>
      <c r="B126" s="248" t="s">
        <v>195</v>
      </c>
      <c r="C126" s="276">
        <v>40949</v>
      </c>
      <c r="D126" s="277">
        <v>46627</v>
      </c>
      <c r="E126" s="278">
        <v>45744</v>
      </c>
      <c r="F126" s="286">
        <v>133320</v>
      </c>
      <c r="G126" s="287">
        <v>260902.85506425257</v>
      </c>
      <c r="H126" s="908"/>
      <c r="I126" s="288">
        <v>1.9417959122706566E-2</v>
      </c>
      <c r="J126" s="289">
        <v>4.7986154814348647E-2</v>
      </c>
      <c r="K126" s="290">
        <v>4.0913848814454104E-2</v>
      </c>
      <c r="L126" s="291">
        <v>3.6646527793976924E-2</v>
      </c>
      <c r="M126" s="292">
        <v>3.8278820236276712E-2</v>
      </c>
    </row>
    <row r="127" spans="1:24">
      <c r="A127" s="905"/>
      <c r="B127" s="239" t="s">
        <v>15</v>
      </c>
      <c r="C127" s="276">
        <v>40977</v>
      </c>
      <c r="D127" s="277">
        <v>46559</v>
      </c>
      <c r="E127" s="278">
        <v>45640</v>
      </c>
      <c r="F127" s="286">
        <v>133176</v>
      </c>
      <c r="G127" s="287">
        <v>394078.85506425257</v>
      </c>
      <c r="H127" s="908"/>
      <c r="I127" s="288">
        <v>6.2846916013902576E-2</v>
      </c>
      <c r="J127" s="289">
        <v>8.2264063226406323E-2</v>
      </c>
      <c r="K127" s="290">
        <v>4.9798734905117881E-2</v>
      </c>
      <c r="L127" s="291">
        <v>6.4990523714703929E-2</v>
      </c>
      <c r="M127" s="292">
        <v>4.7154661069458648E-2</v>
      </c>
    </row>
    <row r="128" spans="1:24">
      <c r="A128" s="905"/>
      <c r="B128" s="248" t="s">
        <v>16</v>
      </c>
      <c r="C128" s="276">
        <v>39242</v>
      </c>
      <c r="D128" s="277">
        <v>46152</v>
      </c>
      <c r="E128" s="278">
        <v>45797</v>
      </c>
      <c r="F128" s="286">
        <v>131191</v>
      </c>
      <c r="G128" s="287">
        <v>525269.85506425262</v>
      </c>
      <c r="H128" s="908"/>
      <c r="I128" s="288">
        <v>-4.3484443589972097E-2</v>
      </c>
      <c r="J128" s="289">
        <v>1.991116218426112E-2</v>
      </c>
      <c r="K128" s="290">
        <v>1.6626709287870717E-2</v>
      </c>
      <c r="L128" s="291">
        <v>-1.0203119155832718E-3</v>
      </c>
      <c r="M128" s="292">
        <v>3.469237729220187E-2</v>
      </c>
    </row>
    <row r="129" spans="1:13">
      <c r="A129" s="905"/>
      <c r="B129" s="239" t="s">
        <v>17</v>
      </c>
      <c r="C129" s="276">
        <v>41187</v>
      </c>
      <c r="D129" s="277">
        <v>49731</v>
      </c>
      <c r="E129" s="278">
        <v>49186</v>
      </c>
      <c r="F129" s="286">
        <v>140104</v>
      </c>
      <c r="G129" s="287">
        <v>665373.85506425262</v>
      </c>
      <c r="H129" s="908"/>
      <c r="I129" s="288">
        <v>-1.0833172757964383E-2</v>
      </c>
      <c r="J129" s="289">
        <v>6.3537211291702311E-2</v>
      </c>
      <c r="K129" s="290">
        <v>5.3662089501081811E-2</v>
      </c>
      <c r="L129" s="291">
        <v>3.7199896901622731E-2</v>
      </c>
      <c r="M129" s="292">
        <v>3.5219363273639503E-2</v>
      </c>
    </row>
    <row r="130" spans="1:13">
      <c r="A130" s="905"/>
      <c r="B130" s="248" t="s">
        <v>18</v>
      </c>
      <c r="C130" s="276">
        <v>38352</v>
      </c>
      <c r="D130" s="277">
        <v>48225</v>
      </c>
      <c r="E130" s="278">
        <v>49375</v>
      </c>
      <c r="F130" s="286">
        <v>135952</v>
      </c>
      <c r="G130" s="287">
        <v>801325.85506425262</v>
      </c>
      <c r="H130" s="908"/>
      <c r="I130" s="288">
        <v>3.3984011421626797E-3</v>
      </c>
      <c r="J130" s="289">
        <v>1.9836318649946075E-2</v>
      </c>
      <c r="K130" s="290">
        <v>3.0191120013353362E-2</v>
      </c>
      <c r="L130" s="291">
        <v>1.8847036816249885E-2</v>
      </c>
      <c r="M130" s="292">
        <v>3.2404691074733316E-2</v>
      </c>
    </row>
    <row r="131" spans="1:13">
      <c r="A131" s="905"/>
      <c r="B131" s="239" t="s">
        <v>19</v>
      </c>
      <c r="C131" s="276">
        <v>36809</v>
      </c>
      <c r="D131" s="277">
        <v>46148.967300339005</v>
      </c>
      <c r="E131" s="278">
        <v>47953</v>
      </c>
      <c r="F131" s="286">
        <v>130910.96730033901</v>
      </c>
      <c r="G131" s="287">
        <v>932236.82236459164</v>
      </c>
      <c r="H131" s="908"/>
      <c r="I131" s="288">
        <v>4.3609171010792994E-2</v>
      </c>
      <c r="J131" s="289">
        <v>1.9276741816615494E-2</v>
      </c>
      <c r="K131" s="290">
        <v>3.2624144019983634E-2</v>
      </c>
      <c r="L131" s="291">
        <v>3.0916320287228238E-2</v>
      </c>
      <c r="M131" s="292">
        <v>3.2195424709540399E-2</v>
      </c>
    </row>
    <row r="132" spans="1:13">
      <c r="A132" s="905"/>
      <c r="B132" s="248" t="s">
        <v>20</v>
      </c>
      <c r="C132" s="276">
        <v>38081</v>
      </c>
      <c r="D132" s="277">
        <v>47806</v>
      </c>
      <c r="E132" s="278">
        <v>49296</v>
      </c>
      <c r="F132" s="286">
        <v>135183</v>
      </c>
      <c r="G132" s="287">
        <v>1067419.8223645915</v>
      </c>
      <c r="H132" s="908"/>
      <c r="I132" s="288">
        <v>-5.6800216314893091E-2</v>
      </c>
      <c r="J132" s="289">
        <v>2.9848338875554131E-2</v>
      </c>
      <c r="K132" s="290">
        <v>4.4871659000826639E-2</v>
      </c>
      <c r="L132" s="291">
        <v>9.0264401990081122E-3</v>
      </c>
      <c r="M132" s="292">
        <v>2.9202525355809028E-2</v>
      </c>
    </row>
    <row r="133" spans="1:13">
      <c r="A133" s="905"/>
      <c r="B133" s="239" t="s">
        <v>211</v>
      </c>
      <c r="C133" s="276">
        <v>42177</v>
      </c>
      <c r="D133" s="277">
        <v>49515.339905179106</v>
      </c>
      <c r="E133" s="278">
        <v>48477</v>
      </c>
      <c r="F133" s="286">
        <v>140169.33990517911</v>
      </c>
      <c r="G133" s="287">
        <v>1207589.1622697706</v>
      </c>
      <c r="H133" s="908"/>
      <c r="I133" s="293">
        <v>-6.94631294190851E-3</v>
      </c>
      <c r="J133" s="289">
        <v>0.14243320347882205</v>
      </c>
      <c r="K133" s="290">
        <v>3.6586408929564211E-2</v>
      </c>
      <c r="L133" s="291">
        <v>5.724328377809984E-2</v>
      </c>
      <c r="M133" s="292">
        <v>3.2380778992170844E-2</v>
      </c>
    </row>
    <row r="134" spans="1:13">
      <c r="A134" s="905"/>
      <c r="B134" s="248" t="s">
        <v>213</v>
      </c>
      <c r="C134" s="276">
        <v>42413</v>
      </c>
      <c r="D134" s="277">
        <v>49716</v>
      </c>
      <c r="E134" s="278">
        <v>48109</v>
      </c>
      <c r="F134" s="286">
        <v>140238</v>
      </c>
      <c r="G134" s="287">
        <v>1347827.1622697706</v>
      </c>
      <c r="H134" s="908"/>
      <c r="I134" s="293">
        <v>1.5904370052934241E-2</v>
      </c>
      <c r="J134" s="289">
        <v>5.6618209640397855E-2</v>
      </c>
      <c r="K134" s="290">
        <v>3.0083076396026035E-2</v>
      </c>
      <c r="L134" s="291">
        <v>3.4928536858530368E-2</v>
      </c>
      <c r="M134" s="292">
        <v>3.264528190509175E-2</v>
      </c>
    </row>
    <row r="135" spans="1:13">
      <c r="A135" s="905"/>
      <c r="B135" s="239" t="s">
        <v>216</v>
      </c>
      <c r="C135" s="276">
        <v>41325</v>
      </c>
      <c r="D135" s="277">
        <v>47521</v>
      </c>
      <c r="E135" s="278">
        <v>46984</v>
      </c>
      <c r="F135" s="286">
        <v>135830</v>
      </c>
      <c r="G135" s="287">
        <v>1483657.1622697706</v>
      </c>
      <c r="H135" s="908"/>
      <c r="I135" s="293">
        <v>2.3632863945621467E-2</v>
      </c>
      <c r="J135" s="289">
        <v>1.6948789830726101E-2</v>
      </c>
      <c r="K135" s="290">
        <v>4.6530794075064039E-2</v>
      </c>
      <c r="L135" s="291">
        <v>2.9054758032768024E-2</v>
      </c>
      <c r="M135" s="292">
        <v>3.23155249718452E-2</v>
      </c>
    </row>
    <row r="136" spans="1:13" ht="13.75" thickBot="1">
      <c r="A136" s="906"/>
      <c r="B136" s="248" t="s">
        <v>217</v>
      </c>
      <c r="C136" s="276">
        <v>39046</v>
      </c>
      <c r="D136" s="277">
        <v>48042</v>
      </c>
      <c r="E136" s="278">
        <v>43601</v>
      </c>
      <c r="F136" s="286">
        <v>130689</v>
      </c>
      <c r="G136" s="287">
        <v>1614346.1622697706</v>
      </c>
      <c r="H136" s="908"/>
      <c r="I136" s="294">
        <v>-2.9953770044195267E-2</v>
      </c>
      <c r="J136" s="295">
        <v>2.019494170860674E-2</v>
      </c>
      <c r="K136" s="296">
        <v>1.548816843674306E-2</v>
      </c>
      <c r="L136" s="297">
        <v>3.1494800755016428E-3</v>
      </c>
      <c r="M136" s="298">
        <v>2.9891451882241293E-2</v>
      </c>
    </row>
    <row r="137" spans="1:13" ht="13.75" thickBot="1">
      <c r="A137" s="213" t="s">
        <v>220</v>
      </c>
      <c r="B137" s="214"/>
      <c r="C137" s="299">
        <v>39972.154588687714</v>
      </c>
      <c r="D137" s="299">
        <v>47623.358933793177</v>
      </c>
      <c r="E137" s="299">
        <v>46933.333333333336</v>
      </c>
      <c r="F137" s="300">
        <v>134528.84685581422</v>
      </c>
      <c r="G137" s="300"/>
      <c r="H137" s="909"/>
      <c r="I137" s="301">
        <v>2.3444214140495578E-3</v>
      </c>
      <c r="J137" s="301">
        <v>4.7431475928563893E-2</v>
      </c>
      <c r="K137" s="302">
        <v>3.6540252435832699E-2</v>
      </c>
      <c r="L137" s="303"/>
      <c r="M137" s="304">
        <v>2.9891451882241293E-2</v>
      </c>
    </row>
    <row r="138" spans="1:13">
      <c r="A138" s="905">
        <v>2015</v>
      </c>
      <c r="B138" s="239" t="s">
        <v>191</v>
      </c>
      <c r="C138" s="276">
        <v>38668.516129032258</v>
      </c>
      <c r="D138" s="277">
        <v>46015.741935483871</v>
      </c>
      <c r="E138" s="278">
        <v>43100.096774193546</v>
      </c>
      <c r="F138" s="279">
        <v>127784.35483870967</v>
      </c>
      <c r="G138" s="280">
        <v>127784.35483870967</v>
      </c>
      <c r="H138" s="907" t="s">
        <v>241</v>
      </c>
      <c r="I138" s="281">
        <v>-1.1234033022227341E-2</v>
      </c>
      <c r="J138" s="282">
        <v>1.2737239154958981E-2</v>
      </c>
      <c r="K138" s="283">
        <v>1.4428359634171097E-3</v>
      </c>
      <c r="L138" s="284">
        <v>1.5793640482151261E-3</v>
      </c>
      <c r="M138" s="285">
        <v>1.5793640482151261E-3</v>
      </c>
    </row>
    <row r="139" spans="1:13">
      <c r="A139" s="905"/>
      <c r="B139" s="248" t="s">
        <v>195</v>
      </c>
      <c r="C139" s="276">
        <v>40262.571428571428</v>
      </c>
      <c r="D139" s="277">
        <v>47010.821428571428</v>
      </c>
      <c r="E139" s="278">
        <v>44966.642857142855</v>
      </c>
      <c r="F139" s="286">
        <v>132240.03571428571</v>
      </c>
      <c r="G139" s="287">
        <v>260024.39055299538</v>
      </c>
      <c r="H139" s="908"/>
      <c r="I139" s="288">
        <v>-1.676301183004646E-2</v>
      </c>
      <c r="J139" s="289">
        <v>8.2317418785559336E-3</v>
      </c>
      <c r="K139" s="290">
        <v>-1.6993641632938636E-2</v>
      </c>
      <c r="L139" s="291">
        <v>-8.1005421970768987E-3</v>
      </c>
      <c r="M139" s="292">
        <v>-3.367017624398394E-3</v>
      </c>
    </row>
    <row r="140" spans="1:13">
      <c r="A140" s="905"/>
      <c r="B140" s="239" t="s">
        <v>15</v>
      </c>
      <c r="C140" s="276">
        <v>41761.709677419356</v>
      </c>
      <c r="D140" s="277">
        <v>48792.290322580644</v>
      </c>
      <c r="E140" s="278">
        <v>46990.354838709674</v>
      </c>
      <c r="F140" s="286">
        <v>137544.35483870967</v>
      </c>
      <c r="G140" s="287">
        <v>397568.74539170507</v>
      </c>
      <c r="H140" s="908"/>
      <c r="I140" s="288">
        <v>1.9150003109533544E-2</v>
      </c>
      <c r="J140" s="289">
        <v>4.7966887660401726E-2</v>
      </c>
      <c r="K140" s="290">
        <v>2.9587091119843874E-2</v>
      </c>
      <c r="L140" s="291">
        <v>3.2801366903268292E-2</v>
      </c>
      <c r="M140" s="292">
        <v>8.8558172624702003E-3</v>
      </c>
    </row>
    <row r="141" spans="1:13">
      <c r="A141" s="905"/>
      <c r="B141" s="248" t="s">
        <v>16</v>
      </c>
      <c r="C141" s="276">
        <v>39675.333333333336</v>
      </c>
      <c r="D141" s="277">
        <v>48000.333333333336</v>
      </c>
      <c r="E141" s="278">
        <v>47362.8</v>
      </c>
      <c r="F141" s="286">
        <v>135038.46666666667</v>
      </c>
      <c r="G141" s="287">
        <v>532607.21205837175</v>
      </c>
      <c r="H141" s="908"/>
      <c r="I141" s="288">
        <v>1.1042590421827016E-2</v>
      </c>
      <c r="J141" s="289">
        <v>4.0048824175189283E-2</v>
      </c>
      <c r="K141" s="290">
        <v>3.4190012446230163E-2</v>
      </c>
      <c r="L141" s="291">
        <v>2.9327215027453724E-2</v>
      </c>
      <c r="M141" s="292">
        <v>1.3968738017950066E-2</v>
      </c>
    </row>
    <row r="142" spans="1:13">
      <c r="A142" s="905"/>
      <c r="B142" s="239" t="s">
        <v>17</v>
      </c>
      <c r="C142" s="276">
        <v>41099.93548387097</v>
      </c>
      <c r="D142" s="277">
        <v>51095.451612903227</v>
      </c>
      <c r="E142" s="278">
        <v>50494.870967741932</v>
      </c>
      <c r="F142" s="286">
        <v>142690.25806451612</v>
      </c>
      <c r="G142" s="287">
        <v>675297.47012288787</v>
      </c>
      <c r="H142" s="908"/>
      <c r="I142" s="288">
        <v>-2.1138834129465702E-3</v>
      </c>
      <c r="J142" s="289">
        <v>2.7436641388735944E-2</v>
      </c>
      <c r="K142" s="290">
        <v>2.6610640583538649E-2</v>
      </c>
      <c r="L142" s="291">
        <v>1.8459559074088583E-2</v>
      </c>
      <c r="M142" s="292">
        <v>1.4914344744845653E-2</v>
      </c>
    </row>
    <row r="143" spans="1:13">
      <c r="A143" s="905"/>
      <c r="B143" s="248" t="s">
        <v>18</v>
      </c>
      <c r="C143" s="276">
        <v>41135.533333333333</v>
      </c>
      <c r="D143" s="277">
        <v>53010.863414897707</v>
      </c>
      <c r="E143" s="278">
        <v>52500.934550667378</v>
      </c>
      <c r="F143" s="286">
        <v>146647.33129889841</v>
      </c>
      <c r="G143" s="287">
        <v>821944.80142178631</v>
      </c>
      <c r="H143" s="908"/>
      <c r="I143" s="288">
        <v>7.257857043526629E-2</v>
      </c>
      <c r="J143" s="289">
        <v>9.9240298909231875E-2</v>
      </c>
      <c r="K143" s="290">
        <v>6.3310066848959554E-2</v>
      </c>
      <c r="L143" s="291">
        <v>7.8669907753460055E-2</v>
      </c>
      <c r="M143" s="292">
        <v>2.5731038412432516E-2</v>
      </c>
    </row>
    <row r="144" spans="1:13">
      <c r="A144" s="905"/>
      <c r="B144" s="239" t="s">
        <v>19</v>
      </c>
      <c r="C144" s="276">
        <v>38286.548387096773</v>
      </c>
      <c r="D144" s="277">
        <v>50696.967741935485</v>
      </c>
      <c r="E144" s="278">
        <v>51577.40376508185</v>
      </c>
      <c r="F144" s="286">
        <v>140560.91989411411</v>
      </c>
      <c r="G144" s="287">
        <v>962505.72131590045</v>
      </c>
      <c r="H144" s="908"/>
      <c r="I144" s="288">
        <v>4.0140954307282803E-2</v>
      </c>
      <c r="J144" s="289">
        <v>9.8550427185031944E-2</v>
      </c>
      <c r="K144" s="290">
        <v>7.5582419558356095E-2</v>
      </c>
      <c r="L144" s="291">
        <v>7.3713859066032006E-2</v>
      </c>
      <c r="M144" s="292">
        <v>3.2469108948660397E-2</v>
      </c>
    </row>
    <row r="145" spans="1:13">
      <c r="A145" s="905"/>
      <c r="B145" s="248" t="s">
        <v>20</v>
      </c>
      <c r="C145" s="276">
        <v>40881.516129032258</v>
      </c>
      <c r="D145" s="277">
        <v>50425.161290322583</v>
      </c>
      <c r="E145" s="278">
        <v>53185.600009105947</v>
      </c>
      <c r="F145" s="286">
        <v>144492.2774284608</v>
      </c>
      <c r="G145" s="287">
        <v>1106997.9987443613</v>
      </c>
      <c r="H145" s="908"/>
      <c r="I145" s="288">
        <v>7.3541034348684586E-2</v>
      </c>
      <c r="J145" s="289">
        <v>5.4787292187645553E-2</v>
      </c>
      <c r="K145" s="290">
        <v>7.8902953771217685E-2</v>
      </c>
      <c r="L145" s="291">
        <v>6.886426124927536E-2</v>
      </c>
      <c r="M145" s="292">
        <v>3.707835993910491E-2</v>
      </c>
    </row>
    <row r="146" spans="1:13">
      <c r="A146" s="905"/>
      <c r="B146" s="239" t="s">
        <v>211</v>
      </c>
      <c r="C146" s="276">
        <v>43724.866666666669</v>
      </c>
      <c r="D146" s="277">
        <v>52659.4</v>
      </c>
      <c r="E146" s="278">
        <v>52589.383127120971</v>
      </c>
      <c r="F146" s="286">
        <v>148973.64979378763</v>
      </c>
      <c r="G146" s="287">
        <v>1255971.648538149</v>
      </c>
      <c r="H146" s="908"/>
      <c r="I146" s="288">
        <v>3.6699306889220872E-2</v>
      </c>
      <c r="J146" s="289">
        <v>6.3496688114061395E-2</v>
      </c>
      <c r="K146" s="290">
        <v>8.4831634117642815E-2</v>
      </c>
      <c r="L146" s="291">
        <v>6.2811952275471983E-2</v>
      </c>
      <c r="M146" s="292">
        <v>4.0065353168157847E-2</v>
      </c>
    </row>
    <row r="147" spans="1:13">
      <c r="A147" s="905"/>
      <c r="B147" s="248" t="s">
        <v>213</v>
      </c>
      <c r="C147" s="276">
        <v>43263.032258064515</v>
      </c>
      <c r="D147" s="277">
        <v>52673.774193548386</v>
      </c>
      <c r="E147" s="278">
        <v>50751.051533165461</v>
      </c>
      <c r="F147" s="286">
        <v>146687.85798477835</v>
      </c>
      <c r="G147" s="287">
        <v>1402659.5065229274</v>
      </c>
      <c r="H147" s="908"/>
      <c r="I147" s="288">
        <v>2.0041785727595671E-2</v>
      </c>
      <c r="J147" s="289">
        <v>5.9493406419430094E-2</v>
      </c>
      <c r="K147" s="290">
        <v>5.4918030579838711E-2</v>
      </c>
      <c r="L147" s="291">
        <v>4.5992227390424523E-2</v>
      </c>
      <c r="M147" s="292">
        <v>4.0682029408591225E-2</v>
      </c>
    </row>
    <row r="148" spans="1:13">
      <c r="A148" s="905"/>
      <c r="B148" s="239" t="s">
        <v>216</v>
      </c>
      <c r="C148" s="276">
        <v>42575.933333333334</v>
      </c>
      <c r="D148" s="277">
        <v>51610.7</v>
      </c>
      <c r="E148" s="278">
        <v>49168.533333333333</v>
      </c>
      <c r="F148" s="286">
        <v>143355.16666666666</v>
      </c>
      <c r="G148" s="287">
        <v>1546014.6731895942</v>
      </c>
      <c r="H148" s="908"/>
      <c r="I148" s="288">
        <v>3.0270619076426721E-2</v>
      </c>
      <c r="J148" s="289">
        <v>8.6060899391847759E-2</v>
      </c>
      <c r="K148" s="290">
        <v>4.6495260798002147E-2</v>
      </c>
      <c r="L148" s="291">
        <v>5.5401359542565309E-2</v>
      </c>
      <c r="M148" s="292">
        <v>4.2029595856515778E-2</v>
      </c>
    </row>
    <row r="149" spans="1:13" ht="13.75" thickBot="1">
      <c r="A149" s="906"/>
      <c r="B149" s="248" t="s">
        <v>217</v>
      </c>
      <c r="C149" s="276">
        <v>40145.193548387098</v>
      </c>
      <c r="D149" s="277">
        <v>50708.06451612903</v>
      </c>
      <c r="E149" s="278">
        <v>45716.645161290326</v>
      </c>
      <c r="F149" s="286">
        <v>136569.90322580645</v>
      </c>
      <c r="G149" s="287">
        <v>1682584.5764154007</v>
      </c>
      <c r="H149" s="908"/>
      <c r="I149" s="305">
        <v>2.8151245924988435E-2</v>
      </c>
      <c r="J149" s="295">
        <v>5.5494453106220192E-2</v>
      </c>
      <c r="K149" s="296">
        <v>4.8522858679624907E-2</v>
      </c>
      <c r="L149" s="297">
        <v>4.4999221248968491E-2</v>
      </c>
      <c r="M149" s="298">
        <v>4.227000115618762E-2</v>
      </c>
    </row>
    <row r="150" spans="1:13" ht="16.25" thickBot="1">
      <c r="A150" s="910" t="s">
        <v>242</v>
      </c>
      <c r="B150" s="911"/>
      <c r="C150" s="183">
        <v>40955</v>
      </c>
      <c r="D150" s="183">
        <v>50225</v>
      </c>
      <c r="E150" s="183">
        <v>49035</v>
      </c>
      <c r="F150" s="183">
        <v>140215</v>
      </c>
      <c r="G150" s="306"/>
      <c r="H150" s="909"/>
      <c r="I150" s="215">
        <v>2.4588252032589519E-2</v>
      </c>
      <c r="J150" s="215">
        <v>5.4629516364514963E-2</v>
      </c>
      <c r="K150" s="216">
        <v>4.4779829545454453E-2</v>
      </c>
      <c r="L150" s="217"/>
      <c r="M150" s="216">
        <v>4.227000115618762E-2</v>
      </c>
    </row>
    <row r="151" spans="1:13">
      <c r="A151" s="905">
        <v>2016</v>
      </c>
      <c r="B151" s="239" t="s">
        <v>191</v>
      </c>
      <c r="C151" s="276">
        <v>39607.741935483871</v>
      </c>
      <c r="D151" s="277">
        <v>48576.645161290326</v>
      </c>
      <c r="E151" s="278">
        <v>45722.870967741932</v>
      </c>
      <c r="F151" s="279">
        <v>133907.25806451612</v>
      </c>
      <c r="G151" s="280">
        <v>133907.25806451612</v>
      </c>
      <c r="H151" s="907" t="s">
        <v>243</v>
      </c>
      <c r="I151" s="281">
        <v>2.4289160807658829E-2</v>
      </c>
      <c r="J151" s="282">
        <v>5.5652763991004543E-2</v>
      </c>
      <c r="K151" s="283">
        <v>6.0853092912746987E-2</v>
      </c>
      <c r="L151" s="284">
        <v>4.7915906712796108E-2</v>
      </c>
      <c r="M151" s="285">
        <v>4.7915906712796108E-2</v>
      </c>
    </row>
    <row r="152" spans="1:13">
      <c r="A152" s="905"/>
      <c r="B152" s="248" t="s">
        <v>195</v>
      </c>
      <c r="C152" s="276">
        <v>42175</v>
      </c>
      <c r="D152" s="277">
        <v>50786.758620689652</v>
      </c>
      <c r="E152" s="278">
        <v>48931.65517241379</v>
      </c>
      <c r="F152" s="286">
        <v>141893.41379310345</v>
      </c>
      <c r="G152" s="287">
        <v>275800.67185761954</v>
      </c>
      <c r="H152" s="908"/>
      <c r="I152" s="288">
        <v>4.7498917818037341E-2</v>
      </c>
      <c r="J152" s="289">
        <v>8.032059592609779E-2</v>
      </c>
      <c r="K152" s="290">
        <v>8.8176747547456746E-2</v>
      </c>
      <c r="L152" s="291">
        <v>7.2998907075876529E-2</v>
      </c>
      <c r="M152" s="292">
        <v>6.0672313359037888E-2</v>
      </c>
    </row>
    <row r="153" spans="1:13">
      <c r="A153" s="905"/>
      <c r="B153" s="239" t="s">
        <v>15</v>
      </c>
      <c r="C153" s="276">
        <v>41617.387096774197</v>
      </c>
      <c r="D153" s="277">
        <v>50753.290322580644</v>
      </c>
      <c r="E153" s="278">
        <v>49804.483870967742</v>
      </c>
      <c r="F153" s="286">
        <v>142175.16129032261</v>
      </c>
      <c r="G153" s="287">
        <v>417975.83314794215</v>
      </c>
      <c r="H153" s="908"/>
      <c r="I153" s="288">
        <v>-3.4558590096035913E-3</v>
      </c>
      <c r="J153" s="289">
        <v>4.0190775776976932E-2</v>
      </c>
      <c r="K153" s="290">
        <v>5.9887375652244432E-2</v>
      </c>
      <c r="L153" s="291">
        <v>3.3667731816716229E-2</v>
      </c>
      <c r="M153" s="292">
        <v>5.1329708365608573E-2</v>
      </c>
    </row>
    <row r="154" spans="1:13">
      <c r="A154" s="905"/>
      <c r="B154" s="248" t="s">
        <v>16</v>
      </c>
      <c r="C154" s="307">
        <v>44601.033333333333</v>
      </c>
      <c r="D154" s="308">
        <v>54324.1</v>
      </c>
      <c r="E154" s="309">
        <v>53576.4</v>
      </c>
      <c r="F154" s="310">
        <v>152501.53333333333</v>
      </c>
      <c r="G154" s="311">
        <v>570477.36648127553</v>
      </c>
      <c r="H154" s="908"/>
      <c r="I154" s="312">
        <v>0.12415018567371827</v>
      </c>
      <c r="J154" s="313">
        <v>0.13174422399844438</v>
      </c>
      <c r="K154" s="314">
        <v>0.13119156806607712</v>
      </c>
      <c r="L154" s="315">
        <v>0.12931920139298558</v>
      </c>
      <c r="M154" s="316">
        <v>7.1103345139745144E-2</v>
      </c>
    </row>
    <row r="155" spans="1:13">
      <c r="A155" s="905"/>
      <c r="B155" s="239" t="s">
        <v>17</v>
      </c>
      <c r="C155" s="276">
        <v>43616.903225806454</v>
      </c>
      <c r="D155" s="277">
        <v>55362.290322580644</v>
      </c>
      <c r="E155" s="278">
        <v>54595.272050195585</v>
      </c>
      <c r="F155" s="286">
        <v>153574.46559858267</v>
      </c>
      <c r="G155" s="287">
        <v>724051.83207985817</v>
      </c>
      <c r="H155" s="908"/>
      <c r="I155" s="288">
        <v>6.1240187175554801E-2</v>
      </c>
      <c r="J155" s="289">
        <v>8.3507211992229546E-2</v>
      </c>
      <c r="K155" s="290">
        <v>8.1204308553895432E-2</v>
      </c>
      <c r="L155" s="291">
        <v>7.627856086114404E-2</v>
      </c>
      <c r="M155" s="292">
        <v>7.2196867475452287E-2</v>
      </c>
    </row>
    <row r="156" spans="1:13">
      <c r="A156" s="905"/>
      <c r="B156" s="248" t="s">
        <v>18</v>
      </c>
      <c r="C156" s="307">
        <v>42355.76666666667</v>
      </c>
      <c r="D156" s="308">
        <v>55511.8</v>
      </c>
      <c r="E156" s="309">
        <v>55002.5</v>
      </c>
      <c r="F156" s="310">
        <v>152870.06666666668</v>
      </c>
      <c r="G156" s="311">
        <v>876921.89874652482</v>
      </c>
      <c r="H156" s="908"/>
      <c r="I156" s="312">
        <v>2.9663729492588012E-2</v>
      </c>
      <c r="J156" s="313">
        <v>4.7177812697150948E-2</v>
      </c>
      <c r="K156" s="314">
        <v>4.7648017520877113E-2</v>
      </c>
      <c r="L156" s="315">
        <v>4.2433335217570534E-2</v>
      </c>
      <c r="M156" s="316">
        <v>6.6886605073284811E-2</v>
      </c>
    </row>
    <row r="157" spans="1:13">
      <c r="A157" s="905"/>
      <c r="B157" s="239" t="s">
        <v>19</v>
      </c>
      <c r="C157" s="307">
        <v>39043.387096774197</v>
      </c>
      <c r="D157" s="308">
        <v>52469.774193548386</v>
      </c>
      <c r="E157" s="309">
        <v>54030.93548387097</v>
      </c>
      <c r="F157" s="310">
        <v>145544.09677419355</v>
      </c>
      <c r="G157" s="311">
        <v>1022465.9955207184</v>
      </c>
      <c r="H157" s="908"/>
      <c r="I157" s="312">
        <v>1.97677445881356E-2</v>
      </c>
      <c r="J157" s="313">
        <v>3.4968688080854834E-2</v>
      </c>
      <c r="K157" s="314">
        <v>4.7569895723409257E-2</v>
      </c>
      <c r="L157" s="315">
        <v>3.5452079310759332E-2</v>
      </c>
      <c r="M157" s="316">
        <v>6.2296018482718818E-2</v>
      </c>
    </row>
    <row r="158" spans="1:13">
      <c r="A158" s="905"/>
      <c r="B158" s="248" t="s">
        <v>20</v>
      </c>
      <c r="C158" s="307">
        <v>44200.096774193546</v>
      </c>
      <c r="D158" s="308">
        <v>56313.548387096773</v>
      </c>
      <c r="E158" s="309">
        <v>57270.741935483871</v>
      </c>
      <c r="F158" s="310">
        <v>157784.38709677418</v>
      </c>
      <c r="G158" s="311">
        <v>1180250.3826174927</v>
      </c>
      <c r="H158" s="908"/>
      <c r="I158" s="312">
        <v>8.1175576627026749E-2</v>
      </c>
      <c r="J158" s="313">
        <v>0.11677477961591107</v>
      </c>
      <c r="K158" s="314">
        <v>7.6809172514336665E-2</v>
      </c>
      <c r="L158" s="315">
        <v>9.1991834476374823E-2</v>
      </c>
      <c r="M158" s="316">
        <v>6.6172101445729492E-2</v>
      </c>
    </row>
    <row r="159" spans="1:13">
      <c r="A159" s="905"/>
      <c r="B159" s="239" t="s">
        <v>211</v>
      </c>
      <c r="C159" s="276">
        <v>46498.1</v>
      </c>
      <c r="D159" s="277">
        <v>57810.833333333336</v>
      </c>
      <c r="E159" s="278">
        <v>56692.76666666667</v>
      </c>
      <c r="F159" s="286">
        <v>161001.70000000001</v>
      </c>
      <c r="G159" s="287">
        <v>1341252.0826174926</v>
      </c>
      <c r="H159" s="908"/>
      <c r="I159" s="288">
        <v>6.3424626413955063E-2</v>
      </c>
      <c r="J159" s="289">
        <v>9.7825522762001349E-2</v>
      </c>
      <c r="K159" s="290">
        <v>7.8026842977542657E-2</v>
      </c>
      <c r="L159" s="291">
        <v>8.0739447700058697E-2</v>
      </c>
      <c r="M159" s="292">
        <v>6.7899967470287592E-2</v>
      </c>
    </row>
    <row r="160" spans="1:13">
      <c r="A160" s="905"/>
      <c r="B160" s="248" t="s">
        <v>213</v>
      </c>
      <c r="C160" s="276">
        <v>44845.129032258068</v>
      </c>
      <c r="D160" s="277">
        <v>54877.838709677417</v>
      </c>
      <c r="E160" s="278">
        <v>53297.93548387097</v>
      </c>
      <c r="F160" s="286">
        <v>153020.90322580645</v>
      </c>
      <c r="G160" s="287">
        <v>1494272.9858432992</v>
      </c>
      <c r="H160" s="908"/>
      <c r="I160" s="288">
        <v>3.6569253046257286E-2</v>
      </c>
      <c r="J160" s="289">
        <v>4.1843679323798857E-2</v>
      </c>
      <c r="K160" s="290">
        <v>5.018386562968332E-2</v>
      </c>
      <c r="L160" s="291">
        <v>4.3173615921811903E-2</v>
      </c>
      <c r="M160" s="292">
        <v>6.5314125697884862E-2</v>
      </c>
    </row>
    <row r="161" spans="1:19">
      <c r="A161" s="905"/>
      <c r="B161" s="239" t="s">
        <v>216</v>
      </c>
      <c r="C161" s="276">
        <v>45747.76666666667</v>
      </c>
      <c r="D161" s="277">
        <v>57078.166666666664</v>
      </c>
      <c r="E161" s="278">
        <v>53268.533333333333</v>
      </c>
      <c r="F161" s="286">
        <v>156094.46666666667</v>
      </c>
      <c r="G161" s="287">
        <v>1650367.4525099657</v>
      </c>
      <c r="H161" s="908"/>
      <c r="I161" s="288">
        <v>7.4498268975117451E-2</v>
      </c>
      <c r="J161" s="289">
        <v>0.10593668883907149</v>
      </c>
      <c r="K161" s="290">
        <v>8.3386664641884781E-2</v>
      </c>
      <c r="L161" s="291">
        <v>8.886530075069965E-2</v>
      </c>
      <c r="M161" s="292">
        <v>6.7497922969308233E-2</v>
      </c>
    </row>
    <row r="162" spans="1:19" ht="13.75" thickBot="1">
      <c r="A162" s="906"/>
      <c r="B162" s="248" t="s">
        <v>217</v>
      </c>
      <c r="C162" s="276">
        <v>45044.129032258068</v>
      </c>
      <c r="D162" s="277">
        <v>56658.225806451614</v>
      </c>
      <c r="E162" s="278">
        <v>51741.354838709674</v>
      </c>
      <c r="F162" s="286">
        <v>153443.70967741936</v>
      </c>
      <c r="G162" s="287">
        <v>1803811.1621873851</v>
      </c>
      <c r="H162" s="908"/>
      <c r="I162" s="305">
        <v>0.12203043629535054</v>
      </c>
      <c r="J162" s="295">
        <v>0.11734151849613543</v>
      </c>
      <c r="K162" s="296">
        <v>0.13178372245303455</v>
      </c>
      <c r="L162" s="297">
        <v>0.12355435607004517</v>
      </c>
      <c r="M162" s="298">
        <v>7.2047840846281241E-2</v>
      </c>
    </row>
    <row r="163" spans="1:19" ht="16.25" thickBot="1">
      <c r="A163" s="910" t="s">
        <v>242</v>
      </c>
      <c r="B163" s="911"/>
      <c r="C163" s="183">
        <v>43300</v>
      </c>
      <c r="D163" s="183">
        <v>54200</v>
      </c>
      <c r="E163" s="183">
        <v>52800</v>
      </c>
      <c r="F163" s="183">
        <v>150300</v>
      </c>
      <c r="G163" s="317"/>
      <c r="H163" s="909"/>
      <c r="I163" s="215">
        <v>5.7257966060310084E-2</v>
      </c>
      <c r="J163" s="215">
        <v>7.9143852663016379E-2</v>
      </c>
      <c r="K163" s="216">
        <v>7.6781890486387283E-2</v>
      </c>
      <c r="L163" s="217"/>
      <c r="M163" s="216">
        <v>7.2047840846281241E-2</v>
      </c>
    </row>
    <row r="164" spans="1:19">
      <c r="A164" s="905">
        <v>2017</v>
      </c>
      <c r="B164" s="239" t="s">
        <v>191</v>
      </c>
      <c r="C164" s="276">
        <v>43322.645161290326</v>
      </c>
      <c r="D164" s="277">
        <v>53340.451612903227</v>
      </c>
      <c r="E164" s="278">
        <v>49643.838709677417</v>
      </c>
      <c r="F164" s="279">
        <v>146306.93548387097</v>
      </c>
      <c r="G164" s="280">
        <v>146306.93548387097</v>
      </c>
      <c r="H164" s="907" t="s">
        <v>244</v>
      </c>
      <c r="I164" s="281">
        <v>9.3792350794891913E-2</v>
      </c>
      <c r="J164" s="282">
        <v>9.8067835598681388E-2</v>
      </c>
      <c r="K164" s="283">
        <v>8.5755064346282578E-2</v>
      </c>
      <c r="L164" s="284">
        <v>9.2598994248547228E-2</v>
      </c>
      <c r="M164" s="285">
        <v>9.2598994248547228E-2</v>
      </c>
    </row>
    <row r="165" spans="1:19">
      <c r="A165" s="905"/>
      <c r="B165" s="248" t="s">
        <v>195</v>
      </c>
      <c r="C165" s="276">
        <v>44620.678571428572</v>
      </c>
      <c r="D165" s="277">
        <v>54880.107142857145</v>
      </c>
      <c r="E165" s="278">
        <v>51641.499946411874</v>
      </c>
      <c r="F165" s="286">
        <v>151142.28566069758</v>
      </c>
      <c r="G165" s="287">
        <v>297449.22114456852</v>
      </c>
      <c r="H165" s="908"/>
      <c r="I165" s="288">
        <v>5.798882208485056E-2</v>
      </c>
      <c r="J165" s="289">
        <v>8.059873544479236E-2</v>
      </c>
      <c r="K165" s="290">
        <v>5.5380198451284224E-2</v>
      </c>
      <c r="L165" s="291">
        <v>6.5181826417116451E-2</v>
      </c>
      <c r="M165" s="292">
        <v>7.8493461024362166E-2</v>
      </c>
    </row>
    <row r="166" spans="1:19">
      <c r="A166" s="905"/>
      <c r="B166" s="239" t="s">
        <v>15</v>
      </c>
      <c r="C166" s="276">
        <v>47551.225806451614</v>
      </c>
      <c r="D166" s="277">
        <v>59029.903225806454</v>
      </c>
      <c r="E166" s="278">
        <v>56354.548387096773</v>
      </c>
      <c r="F166" s="286">
        <v>162935.67741935485</v>
      </c>
      <c r="G166" s="287">
        <v>460384.89856392337</v>
      </c>
      <c r="H166" s="908"/>
      <c r="I166" s="288">
        <v>0.14258076067772535</v>
      </c>
      <c r="J166" s="289">
        <v>0.16307539571564414</v>
      </c>
      <c r="K166" s="290">
        <v>0.13151555858100608</v>
      </c>
      <c r="L166" s="291">
        <v>0.14602069686869656</v>
      </c>
      <c r="M166" s="292">
        <v>0.10146296042185421</v>
      </c>
    </row>
    <row r="167" spans="1:19">
      <c r="A167" s="905"/>
      <c r="B167" s="248" t="s">
        <v>16</v>
      </c>
      <c r="C167" s="276">
        <v>42659.833333333336</v>
      </c>
      <c r="D167" s="277">
        <v>54475.633333333331</v>
      </c>
      <c r="E167" s="278">
        <v>63080.616666666669</v>
      </c>
      <c r="F167" s="286">
        <v>160216.08333333334</v>
      </c>
      <c r="G167" s="287">
        <v>620600.98189725669</v>
      </c>
      <c r="H167" s="908"/>
      <c r="I167" s="288">
        <v>-4.3523655281529287E-2</v>
      </c>
      <c r="J167" s="289">
        <v>2.7894310873688264E-3</v>
      </c>
      <c r="K167" s="290">
        <v>0.17739558213442239</v>
      </c>
      <c r="L167" s="291">
        <v>5.0586704483408518E-2</v>
      </c>
      <c r="M167" s="292">
        <v>8.7862583795647042E-2</v>
      </c>
    </row>
    <row r="168" spans="1:19">
      <c r="A168" s="905"/>
      <c r="B168" s="239" t="s">
        <v>17</v>
      </c>
      <c r="C168" s="276">
        <v>46689</v>
      </c>
      <c r="D168" s="277">
        <v>61210.482180166997</v>
      </c>
      <c r="E168" s="278">
        <v>58165.885569130776</v>
      </c>
      <c r="F168" s="286">
        <v>166065.36774929776</v>
      </c>
      <c r="G168" s="287">
        <v>786666.34964655444</v>
      </c>
      <c r="H168" s="908"/>
      <c r="I168" s="288">
        <v>7.0433628868358161E-2</v>
      </c>
      <c r="J168" s="289">
        <v>0.10563493351721123</v>
      </c>
      <c r="K168" s="290">
        <v>6.5401515275028285E-2</v>
      </c>
      <c r="L168" s="291">
        <v>8.1334498557619428E-2</v>
      </c>
      <c r="M168" s="292">
        <v>8.647794921923535E-2</v>
      </c>
    </row>
    <row r="169" spans="1:19">
      <c r="A169" s="905"/>
      <c r="B169" s="248" t="s">
        <v>18</v>
      </c>
      <c r="C169" s="276">
        <v>46568.26666666667</v>
      </c>
      <c r="D169" s="277">
        <v>62428.354623662672</v>
      </c>
      <c r="E169" s="278">
        <v>59982.778287697103</v>
      </c>
      <c r="F169" s="286">
        <v>168979.39957802644</v>
      </c>
      <c r="G169" s="287">
        <v>955645.74922458082</v>
      </c>
      <c r="H169" s="908"/>
      <c r="I169" s="288">
        <v>9.9455170606442406E-2</v>
      </c>
      <c r="J169" s="289">
        <v>0.12459611512620143</v>
      </c>
      <c r="K169" s="290">
        <v>9.0546398576375683E-2</v>
      </c>
      <c r="L169" s="291">
        <v>0.10537924959819756</v>
      </c>
      <c r="M169" s="292">
        <v>8.9772932561707153E-2</v>
      </c>
    </row>
    <row r="170" spans="1:19">
      <c r="A170" s="905"/>
      <c r="B170" s="239" t="s">
        <v>19</v>
      </c>
      <c r="C170" s="276">
        <v>41982.516129032258</v>
      </c>
      <c r="D170" s="277">
        <v>59796.509359393349</v>
      </c>
      <c r="E170" s="278">
        <v>57596.083340171128</v>
      </c>
      <c r="F170" s="286">
        <v>159375.10882859671</v>
      </c>
      <c r="G170" s="287">
        <v>1115020.8580531776</v>
      </c>
      <c r="H170" s="908"/>
      <c r="I170" s="288">
        <v>7.5278536285108694E-2</v>
      </c>
      <c r="J170" s="289">
        <v>0.13963725360849463</v>
      </c>
      <c r="K170" s="290">
        <v>6.5983456040001512E-2</v>
      </c>
      <c r="L170" s="291">
        <v>9.502970138226563E-2</v>
      </c>
      <c r="M170" s="292">
        <v>9.0521213358614627E-2</v>
      </c>
    </row>
    <row r="171" spans="1:19">
      <c r="A171" s="905"/>
      <c r="B171" s="248" t="s">
        <v>20</v>
      </c>
      <c r="C171" s="276">
        <v>45948.580645161288</v>
      </c>
      <c r="D171" s="277">
        <v>62799.193548387098</v>
      </c>
      <c r="E171" s="278">
        <v>59244.419354838712</v>
      </c>
      <c r="F171" s="286">
        <v>167992.19354838709</v>
      </c>
      <c r="G171" s="287">
        <v>1283013.0516015647</v>
      </c>
      <c r="H171" s="908"/>
      <c r="I171" s="288">
        <v>3.9558372007651436E-2</v>
      </c>
      <c r="J171" s="289">
        <v>0.11517024494191513</v>
      </c>
      <c r="K171" s="290">
        <v>3.4462228926215248E-2</v>
      </c>
      <c r="L171" s="291">
        <v>6.4694654771844773E-2</v>
      </c>
      <c r="M171" s="292">
        <v>8.7068532658443942E-2</v>
      </c>
    </row>
    <row r="172" spans="1:19">
      <c r="A172" s="905"/>
      <c r="B172" s="239" t="s">
        <v>211</v>
      </c>
      <c r="C172" s="276">
        <v>47964.666666666664</v>
      </c>
      <c r="D172" s="277">
        <v>65386.366666666669</v>
      </c>
      <c r="E172" s="278">
        <v>59174.8</v>
      </c>
      <c r="F172" s="286">
        <v>172525.83333333331</v>
      </c>
      <c r="G172" s="287">
        <v>1455538.884934898</v>
      </c>
      <c r="H172" s="908"/>
      <c r="I172" s="288">
        <v>3.1540356846122011E-2</v>
      </c>
      <c r="J172" s="289">
        <v>0.13104002998284633</v>
      </c>
      <c r="K172" s="290">
        <v>4.3780423487299665E-2</v>
      </c>
      <c r="L172" s="291">
        <v>7.1577712119395676E-2</v>
      </c>
      <c r="M172" s="292">
        <v>8.5209039969855072E-2</v>
      </c>
    </row>
    <row r="173" spans="1:19">
      <c r="A173" s="905"/>
      <c r="B173" s="248" t="s">
        <v>213</v>
      </c>
      <c r="C173" s="276">
        <v>47530.290322580644</v>
      </c>
      <c r="D173" s="277">
        <v>62012.258064516129</v>
      </c>
      <c r="E173" s="278">
        <v>57318.258064516129</v>
      </c>
      <c r="F173" s="286">
        <v>166860.80645161291</v>
      </c>
      <c r="G173" s="287">
        <v>1622399.6913865109</v>
      </c>
      <c r="H173" s="908"/>
      <c r="I173" s="288">
        <v>5.9876319864997633E-2</v>
      </c>
      <c r="J173" s="289">
        <v>0.13000547256575165</v>
      </c>
      <c r="K173" s="290">
        <v>7.5431112746605161E-2</v>
      </c>
      <c r="L173" s="291">
        <v>9.044452708126749E-2</v>
      </c>
      <c r="M173" s="292">
        <v>8.5745179600434707E-2</v>
      </c>
    </row>
    <row r="174" spans="1:19">
      <c r="A174" s="905"/>
      <c r="B174" s="239" t="s">
        <v>216</v>
      </c>
      <c r="C174" s="276">
        <v>47185.666666666664</v>
      </c>
      <c r="D174" s="277">
        <v>62238.633333333331</v>
      </c>
      <c r="E174" s="278">
        <v>55233</v>
      </c>
      <c r="F174" s="286">
        <v>164657.29999999999</v>
      </c>
      <c r="G174" s="287">
        <v>1787056.9913865109</v>
      </c>
      <c r="H174" s="908"/>
      <c r="I174" s="288">
        <v>3.1431042535409612E-2</v>
      </c>
      <c r="J174" s="289">
        <v>9.0410518908280765E-2</v>
      </c>
      <c r="K174" s="290">
        <v>3.6878557447298475E-2</v>
      </c>
      <c r="L174" s="291">
        <v>5.485673846222161E-2</v>
      </c>
      <c r="M174" s="292">
        <v>8.2823700060650429E-2</v>
      </c>
    </row>
    <row r="175" spans="1:19" ht="13.75" thickBot="1">
      <c r="A175" s="906"/>
      <c r="B175" s="248" t="s">
        <v>217</v>
      </c>
      <c r="C175" s="276">
        <v>46341.612903225803</v>
      </c>
      <c r="D175" s="277">
        <v>61376.322580645159</v>
      </c>
      <c r="E175" s="278">
        <v>53390.354838709674</v>
      </c>
      <c r="F175" s="286">
        <v>161108.29032258064</v>
      </c>
      <c r="G175" s="287">
        <v>1948165.2817090915</v>
      </c>
      <c r="H175" s="908"/>
      <c r="I175" s="305">
        <v>2.8804727693559136E-2</v>
      </c>
      <c r="J175" s="295">
        <v>8.3272935342361187E-2</v>
      </c>
      <c r="K175" s="296">
        <v>3.1870058392176472E-2</v>
      </c>
      <c r="L175" s="297">
        <v>4.9950438902150562E-2</v>
      </c>
      <c r="M175" s="298">
        <v>8.0027290299421239E-2</v>
      </c>
      <c r="O175" s="173">
        <f>AVERAGE(I176:K176)</f>
        <v>7.8351624203681469E-2</v>
      </c>
    </row>
    <row r="176" spans="1:19" ht="16.25" thickBot="1">
      <c r="A176" s="910" t="s">
        <v>242</v>
      </c>
      <c r="B176" s="911"/>
      <c r="C176" s="183">
        <f>AVERAGE(C164:C175)</f>
        <v>45697.081906041996</v>
      </c>
      <c r="D176" s="183">
        <v>59914.517972639296</v>
      </c>
      <c r="E176" s="183">
        <v>56735.506930409698</v>
      </c>
      <c r="F176" s="183">
        <v>162347.10680909097</v>
      </c>
      <c r="G176" s="317"/>
      <c r="H176" s="909"/>
      <c r="I176" s="215">
        <v>5.5862916450791777E-2</v>
      </c>
      <c r="J176" s="215">
        <v>0.10522443568760109</v>
      </c>
      <c r="K176" s="216">
        <v>7.3967520472651538E-2</v>
      </c>
      <c r="L176" s="217"/>
      <c r="M176" s="216">
        <v>8.0027290299421239E-2</v>
      </c>
      <c r="O176" s="173">
        <f>AVERAGE(M164:M175)</f>
        <v>8.7338653101564426E-2</v>
      </c>
      <c r="Q176" s="173">
        <f>AVERAGE(I164:I175)</f>
        <v>5.726803608196563E-2</v>
      </c>
      <c r="R176" s="173">
        <f>AVERAGE(J164:J175)</f>
        <v>0.10535824181996241</v>
      </c>
      <c r="S176" s="173">
        <f>AVERAGE(K164:K175)</f>
        <v>7.4533346200332987E-2</v>
      </c>
    </row>
    <row r="177" spans="1:13">
      <c r="A177" s="905">
        <v>2018</v>
      </c>
      <c r="B177" s="239" t="s">
        <v>191</v>
      </c>
      <c r="C177" s="276">
        <v>44341</v>
      </c>
      <c r="D177" s="277">
        <v>57672.709677419356</v>
      </c>
      <c r="E177" s="278">
        <v>51027.516129032258</v>
      </c>
      <c r="F177" s="279">
        <v>153041.22580645164</v>
      </c>
      <c r="G177" s="280">
        <v>153041.22580645164</v>
      </c>
      <c r="H177" s="907" t="s">
        <v>245</v>
      </c>
      <c r="I177" s="281">
        <v>2.3506294108273779E-2</v>
      </c>
      <c r="J177" s="282">
        <v>8.1218998593332897E-2</v>
      </c>
      <c r="K177" s="283">
        <v>2.7872087560487362E-2</v>
      </c>
      <c r="L177" s="284">
        <v>4.6028510544006807E-2</v>
      </c>
      <c r="M177" s="285">
        <v>4.6028510544006807E-2</v>
      </c>
    </row>
    <row r="178" spans="1:13">
      <c r="A178" s="905"/>
      <c r="B178" s="248" t="s">
        <v>195</v>
      </c>
      <c r="C178" s="276">
        <v>44942.607142857145</v>
      </c>
      <c r="D178" s="277">
        <v>57856.382854565039</v>
      </c>
      <c r="E178" s="278">
        <v>51341.142857142855</v>
      </c>
      <c r="F178" s="286">
        <v>154140.13285456505</v>
      </c>
      <c r="G178" s="287">
        <v>307181.35866101668</v>
      </c>
      <c r="H178" s="908"/>
      <c r="I178" s="288">
        <v>7.2147843048426686E-3</v>
      </c>
      <c r="J178" s="289">
        <v>5.4232323270805932E-2</v>
      </c>
      <c r="K178" s="290">
        <v>-5.8161960744884961E-3</v>
      </c>
      <c r="L178" s="291">
        <v>1.9834602743784124E-2</v>
      </c>
      <c r="M178" s="292">
        <v>3.2718651872744697E-2</v>
      </c>
    </row>
    <row r="179" spans="1:13">
      <c r="A179" s="905"/>
      <c r="B179" s="239" t="s">
        <v>15</v>
      </c>
      <c r="C179" s="276">
        <v>47113.774193548386</v>
      </c>
      <c r="D179" s="277">
        <v>62185.949659172125</v>
      </c>
      <c r="E179" s="278">
        <v>57596.806451612902</v>
      </c>
      <c r="F179" s="286">
        <v>166896.53030433343</v>
      </c>
      <c r="G179" s="287">
        <v>474077.88896535011</v>
      </c>
      <c r="H179" s="908"/>
      <c r="I179" s="288">
        <v>-9.1995864561681823E-3</v>
      </c>
      <c r="J179" s="289">
        <v>5.34652144234911E-2</v>
      </c>
      <c r="K179" s="290">
        <v>2.2043616710103252E-2</v>
      </c>
      <c r="L179" s="291">
        <v>2.4309303816771655E-2</v>
      </c>
      <c r="M179" s="292">
        <v>2.97424838306799E-2</v>
      </c>
    </row>
    <row r="180" spans="1:13">
      <c r="A180" s="905"/>
      <c r="B180" s="248" t="s">
        <v>16</v>
      </c>
      <c r="C180" s="276">
        <v>47082.9</v>
      </c>
      <c r="D180" s="277">
        <v>62561.153648976149</v>
      </c>
      <c r="E180" s="278">
        <v>57285.966666666667</v>
      </c>
      <c r="F180" s="286">
        <v>166930.02031564282</v>
      </c>
      <c r="G180" s="287">
        <v>641007.90928099293</v>
      </c>
      <c r="H180" s="908"/>
      <c r="I180" s="288">
        <v>0.10368223035720561</v>
      </c>
      <c r="J180" s="289">
        <v>0.14842453076530518</v>
      </c>
      <c r="K180" s="290">
        <v>-9.1861023341295825E-2</v>
      </c>
      <c r="L180" s="291">
        <v>4.1905511872618817E-2</v>
      </c>
      <c r="M180" s="292">
        <v>3.2882525131284313E-2</v>
      </c>
    </row>
    <row r="181" spans="1:13">
      <c r="A181" s="905"/>
      <c r="B181" s="239" t="s">
        <v>17</v>
      </c>
      <c r="C181" s="276">
        <v>47493.258064516129</v>
      </c>
      <c r="D181" s="277">
        <v>64262.548387096773</v>
      </c>
      <c r="E181" s="278">
        <v>58649</v>
      </c>
      <c r="F181" s="286">
        <v>170404.80645161291</v>
      </c>
      <c r="G181" s="287">
        <v>811412.7157326059</v>
      </c>
      <c r="H181" s="908"/>
      <c r="I181" s="288">
        <v>1.722585757921842E-2</v>
      </c>
      <c r="J181" s="289">
        <v>4.9861822652308492E-2</v>
      </c>
      <c r="K181" s="290">
        <v>8.305803756654526E-3</v>
      </c>
      <c r="L181" s="291">
        <v>2.6130907130897052E-2</v>
      </c>
      <c r="M181" s="292">
        <v>3.1457257701654529E-2</v>
      </c>
    </row>
    <row r="182" spans="1:13">
      <c r="A182" s="905"/>
      <c r="B182" s="248" t="s">
        <v>18</v>
      </c>
      <c r="C182" s="276">
        <v>47208.633333333331</v>
      </c>
      <c r="D182" s="277">
        <v>65114</v>
      </c>
      <c r="E182" s="278">
        <v>60968.333333333336</v>
      </c>
      <c r="F182" s="286">
        <v>173290.96666666667</v>
      </c>
      <c r="G182" s="287">
        <v>984703.68239927257</v>
      </c>
      <c r="H182" s="908"/>
      <c r="I182" s="288">
        <v>1.3751138114080432E-2</v>
      </c>
      <c r="J182" s="289">
        <v>4.3019640554796373E-2</v>
      </c>
      <c r="K182" s="290">
        <v>1.6430633487985284E-2</v>
      </c>
      <c r="L182" s="291">
        <v>2.5515341511492151E-2</v>
      </c>
      <c r="M182" s="292">
        <v>3.0406594910582285E-2</v>
      </c>
    </row>
    <row r="183" spans="1:13">
      <c r="A183" s="905"/>
      <c r="B183" s="239" t="s">
        <v>19</v>
      </c>
      <c r="C183" s="276">
        <v>43204.838709677417</v>
      </c>
      <c r="D183" s="277">
        <v>61430.645161290326</v>
      </c>
      <c r="E183" s="278">
        <v>58824.647880323762</v>
      </c>
      <c r="F183" s="286">
        <v>163460.13175129151</v>
      </c>
      <c r="G183" s="287">
        <v>1148163.8141505641</v>
      </c>
      <c r="H183" s="908"/>
      <c r="I183" s="288">
        <v>2.9115038672012417E-2</v>
      </c>
      <c r="J183" s="289">
        <v>2.7328280854579227E-2</v>
      </c>
      <c r="K183" s="290">
        <v>2.1330695924175046E-2</v>
      </c>
      <c r="L183" s="291">
        <v>2.5631498875323899E-2</v>
      </c>
      <c r="M183" s="292">
        <v>2.9724068261157033E-2</v>
      </c>
    </row>
    <row r="184" spans="1:13">
      <c r="A184" s="905"/>
      <c r="B184" s="248" t="s">
        <v>20</v>
      </c>
      <c r="C184" s="276">
        <v>46837.903225806454</v>
      </c>
      <c r="D184" s="277">
        <v>63517.129032258068</v>
      </c>
      <c r="E184" s="278">
        <v>61645.838709677417</v>
      </c>
      <c r="F184" s="286">
        <v>172000.87096774194</v>
      </c>
      <c r="G184" s="287">
        <v>1320164.685118306</v>
      </c>
      <c r="H184" s="908"/>
      <c r="I184" s="288">
        <v>1.935473453495714E-2</v>
      </c>
      <c r="J184" s="289">
        <v>1.1432240500314652E-2</v>
      </c>
      <c r="K184" s="290">
        <v>4.0534102300094056E-2</v>
      </c>
      <c r="L184" s="291">
        <v>2.386228392333134E-2</v>
      </c>
      <c r="M184" s="292">
        <v>2.8956551510029849E-2</v>
      </c>
    </row>
    <row r="185" spans="1:13">
      <c r="A185" s="905"/>
      <c r="B185" s="239" t="s">
        <v>211</v>
      </c>
      <c r="C185" s="276">
        <v>49113.5</v>
      </c>
      <c r="D185" s="277">
        <v>64878.033333333333</v>
      </c>
      <c r="E185" s="278">
        <v>61123.966666666667</v>
      </c>
      <c r="F185" s="286">
        <v>175115.5</v>
      </c>
      <c r="G185" s="287">
        <v>1495280.185118306</v>
      </c>
      <c r="H185" s="908"/>
      <c r="I185" s="288">
        <v>2.3951658859994215E-2</v>
      </c>
      <c r="J185" s="289">
        <v>-7.7743015745892355E-3</v>
      </c>
      <c r="K185" s="290">
        <v>3.2939134000734505E-2</v>
      </c>
      <c r="L185" s="291">
        <v>1.5010312465283171E-2</v>
      </c>
      <c r="M185" s="292">
        <v>2.7303496041732656E-2</v>
      </c>
    </row>
    <row r="186" spans="1:13">
      <c r="A186" s="905"/>
      <c r="B186" s="248" t="s">
        <v>213</v>
      </c>
      <c r="C186" s="276">
        <v>49354.387096774197</v>
      </c>
      <c r="D186" s="277">
        <v>64632.096774193546</v>
      </c>
      <c r="E186" s="278">
        <v>59720.096774193546</v>
      </c>
      <c r="F186" s="286">
        <v>173706.58064516127</v>
      </c>
      <c r="G186" s="287">
        <v>1668986.7657634672</v>
      </c>
      <c r="H186" s="908"/>
      <c r="I186" s="288">
        <v>3.837756432400672E-2</v>
      </c>
      <c r="J186" s="289">
        <v>4.2247110352791807E-2</v>
      </c>
      <c r="K186" s="290">
        <v>4.1903553785147513E-2</v>
      </c>
      <c r="L186" s="291">
        <v>4.1026855491876901E-2</v>
      </c>
      <c r="M186" s="292">
        <v>2.8714918169851611E-2</v>
      </c>
    </row>
    <row r="187" spans="1:13">
      <c r="A187" s="905"/>
      <c r="B187" s="239" t="s">
        <v>216</v>
      </c>
      <c r="C187" s="276">
        <v>48557.066666666666</v>
      </c>
      <c r="D187" s="277">
        <v>64891.366666666669</v>
      </c>
      <c r="E187" s="278">
        <v>58420.066666666666</v>
      </c>
      <c r="F187" s="286">
        <v>171868.5</v>
      </c>
      <c r="G187" s="287">
        <v>1840855.2657634672</v>
      </c>
      <c r="H187" s="908"/>
      <c r="I187" s="288">
        <v>2.9063910650833264E-2</v>
      </c>
      <c r="J187" s="289">
        <v>4.2621972740404065E-2</v>
      </c>
      <c r="K187" s="290">
        <v>5.7702219084001694E-2</v>
      </c>
      <c r="L187" s="291">
        <v>4.3795203735273347E-2</v>
      </c>
      <c r="M187" s="292">
        <v>3.0104397697588992E-2</v>
      </c>
    </row>
    <row r="188" spans="1:13" ht="13.75" thickBot="1">
      <c r="A188" s="906"/>
      <c r="B188" s="248" t="s">
        <v>217</v>
      </c>
      <c r="C188" s="276">
        <v>45893.451612903227</v>
      </c>
      <c r="D188" s="277">
        <v>61448.193548387098</v>
      </c>
      <c r="E188" s="278">
        <v>54599.774193548386</v>
      </c>
      <c r="F188" s="286">
        <v>161941.41935483873</v>
      </c>
      <c r="G188" s="287">
        <v>2002796.685118306</v>
      </c>
      <c r="H188" s="908"/>
      <c r="I188" s="305">
        <v>-9.6708177002484044E-3</v>
      </c>
      <c r="J188" s="295">
        <v>1.1709884971929474E-3</v>
      </c>
      <c r="K188" s="296">
        <v>2.2652394023083833E-2</v>
      </c>
      <c r="L188" s="297">
        <v>5.1712362572400306E-3</v>
      </c>
      <c r="M188" s="298">
        <v>2.8042488962377599E-2</v>
      </c>
    </row>
    <row r="189" spans="1:13" ht="16.25" thickBot="1">
      <c r="A189" s="910" t="s">
        <v>242</v>
      </c>
      <c r="B189" s="911"/>
      <c r="C189" s="183">
        <f>AVERAGE(C177:C188)</f>
        <v>46761.943337173579</v>
      </c>
      <c r="D189" s="183">
        <f>AVERAGE(D177:D188)</f>
        <v>62537.517395279887</v>
      </c>
      <c r="E189" s="183">
        <f>AVERAGE(E177:E188)</f>
        <v>57600.263027405366</v>
      </c>
      <c r="F189" s="183">
        <f>SUM(C189:E189)</f>
        <v>166899.72375985884</v>
      </c>
      <c r="G189" s="317"/>
      <c r="H189" s="909"/>
      <c r="I189" s="215">
        <f>I188</f>
        <v>-9.6708177002484044E-3</v>
      </c>
      <c r="J189" s="215">
        <f>J188</f>
        <v>1.1709884971929474E-3</v>
      </c>
      <c r="K189" s="216">
        <f>K188</f>
        <v>2.2652394023083833E-2</v>
      </c>
      <c r="L189" s="217"/>
      <c r="M189" s="216">
        <f>M188</f>
        <v>2.8042488962377599E-2</v>
      </c>
    </row>
    <row r="190" spans="1:13">
      <c r="A190" s="905">
        <v>2019</v>
      </c>
      <c r="B190" s="239" t="s">
        <v>191</v>
      </c>
      <c r="C190" s="276">
        <v>44642.741935483871</v>
      </c>
      <c r="D190" s="277">
        <v>58065.774193548386</v>
      </c>
      <c r="E190" s="278">
        <v>52814.774193548386</v>
      </c>
      <c r="F190" s="279">
        <v>155523.29032258064</v>
      </c>
      <c r="G190" s="280">
        <v>155523.29032258064</v>
      </c>
      <c r="H190" s="907" t="s">
        <v>245</v>
      </c>
      <c r="I190" s="281">
        <v>6.8050322609745206E-3</v>
      </c>
      <c r="J190" s="282">
        <v>6.8154334749928915E-3</v>
      </c>
      <c r="K190" s="283">
        <v>3.502537846437058E-2</v>
      </c>
      <c r="L190" s="284">
        <v>1.6218273886985379E-2</v>
      </c>
      <c r="M190" s="285">
        <v>1.6218273886985379E-2</v>
      </c>
    </row>
    <row r="191" spans="1:13">
      <c r="A191" s="905"/>
      <c r="B191" s="248" t="s">
        <v>195</v>
      </c>
      <c r="C191" s="276">
        <v>46672.785714285717</v>
      </c>
      <c r="D191" s="277">
        <v>61999.285714285717</v>
      </c>
      <c r="E191" s="278">
        <v>56348</v>
      </c>
      <c r="F191" s="286">
        <v>165020.07142857142</v>
      </c>
      <c r="G191" s="287">
        <v>320543.36175115209</v>
      </c>
      <c r="H191" s="908"/>
      <c r="I191" s="288">
        <v>3.8497512303390137E-2</v>
      </c>
      <c r="J191" s="289">
        <v>7.1606669053867242E-2</v>
      </c>
      <c r="K191" s="290">
        <v>9.7521341836677947E-2</v>
      </c>
      <c r="L191" s="291">
        <v>7.058472295642737E-2</v>
      </c>
      <c r="M191" s="292">
        <v>4.3498743375507853E-2</v>
      </c>
    </row>
    <row r="192" spans="1:13">
      <c r="A192" s="905"/>
      <c r="B192" s="239" t="s">
        <v>15</v>
      </c>
      <c r="C192" s="276">
        <v>48267.870967741932</v>
      </c>
      <c r="D192" s="277">
        <v>63392.258064516129</v>
      </c>
      <c r="E192" s="278">
        <v>56616.741935483871</v>
      </c>
      <c r="F192" s="286">
        <v>168276.87096774194</v>
      </c>
      <c r="G192" s="287">
        <v>488820.23271889403</v>
      </c>
      <c r="H192" s="908"/>
      <c r="I192" s="288">
        <v>2.4495952488382558E-2</v>
      </c>
      <c r="J192" s="289">
        <v>1.9398407710351315E-2</v>
      </c>
      <c r="K192" s="290">
        <v>-1.7015952385352875E-2</v>
      </c>
      <c r="L192" s="291">
        <v>8.2706372678418294E-3</v>
      </c>
      <c r="M192" s="292">
        <v>3.1096881117401054E-2</v>
      </c>
    </row>
    <row r="193" spans="1:31">
      <c r="A193" s="905"/>
      <c r="B193" s="248" t="s">
        <v>16</v>
      </c>
      <c r="C193" s="276">
        <v>44721.599999999999</v>
      </c>
      <c r="D193" s="277">
        <v>61176.3</v>
      </c>
      <c r="E193" s="278">
        <v>56750.2</v>
      </c>
      <c r="F193" s="286">
        <v>162648.09999999998</v>
      </c>
      <c r="G193" s="287">
        <v>651468.332718894</v>
      </c>
      <c r="H193" s="908"/>
      <c r="I193" s="288">
        <v>-5.0151966000395107E-2</v>
      </c>
      <c r="J193" s="289">
        <v>-2.2135999229592376E-2</v>
      </c>
      <c r="K193" s="290">
        <v>-9.3524941245064098E-3</v>
      </c>
      <c r="L193" s="291">
        <v>-2.5650990202638724E-2</v>
      </c>
      <c r="M193" s="292">
        <v>1.6318711963529964E-2</v>
      </c>
    </row>
    <row r="194" spans="1:31">
      <c r="A194" s="905"/>
      <c r="B194" s="239" t="s">
        <v>17</v>
      </c>
      <c r="C194" s="276">
        <v>48394.677419354841</v>
      </c>
      <c r="D194" s="277">
        <v>67411.387096774197</v>
      </c>
      <c r="E194" s="278">
        <v>62668.322580645159</v>
      </c>
      <c r="F194" s="286">
        <v>178474.38709677418</v>
      </c>
      <c r="G194" s="287">
        <v>829942.71981566818</v>
      </c>
      <c r="H194" s="908"/>
      <c r="I194" s="288">
        <v>1.8979943503016777E-2</v>
      </c>
      <c r="J194" s="289">
        <v>4.8999592899893106E-2</v>
      </c>
      <c r="K194" s="290">
        <v>6.853181777430406E-2</v>
      </c>
      <c r="L194" s="291">
        <v>4.7355358180302565E-2</v>
      </c>
      <c r="M194" s="292">
        <v>2.2836718877805584E-2</v>
      </c>
      <c r="Z194" t="s">
        <v>158</v>
      </c>
      <c r="AA194" t="s">
        <v>205</v>
      </c>
      <c r="AB194" t="s">
        <v>251</v>
      </c>
      <c r="AC194" t="s">
        <v>252</v>
      </c>
      <c r="AD194" t="s">
        <v>253</v>
      </c>
      <c r="AE194" t="s">
        <v>254</v>
      </c>
    </row>
    <row r="195" spans="1:31">
      <c r="A195" s="905"/>
      <c r="B195" s="248" t="s">
        <v>18</v>
      </c>
      <c r="C195" s="276">
        <v>44990.2</v>
      </c>
      <c r="D195" s="277">
        <v>64227.3</v>
      </c>
      <c r="E195" s="278">
        <v>61506.366666666669</v>
      </c>
      <c r="F195" s="286">
        <v>170723.86666666667</v>
      </c>
      <c r="G195" s="287">
        <v>1000666.5864823349</v>
      </c>
      <c r="H195" s="908"/>
      <c r="I195" s="288">
        <v>-4.699211090626787E-2</v>
      </c>
      <c r="J195" s="289">
        <v>-1.3617655189360154E-2</v>
      </c>
      <c r="K195" s="290">
        <v>8.8247997594379513E-3</v>
      </c>
      <c r="L195" s="291">
        <v>-1.4813813145482357E-2</v>
      </c>
      <c r="M195" s="292">
        <v>1.6210870710027248E-2</v>
      </c>
      <c r="Y195" t="s">
        <v>255</v>
      </c>
      <c r="Z195">
        <v>14</v>
      </c>
      <c r="AA195" t="s">
        <v>69</v>
      </c>
      <c r="AB195">
        <v>3</v>
      </c>
      <c r="AC195" t="s">
        <v>69</v>
      </c>
      <c r="AD195" t="s">
        <v>69</v>
      </c>
      <c r="AE195" t="s">
        <v>69</v>
      </c>
    </row>
    <row r="196" spans="1:31">
      <c r="A196" s="905"/>
      <c r="B196" s="239" t="s">
        <v>19</v>
      </c>
      <c r="C196" s="276">
        <v>43749.258064516129</v>
      </c>
      <c r="D196" s="277">
        <v>62981.677419354841</v>
      </c>
      <c r="E196" s="278">
        <v>60408.806451612902</v>
      </c>
      <c r="F196" s="286">
        <v>167139.74193548388</v>
      </c>
      <c r="G196" s="287">
        <v>1167806.3284178188</v>
      </c>
      <c r="H196" s="908"/>
      <c r="I196" s="288">
        <v>1.2600888490685835E-2</v>
      </c>
      <c r="J196" s="289">
        <v>2.5248509990285384E-2</v>
      </c>
      <c r="K196" s="290">
        <v>2.6930183662332196E-2</v>
      </c>
      <c r="L196" s="291">
        <v>2.2510750142982872E-2</v>
      </c>
      <c r="M196" s="292">
        <v>1.7107762869000176E-2</v>
      </c>
      <c r="Y196" t="s">
        <v>256</v>
      </c>
      <c r="Z196">
        <v>3950</v>
      </c>
      <c r="AA196">
        <v>10</v>
      </c>
      <c r="AB196" t="s">
        <v>69</v>
      </c>
      <c r="AC196">
        <v>3</v>
      </c>
      <c r="AD196" t="s">
        <v>69</v>
      </c>
      <c r="AE196" t="s">
        <v>69</v>
      </c>
    </row>
    <row r="197" spans="1:31">
      <c r="A197" s="905"/>
      <c r="B197" s="248" t="s">
        <v>20</v>
      </c>
      <c r="C197" s="276">
        <v>46647.354838709674</v>
      </c>
      <c r="D197" s="277">
        <v>63398.516129032258</v>
      </c>
      <c r="E197" s="278">
        <v>62568.06451612903</v>
      </c>
      <c r="F197" s="286">
        <v>172613.93548387097</v>
      </c>
      <c r="G197" s="287">
        <v>1340420.2639016898</v>
      </c>
      <c r="H197" s="908"/>
      <c r="I197" s="288">
        <v>-4.068251863840756E-3</v>
      </c>
      <c r="J197" s="289">
        <v>-1.8674160031000647E-3</v>
      </c>
      <c r="K197" s="290">
        <v>1.4960065849616526E-2</v>
      </c>
      <c r="L197" s="291">
        <v>3.564310533311188E-3</v>
      </c>
      <c r="M197" s="292">
        <v>1.5343221199382917E-2</v>
      </c>
      <c r="Y197" t="s">
        <v>257</v>
      </c>
      <c r="Z197">
        <v>5758</v>
      </c>
      <c r="AA197">
        <v>52</v>
      </c>
      <c r="AB197" t="s">
        <v>69</v>
      </c>
      <c r="AC197" t="s">
        <v>69</v>
      </c>
      <c r="AD197" t="s">
        <v>69</v>
      </c>
      <c r="AE197">
        <v>1</v>
      </c>
    </row>
    <row r="198" spans="1:31">
      <c r="A198" s="905"/>
      <c r="B198" s="239" t="s">
        <v>211</v>
      </c>
      <c r="C198" s="276">
        <v>48423.7</v>
      </c>
      <c r="D198" s="277">
        <v>64866.3</v>
      </c>
      <c r="E198" s="278">
        <v>62377.751281927784</v>
      </c>
      <c r="F198" s="286">
        <v>175667.75128192778</v>
      </c>
      <c r="G198" s="287">
        <v>1516088.0151836176</v>
      </c>
      <c r="H198" s="908"/>
      <c r="I198" s="288">
        <v>-1.404501817219304E-2</v>
      </c>
      <c r="J198" s="289">
        <v>-1.8085217338580347E-4</v>
      </c>
      <c r="K198" s="290">
        <v>2.0512160509780119E-2</v>
      </c>
      <c r="L198" s="291">
        <v>3.1536402084781923E-3</v>
      </c>
      <c r="M198" s="292">
        <v>1.3915672977145244E-2</v>
      </c>
      <c r="S198" s="31">
        <f>S199*(1-U198)</f>
        <v>1527787.18</v>
      </c>
      <c r="U198" s="160">
        <v>9.1999999999999998E-2</v>
      </c>
      <c r="Y198" t="s">
        <v>258</v>
      </c>
      <c r="Z198">
        <v>12383</v>
      </c>
      <c r="AA198">
        <v>245</v>
      </c>
      <c r="AB198">
        <v>15</v>
      </c>
      <c r="AC198">
        <v>2</v>
      </c>
      <c r="AD198" t="s">
        <v>69</v>
      </c>
      <c r="AE198">
        <v>26</v>
      </c>
    </row>
    <row r="199" spans="1:31">
      <c r="A199" s="905"/>
      <c r="B199" s="248" t="s">
        <v>213</v>
      </c>
      <c r="C199" s="307">
        <v>48885.387096774197</v>
      </c>
      <c r="D199" s="308">
        <v>66077.548387096773</v>
      </c>
      <c r="E199" s="309">
        <v>61538.261715171757</v>
      </c>
      <c r="F199" s="310">
        <v>176501.19719904271</v>
      </c>
      <c r="G199" s="311">
        <v>1692589.2123826602</v>
      </c>
      <c r="H199" s="908"/>
      <c r="I199" s="312">
        <v>-9.5027013319076113E-3</v>
      </c>
      <c r="J199" s="313">
        <v>2.2364300170443649E-2</v>
      </c>
      <c r="K199" s="314">
        <v>3.0444775530971392E-2</v>
      </c>
      <c r="L199" s="315">
        <v>1.6088144407091498E-2</v>
      </c>
      <c r="M199" s="316">
        <v>1.4141781770448114E-2</v>
      </c>
      <c r="S199">
        <v>1682585</v>
      </c>
      <c r="U199">
        <f>(S204-S198)/S198</f>
        <v>0.32544769749933372</v>
      </c>
      <c r="Y199" t="s">
        <v>259</v>
      </c>
      <c r="Z199">
        <v>35410</v>
      </c>
      <c r="AA199">
        <v>1697</v>
      </c>
      <c r="AB199" t="s">
        <v>69</v>
      </c>
      <c r="AC199">
        <v>88</v>
      </c>
      <c r="AD199" t="s">
        <v>69</v>
      </c>
      <c r="AE199">
        <v>1660</v>
      </c>
    </row>
    <row r="200" spans="1:31">
      <c r="A200" s="905"/>
      <c r="B200" s="239" t="s">
        <v>216</v>
      </c>
      <c r="C200" s="276">
        <v>47883.533333333333</v>
      </c>
      <c r="D200" s="277">
        <v>64801.866666666669</v>
      </c>
      <c r="E200" s="278">
        <v>59477.23333333333</v>
      </c>
      <c r="F200" s="286">
        <v>172162.63333333333</v>
      </c>
      <c r="G200" s="287">
        <v>1864751.8457159935</v>
      </c>
      <c r="H200" s="908"/>
      <c r="I200" s="288">
        <v>-1.3870964198825839E-2</v>
      </c>
      <c r="J200" s="289">
        <v>-1.379228156185132E-3</v>
      </c>
      <c r="K200" s="290">
        <v>1.8095951048783424E-2</v>
      </c>
      <c r="L200" s="291">
        <v>1.7113859336255199E-3</v>
      </c>
      <c r="M200" s="292">
        <v>1.2981237795800071E-2</v>
      </c>
      <c r="U200">
        <f>(S204-S199)/S199</f>
        <v>0.20350650932939496</v>
      </c>
      <c r="Y200" t="s">
        <v>260</v>
      </c>
      <c r="Z200">
        <v>71575</v>
      </c>
      <c r="AA200">
        <v>22854</v>
      </c>
      <c r="AB200">
        <v>50</v>
      </c>
      <c r="AC200">
        <v>2350</v>
      </c>
      <c r="AD200">
        <v>406</v>
      </c>
      <c r="AE200">
        <v>1938</v>
      </c>
    </row>
    <row r="201" spans="1:31" ht="13.75" thickBot="1">
      <c r="A201" s="906"/>
      <c r="B201" s="248" t="s">
        <v>217</v>
      </c>
      <c r="C201" s="276">
        <v>44881.161290322583</v>
      </c>
      <c r="D201" s="277">
        <v>60800.129032258068</v>
      </c>
      <c r="E201" s="278">
        <v>54568.806451612902</v>
      </c>
      <c r="F201" s="286">
        <v>160250.09677419355</v>
      </c>
      <c r="G201" s="287">
        <v>2025001.942490187</v>
      </c>
      <c r="H201" s="908"/>
      <c r="I201" s="305">
        <v>-2.2057402243766566E-2</v>
      </c>
      <c r="J201" s="295">
        <v>-1.0546518598935134E-2</v>
      </c>
      <c r="K201" s="296">
        <v>-5.6717710636876621E-4</v>
      </c>
      <c r="L201" s="297">
        <v>-1.0444039501341096E-2</v>
      </c>
      <c r="M201" s="298">
        <v>1.1087125087072547E-2</v>
      </c>
      <c r="S201">
        <v>1803811</v>
      </c>
      <c r="Y201" t="s">
        <v>261</v>
      </c>
      <c r="Z201">
        <v>30232</v>
      </c>
      <c r="AA201">
        <v>30690</v>
      </c>
      <c r="AB201">
        <v>289</v>
      </c>
      <c r="AC201">
        <v>851</v>
      </c>
      <c r="AD201">
        <v>4301</v>
      </c>
      <c r="AE201">
        <v>1203</v>
      </c>
    </row>
    <row r="202" spans="1:31" ht="16.25" thickBot="1">
      <c r="A202" s="910" t="s">
        <v>242</v>
      </c>
      <c r="B202" s="911"/>
      <c r="C202" s="318">
        <v>46510</v>
      </c>
      <c r="D202" s="318">
        <v>63270</v>
      </c>
      <c r="E202" s="318">
        <v>58970</v>
      </c>
      <c r="F202" s="183">
        <v>168750</v>
      </c>
      <c r="G202" s="317"/>
      <c r="H202" s="909"/>
      <c r="I202" s="215">
        <v>-5.3464499572284385E-3</v>
      </c>
      <c r="J202" s="215">
        <v>1.1672529581068014E-2</v>
      </c>
      <c r="K202" s="216">
        <v>2.3784722222222276E-2</v>
      </c>
      <c r="L202" s="319"/>
      <c r="M202" s="216">
        <v>1.1087125087072547E-2</v>
      </c>
      <c r="O202" s="173">
        <f>AVERAGE(L190:L201)</f>
        <v>1.1545698388965353E-2</v>
      </c>
      <c r="S202">
        <v>1948165</v>
      </c>
      <c r="T202">
        <f>(S202-S201)/S201</f>
        <v>8.0027231234314461E-2</v>
      </c>
      <c r="Y202" t="s">
        <v>262</v>
      </c>
      <c r="Z202">
        <v>9170</v>
      </c>
      <c r="AA202">
        <v>38544</v>
      </c>
      <c r="AB202">
        <v>6</v>
      </c>
      <c r="AC202">
        <v>105</v>
      </c>
      <c r="AD202">
        <v>1080</v>
      </c>
      <c r="AE202">
        <v>404</v>
      </c>
    </row>
    <row r="203" spans="1:31" ht="12.75" customHeight="1">
      <c r="A203" s="898" t="s">
        <v>246</v>
      </c>
      <c r="B203" s="467" t="s">
        <v>191</v>
      </c>
      <c r="C203" s="471">
        <v>43332.290322580644</v>
      </c>
      <c r="D203" s="472">
        <v>57700.516129032258</v>
      </c>
      <c r="E203" s="473">
        <v>52034.419354838712</v>
      </c>
      <c r="F203" s="486">
        <v>153067.22580645164</v>
      </c>
      <c r="G203" s="487">
        <v>153067.22580645164</v>
      </c>
      <c r="H203" s="900" t="s">
        <v>245</v>
      </c>
      <c r="I203" s="499">
        <v>-2.9354191881785532E-2</v>
      </c>
      <c r="J203" s="500">
        <v>-6.2904192631381833E-3</v>
      </c>
      <c r="K203" s="501">
        <v>-1.4775313359287239E-2</v>
      </c>
      <c r="L203" s="502">
        <v>-1.5792261795868123E-2</v>
      </c>
      <c r="M203" s="503">
        <v>-1.5792261795868123E-2</v>
      </c>
      <c r="S203">
        <v>2002797</v>
      </c>
      <c r="T203">
        <f>(S203-S202)/S202</f>
        <v>2.8042799249550217E-2</v>
      </c>
      <c r="Y203" t="s">
        <v>263</v>
      </c>
      <c r="Z203">
        <v>3785</v>
      </c>
      <c r="AA203">
        <v>15013</v>
      </c>
      <c r="AB203">
        <v>25</v>
      </c>
      <c r="AC203">
        <v>39</v>
      </c>
      <c r="AD203">
        <v>1384</v>
      </c>
      <c r="AE203">
        <v>8</v>
      </c>
    </row>
    <row r="204" spans="1:31">
      <c r="A204" s="898"/>
      <c r="B204" s="468" t="s">
        <v>195</v>
      </c>
      <c r="C204" s="471">
        <v>45272.517241379312</v>
      </c>
      <c r="D204" s="472">
        <v>61550.793103448275</v>
      </c>
      <c r="E204" s="473">
        <v>56757.310344827587</v>
      </c>
      <c r="F204" s="474">
        <v>163580.62068965519</v>
      </c>
      <c r="G204" s="475">
        <v>316647.84649610682</v>
      </c>
      <c r="H204" s="901"/>
      <c r="I204" s="476">
        <v>-3.0001819078860088E-2</v>
      </c>
      <c r="J204" s="477">
        <v>-7.2338351268150421E-3</v>
      </c>
      <c r="K204" s="478">
        <v>7.2639728974868136E-3</v>
      </c>
      <c r="L204" s="479">
        <v>-8.7228827769554318E-3</v>
      </c>
      <c r="M204" s="480">
        <v>-1.2152849566947066E-2</v>
      </c>
      <c r="S204">
        <v>2025002</v>
      </c>
      <c r="T204">
        <f>(S204-S203)/S203</f>
        <v>1.1086994837719449E-2</v>
      </c>
      <c r="U204">
        <f>(S204-S202)/S202</f>
        <v>3.9440704457784637E-2</v>
      </c>
      <c r="Y204" t="s">
        <v>264</v>
      </c>
      <c r="Z204">
        <v>281</v>
      </c>
      <c r="AA204">
        <v>4179</v>
      </c>
      <c r="AB204" t="s">
        <v>69</v>
      </c>
      <c r="AC204" t="s">
        <v>69</v>
      </c>
      <c r="AD204" t="s">
        <v>69</v>
      </c>
      <c r="AE204" t="s">
        <v>69</v>
      </c>
    </row>
    <row r="205" spans="1:31">
      <c r="A205" s="898"/>
      <c r="B205" s="467" t="s">
        <v>15</v>
      </c>
      <c r="C205" s="471">
        <v>35126.774193548386</v>
      </c>
      <c r="D205" s="472">
        <v>51849.741935483871</v>
      </c>
      <c r="E205" s="473">
        <v>46524.032258064515</v>
      </c>
      <c r="F205" s="474">
        <v>133500.54838709679</v>
      </c>
      <c r="G205" s="475">
        <v>450148.39488320361</v>
      </c>
      <c r="H205" s="901"/>
      <c r="I205" s="476">
        <v>-0.27225349928891451</v>
      </c>
      <c r="J205" s="477">
        <v>-0.18208084837875796</v>
      </c>
      <c r="K205" s="478">
        <v>-0.17826369607986697</v>
      </c>
      <c r="L205" s="479">
        <v>-0.20666133367378603</v>
      </c>
      <c r="M205" s="480">
        <v>-7.9112596507291966E-2</v>
      </c>
      <c r="Y205" t="s">
        <v>265</v>
      </c>
      <c r="Z205">
        <v>104</v>
      </c>
      <c r="AA205">
        <v>9355</v>
      </c>
      <c r="AB205">
        <v>33</v>
      </c>
      <c r="AC205">
        <v>16</v>
      </c>
      <c r="AD205" t="s">
        <v>69</v>
      </c>
      <c r="AE205" t="s">
        <v>69</v>
      </c>
    </row>
    <row r="206" spans="1:31">
      <c r="A206" s="898"/>
      <c r="B206" s="468" t="s">
        <v>16</v>
      </c>
      <c r="C206" s="471">
        <v>28013.166666666668</v>
      </c>
      <c r="D206" s="472">
        <v>47126.400000000001</v>
      </c>
      <c r="E206" s="473">
        <v>42406.9</v>
      </c>
      <c r="F206" s="474">
        <v>117546.46666666667</v>
      </c>
      <c r="G206" s="475">
        <v>567694.86154987034</v>
      </c>
      <c r="H206" s="901"/>
      <c r="I206" s="476">
        <v>-0.37360991854793502</v>
      </c>
      <c r="J206" s="477">
        <v>-0.22966246732803391</v>
      </c>
      <c r="K206" s="478">
        <v>-0.25274448371988112</v>
      </c>
      <c r="L206" s="479">
        <v>-0.27729578970386559</v>
      </c>
      <c r="M206" s="480">
        <v>-0.12859177792939869</v>
      </c>
    </row>
    <row r="207" spans="1:31">
      <c r="A207" s="898"/>
      <c r="B207" s="467" t="s">
        <v>17</v>
      </c>
      <c r="C207" s="471">
        <v>39763.387096774197</v>
      </c>
      <c r="D207" s="472">
        <v>63616.93548387097</v>
      </c>
      <c r="E207" s="473">
        <v>58081</v>
      </c>
      <c r="F207" s="474">
        <v>161461.32258064515</v>
      </c>
      <c r="G207" s="475">
        <v>729156.18413051544</v>
      </c>
      <c r="H207" s="901"/>
      <c r="I207" s="476">
        <v>-1.5505598997114897E-2</v>
      </c>
      <c r="J207" s="477">
        <v>3.2133272507692656E-2</v>
      </c>
      <c r="K207" s="478">
        <v>1.2254015979917479E-2</v>
      </c>
      <c r="L207" s="479">
        <v>1.2417322631711691E-2</v>
      </c>
      <c r="M207" s="480">
        <v>-9.8600876340504406E-2</v>
      </c>
    </row>
    <row r="208" spans="1:31">
      <c r="A208" s="898"/>
      <c r="B208" s="468" t="s">
        <v>18</v>
      </c>
      <c r="C208" s="471">
        <v>44292.6</v>
      </c>
      <c r="D208" s="472">
        <v>66291.133333333331</v>
      </c>
      <c r="E208" s="473">
        <v>62260.066666666666</v>
      </c>
      <c r="F208" s="474">
        <v>172843.8</v>
      </c>
      <c r="G208" s="475">
        <v>901999.98413051548</v>
      </c>
      <c r="H208" s="901"/>
      <c r="I208" s="476">
        <v>-1.5505598997114897E-2</v>
      </c>
      <c r="J208" s="477">
        <v>3.2133272507692656E-2</v>
      </c>
      <c r="K208" s="478">
        <v>1.2254015979917479E-2</v>
      </c>
      <c r="L208" s="479">
        <v>1.2417322631711691E-2</v>
      </c>
      <c r="M208" s="480">
        <v>-9.8600876340504406E-2</v>
      </c>
    </row>
    <row r="209" spans="1:21">
      <c r="A209" s="898"/>
      <c r="B209" s="467" t="s">
        <v>19</v>
      </c>
      <c r="C209" s="471">
        <v>39867.677419354841</v>
      </c>
      <c r="D209" s="472">
        <v>62533.677419354841</v>
      </c>
      <c r="E209" s="473">
        <v>59020.225806451614</v>
      </c>
      <c r="F209" s="474">
        <v>161421.5806451613</v>
      </c>
      <c r="G209" s="475">
        <v>1063421.5647756767</v>
      </c>
      <c r="H209" s="901"/>
      <c r="I209" s="476">
        <v>-8.8723347935117006E-2</v>
      </c>
      <c r="J209" s="477">
        <v>-7.1131798700287642E-3</v>
      </c>
      <c r="K209" s="478">
        <v>-2.2986394314437133E-2</v>
      </c>
      <c r="L209" s="479">
        <v>-3.4211859035475745E-2</v>
      </c>
      <c r="M209" s="480">
        <v>-8.9385338220906774E-2</v>
      </c>
      <c r="S209" s="320">
        <v>2.7777770000000001E-7</v>
      </c>
      <c r="U209">
        <v>74.069999999999993</v>
      </c>
    </row>
    <row r="210" spans="1:21">
      <c r="A210" s="898"/>
      <c r="B210" s="468" t="s">
        <v>20</v>
      </c>
      <c r="C210" s="471">
        <v>40612.612903225803</v>
      </c>
      <c r="D210" s="472">
        <v>61342.225806451614</v>
      </c>
      <c r="E210" s="473">
        <v>58116.096774193546</v>
      </c>
      <c r="F210" s="474">
        <v>160070.93548387097</v>
      </c>
      <c r="G210" s="475">
        <v>1223492.5002595477</v>
      </c>
      <c r="H210" s="901"/>
      <c r="I210" s="476">
        <v>-0.12936943490900843</v>
      </c>
      <c r="J210" s="477">
        <v>-3.2434360425653577E-2</v>
      </c>
      <c r="K210" s="478">
        <v>-7.1153994875258447E-2</v>
      </c>
      <c r="L210" s="479">
        <v>-7.2665048536431853E-2</v>
      </c>
      <c r="M210" s="480">
        <v>-8.7232166501115982E-2</v>
      </c>
      <c r="P210">
        <v>8.8000000000000007</v>
      </c>
      <c r="Q210" t="s">
        <v>247</v>
      </c>
      <c r="S210" s="320">
        <v>1000000000000</v>
      </c>
    </row>
    <row r="211" spans="1:21">
      <c r="A211" s="898"/>
      <c r="B211" s="467" t="s">
        <v>211</v>
      </c>
      <c r="C211" s="471">
        <v>44213.633333333331</v>
      </c>
      <c r="D211" s="472">
        <v>64904.866666666669</v>
      </c>
      <c r="E211" s="473">
        <v>58732.26666666667</v>
      </c>
      <c r="F211" s="474">
        <v>167850.76666666666</v>
      </c>
      <c r="G211" s="475">
        <v>1391343.2669262143</v>
      </c>
      <c r="H211" s="901"/>
      <c r="I211" s="476">
        <v>-8.6942275511096137E-2</v>
      </c>
      <c r="J211" s="477">
        <v>5.9455628988651572E-4</v>
      </c>
      <c r="K211" s="478">
        <v>-5.8442065325257905E-2</v>
      </c>
      <c r="L211" s="479">
        <v>-4.4498688906854045E-2</v>
      </c>
      <c r="M211" s="480">
        <v>-8.2280676984505474E-2</v>
      </c>
      <c r="P211">
        <f>P210/1000000</f>
        <v>8.8000000000000004E-6</v>
      </c>
      <c r="Q211" t="s">
        <v>248</v>
      </c>
      <c r="S211" s="320">
        <f>S209*S210</f>
        <v>277777.7</v>
      </c>
      <c r="T211" t="s">
        <v>249</v>
      </c>
    </row>
    <row r="212" spans="1:21">
      <c r="A212" s="898"/>
      <c r="B212" s="468" t="s">
        <v>213</v>
      </c>
      <c r="C212" s="489">
        <v>35015.451612903227</v>
      </c>
      <c r="D212" s="490">
        <v>55922.645161290326</v>
      </c>
      <c r="E212" s="491">
        <v>50345.129032258068</v>
      </c>
      <c r="F212" s="492">
        <v>141283.22580645161</v>
      </c>
      <c r="G212" s="493">
        <v>1532626.492732666</v>
      </c>
      <c r="H212" s="901"/>
      <c r="I212" s="494">
        <v>-0.2837235482336235</v>
      </c>
      <c r="J212" s="495">
        <v>-0.15368159796602618</v>
      </c>
      <c r="K212" s="496">
        <v>-0.18188899671428505</v>
      </c>
      <c r="L212" s="497">
        <v>-0.19953389524534126</v>
      </c>
      <c r="M212" s="498">
        <v>-9.4507703629290285E-2</v>
      </c>
      <c r="P212">
        <f>P211*S211</f>
        <v>2.4444437600000004</v>
      </c>
      <c r="Q212" t="s">
        <v>250</v>
      </c>
    </row>
    <row r="213" spans="1:21">
      <c r="A213" s="898"/>
      <c r="B213" s="467" t="s">
        <v>216</v>
      </c>
      <c r="C213" s="471">
        <v>34626.9</v>
      </c>
      <c r="D213" s="472">
        <v>54664.7</v>
      </c>
      <c r="E213" s="473">
        <v>48428.2</v>
      </c>
      <c r="F213" s="474">
        <v>137719.79999999999</v>
      </c>
      <c r="G213" s="475">
        <v>1670346.292732666</v>
      </c>
      <c r="H213" s="901"/>
      <c r="I213" s="476">
        <v>-0.27685161078338688</v>
      </c>
      <c r="J213" s="477">
        <v>-0.15643325089400723</v>
      </c>
      <c r="K213" s="478">
        <v>-0.18576912062150391</v>
      </c>
      <c r="L213" s="479">
        <v>-0.20005986587488311</v>
      </c>
      <c r="M213" s="480">
        <v>-0.10425277413182188</v>
      </c>
      <c r="P213">
        <v>74.069999999999993</v>
      </c>
      <c r="Q213" t="s">
        <v>250</v>
      </c>
      <c r="S213" s="320">
        <f>P213/S211*1000000</f>
        <v>266.6520746625809</v>
      </c>
    </row>
    <row r="214" spans="1:21" ht="13.75" thickBot="1">
      <c r="A214" s="899"/>
      <c r="B214" s="468" t="s">
        <v>217</v>
      </c>
      <c r="C214" s="471">
        <v>38729.93548387097</v>
      </c>
      <c r="D214" s="472">
        <v>58926.419354838712</v>
      </c>
      <c r="E214" s="473">
        <v>50302.838709677417</v>
      </c>
      <c r="F214" s="474">
        <v>147959.19354838709</v>
      </c>
      <c r="G214" s="475">
        <v>1818305.4862810532</v>
      </c>
      <c r="H214" s="901"/>
      <c r="I214" s="485">
        <v>-0.1370558521572382</v>
      </c>
      <c r="J214" s="481">
        <v>-3.081752797638377E-2</v>
      </c>
      <c r="K214" s="482">
        <v>-7.8175940053191229E-2</v>
      </c>
      <c r="L214" s="483">
        <v>-7.6698257743490927E-2</v>
      </c>
      <c r="M214" s="484">
        <v>-0.10207222614065981</v>
      </c>
    </row>
    <row r="215" spans="1:21" ht="16.25" thickBot="1">
      <c r="A215" s="903" t="s">
        <v>242</v>
      </c>
      <c r="B215" s="904"/>
      <c r="C215" s="504">
        <v>39100</v>
      </c>
      <c r="D215" s="504">
        <v>58900</v>
      </c>
      <c r="E215" s="504">
        <v>53600</v>
      </c>
      <c r="F215" s="504"/>
      <c r="G215" s="488"/>
      <c r="H215" s="902"/>
      <c r="I215" s="469"/>
      <c r="J215" s="469"/>
      <c r="K215" s="470"/>
      <c r="L215" s="505"/>
      <c r="M215" s="470">
        <v>-0.10207222614065981</v>
      </c>
    </row>
    <row r="216" spans="1:21">
      <c r="A216" s="898" t="s">
        <v>465</v>
      </c>
      <c r="B216" s="467" t="s">
        <v>191</v>
      </c>
      <c r="C216" s="471">
        <v>38182.838709677417</v>
      </c>
      <c r="D216" s="472">
        <v>54011.193548387098</v>
      </c>
      <c r="E216" s="473">
        <v>51048.193548387098</v>
      </c>
      <c r="F216" s="486">
        <v>143242.22580645161</v>
      </c>
      <c r="G216" s="487">
        <v>143242.22580645161</v>
      </c>
      <c r="H216" s="900" t="s">
        <v>277</v>
      </c>
      <c r="I216" s="506">
        <v>-0.11883635908854386</v>
      </c>
      <c r="J216" s="507">
        <v>-6.3939160828214173E-2</v>
      </c>
      <c r="K216" s="508">
        <v>-1.8953335478315545E-2</v>
      </c>
      <c r="L216" s="509">
        <v>-6.4187483298504433E-2</v>
      </c>
      <c r="M216" s="510">
        <v>-6.4187483298504433E-2</v>
      </c>
    </row>
    <row r="217" spans="1:21">
      <c r="A217" s="898"/>
      <c r="B217" s="468" t="s">
        <v>195</v>
      </c>
      <c r="C217" s="471">
        <v>42442.964285714283</v>
      </c>
      <c r="D217" s="472">
        <v>63244.714285714283</v>
      </c>
      <c r="E217" s="473">
        <v>56630.821428571428</v>
      </c>
      <c r="F217" s="474">
        <v>162318.5</v>
      </c>
      <c r="G217" s="475">
        <v>305560.72580645164</v>
      </c>
      <c r="H217" s="901"/>
      <c r="I217" s="533">
        <v>-6.2500455642409108E-2</v>
      </c>
      <c r="J217" s="477">
        <v>2.7520704394808332E-2</v>
      </c>
      <c r="K217" s="534">
        <v>-2.2285925017883909E-3</v>
      </c>
      <c r="L217" s="535">
        <v>-7.7155880955463996E-3</v>
      </c>
      <c r="M217" s="536">
        <v>-3.5014041031198095E-2</v>
      </c>
    </row>
    <row r="218" spans="1:21">
      <c r="A218" s="898"/>
      <c r="B218" s="467" t="s">
        <v>15</v>
      </c>
      <c r="C218" s="471">
        <v>43826.612903225803</v>
      </c>
      <c r="D218" s="472">
        <v>64973.290322580644</v>
      </c>
      <c r="E218" s="473">
        <v>57674.258064516129</v>
      </c>
      <c r="F218" s="474">
        <v>166474.16129032258</v>
      </c>
      <c r="G218" s="475">
        <v>472034.88709677418</v>
      </c>
      <c r="H218" s="901"/>
      <c r="I218" s="476">
        <v>0.24766973083669283</v>
      </c>
      <c r="J218" s="477">
        <v>0.2531073038594151</v>
      </c>
      <c r="K218" s="478">
        <v>0.23966593747941578</v>
      </c>
      <c r="L218" s="479">
        <v>0.24699234049298324</v>
      </c>
      <c r="M218" s="480">
        <v>4.8620615917666976E-2</v>
      </c>
    </row>
    <row r="219" spans="1:21">
      <c r="A219" s="898"/>
      <c r="B219" s="468" t="s">
        <v>16</v>
      </c>
      <c r="C219" s="471">
        <v>39560.366666666669</v>
      </c>
      <c r="D219" s="472">
        <v>60303</v>
      </c>
      <c r="E219" s="473">
        <v>54850</v>
      </c>
      <c r="F219" s="474">
        <v>154713.36666666667</v>
      </c>
      <c r="G219" s="475">
        <v>626748.25376344088</v>
      </c>
      <c r="H219" s="901"/>
      <c r="I219" s="476">
        <v>0.41220616495814472</v>
      </c>
      <c r="J219" s="477">
        <v>0.27960124261560393</v>
      </c>
      <c r="K219" s="478">
        <v>0.29342158941115709</v>
      </c>
      <c r="L219" s="479">
        <v>0.31618900213645995</v>
      </c>
      <c r="M219" s="480">
        <v>0.10402312265492086</v>
      </c>
    </row>
    <row r="220" spans="1:21">
      <c r="A220" s="898"/>
      <c r="B220" s="467" t="s">
        <v>17</v>
      </c>
      <c r="C220" s="471">
        <v>44441.838709677417</v>
      </c>
      <c r="D220" s="472">
        <v>68296.290322580651</v>
      </c>
      <c r="E220" s="473">
        <v>61616.419354838712</v>
      </c>
      <c r="F220" s="474">
        <v>174354.54838709679</v>
      </c>
      <c r="G220" s="475">
        <v>801102.80215053773</v>
      </c>
      <c r="H220" s="901"/>
      <c r="I220" s="476">
        <v>0.11765727103470919</v>
      </c>
      <c r="J220" s="477">
        <v>7.3555175255118274E-2</v>
      </c>
      <c r="K220" s="478">
        <v>6.0870497319927552E-2</v>
      </c>
      <c r="L220" s="479">
        <v>7.9853339489473374E-2</v>
      </c>
      <c r="M220" s="480">
        <v>9.8671066070454172E-2</v>
      </c>
    </row>
    <row r="221" spans="1:21">
      <c r="A221" s="898"/>
      <c r="B221" s="468" t="s">
        <v>18</v>
      </c>
      <c r="C221" s="511"/>
      <c r="D221" s="512"/>
      <c r="E221" s="513"/>
      <c r="F221" s="514"/>
      <c r="G221" s="515"/>
      <c r="H221" s="901"/>
      <c r="I221" s="516"/>
      <c r="J221" s="517"/>
      <c r="K221" s="518"/>
      <c r="L221" s="519"/>
      <c r="M221" s="520"/>
    </row>
    <row r="222" spans="1:21">
      <c r="A222" s="898"/>
      <c r="B222" s="467" t="s">
        <v>19</v>
      </c>
      <c r="C222" s="511"/>
      <c r="D222" s="512"/>
      <c r="E222" s="513"/>
      <c r="F222" s="514"/>
      <c r="G222" s="515"/>
      <c r="H222" s="901"/>
      <c r="I222" s="516"/>
      <c r="J222" s="517"/>
      <c r="K222" s="518"/>
      <c r="L222" s="519"/>
      <c r="M222" s="520"/>
    </row>
    <row r="223" spans="1:21">
      <c r="A223" s="898"/>
      <c r="B223" s="468" t="s">
        <v>20</v>
      </c>
      <c r="C223" s="511"/>
      <c r="D223" s="512"/>
      <c r="E223" s="513"/>
      <c r="F223" s="514"/>
      <c r="G223" s="515"/>
      <c r="H223" s="901"/>
      <c r="I223" s="516"/>
      <c r="J223" s="517"/>
      <c r="K223" s="518"/>
      <c r="L223" s="519"/>
      <c r="M223" s="520"/>
    </row>
    <row r="224" spans="1:21">
      <c r="A224" s="898"/>
      <c r="B224" s="467" t="s">
        <v>211</v>
      </c>
      <c r="C224" s="511"/>
      <c r="D224" s="512"/>
      <c r="E224" s="513"/>
      <c r="F224" s="514"/>
      <c r="G224" s="515"/>
      <c r="H224" s="901"/>
      <c r="I224" s="516"/>
      <c r="J224" s="517"/>
      <c r="K224" s="518"/>
      <c r="L224" s="519"/>
      <c r="M224" s="520"/>
    </row>
    <row r="225" spans="1:13">
      <c r="A225" s="898"/>
      <c r="B225" s="468" t="s">
        <v>213</v>
      </c>
      <c r="C225" s="511"/>
      <c r="D225" s="512"/>
      <c r="E225" s="513"/>
      <c r="F225" s="514"/>
      <c r="G225" s="515"/>
      <c r="H225" s="901"/>
      <c r="I225" s="516"/>
      <c r="J225" s="517"/>
      <c r="K225" s="518"/>
      <c r="L225" s="519"/>
      <c r="M225" s="520"/>
    </row>
    <row r="226" spans="1:13">
      <c r="A226" s="898"/>
      <c r="B226" s="467" t="s">
        <v>216</v>
      </c>
      <c r="C226" s="511"/>
      <c r="D226" s="512"/>
      <c r="E226" s="513"/>
      <c r="F226" s="514"/>
      <c r="G226" s="515"/>
      <c r="H226" s="901"/>
      <c r="I226" s="516"/>
      <c r="J226" s="517"/>
      <c r="K226" s="518"/>
      <c r="L226" s="519"/>
      <c r="M226" s="520"/>
    </row>
    <row r="227" spans="1:13" ht="13.75" thickBot="1">
      <c r="A227" s="899"/>
      <c r="B227" s="468" t="s">
        <v>217</v>
      </c>
      <c r="C227" s="511"/>
      <c r="D227" s="512"/>
      <c r="E227" s="513"/>
      <c r="F227" s="521"/>
      <c r="G227" s="515"/>
      <c r="H227" s="901"/>
      <c r="I227" s="522"/>
      <c r="J227" s="523"/>
      <c r="K227" s="524"/>
      <c r="L227" s="525"/>
      <c r="M227" s="526"/>
    </row>
    <row r="228" spans="1:13" ht="16.25" thickBot="1">
      <c r="A228" s="903" t="s">
        <v>242</v>
      </c>
      <c r="B228" s="904"/>
      <c r="C228" s="527"/>
      <c r="D228" s="527"/>
      <c r="E228" s="527"/>
      <c r="F228" s="528"/>
      <c r="G228" s="488"/>
      <c r="H228" s="902"/>
      <c r="I228" s="529"/>
      <c r="J228" s="529"/>
      <c r="K228" s="530"/>
      <c r="L228" s="531"/>
      <c r="M228" s="532"/>
    </row>
  </sheetData>
  <mergeCells count="55">
    <mergeCell ref="A8:A19"/>
    <mergeCell ref="W12:AB12"/>
    <mergeCell ref="W19:AB19"/>
    <mergeCell ref="A1:M1"/>
    <mergeCell ref="A2:B4"/>
    <mergeCell ref="C2:M2"/>
    <mergeCell ref="G3:G5"/>
    <mergeCell ref="H3:M3"/>
    <mergeCell ref="I5:K5"/>
    <mergeCell ref="L5:M5"/>
    <mergeCell ref="W5:AB5"/>
    <mergeCell ref="A6:B6"/>
    <mergeCell ref="I6:K6"/>
    <mergeCell ref="L6:M6"/>
    <mergeCell ref="C7:E7"/>
    <mergeCell ref="A99:A110"/>
    <mergeCell ref="H99:H111"/>
    <mergeCell ref="A112:A123"/>
    <mergeCell ref="H112:H124"/>
    <mergeCell ref="A21:A32"/>
    <mergeCell ref="H21:H33"/>
    <mergeCell ref="A34:A45"/>
    <mergeCell ref="H34:H46"/>
    <mergeCell ref="A47:A58"/>
    <mergeCell ref="H47:H59"/>
    <mergeCell ref="A60:A71"/>
    <mergeCell ref="H60:H72"/>
    <mergeCell ref="A73:A84"/>
    <mergeCell ref="H73:H85"/>
    <mergeCell ref="A86:A97"/>
    <mergeCell ref="H86:H98"/>
    <mergeCell ref="Q112:Q124"/>
    <mergeCell ref="A138:A149"/>
    <mergeCell ref="H138:H150"/>
    <mergeCell ref="A150:B150"/>
    <mergeCell ref="A151:A162"/>
    <mergeCell ref="H151:H163"/>
    <mergeCell ref="A163:B163"/>
    <mergeCell ref="A125:A136"/>
    <mergeCell ref="H125:H137"/>
    <mergeCell ref="A190:A201"/>
    <mergeCell ref="H190:H202"/>
    <mergeCell ref="A202:B202"/>
    <mergeCell ref="A164:A175"/>
    <mergeCell ref="H164:H176"/>
    <mergeCell ref="A176:B176"/>
    <mergeCell ref="A177:A188"/>
    <mergeCell ref="H177:H189"/>
    <mergeCell ref="A189:B189"/>
    <mergeCell ref="A216:A227"/>
    <mergeCell ref="H216:H228"/>
    <mergeCell ref="A228:B228"/>
    <mergeCell ref="A203:A214"/>
    <mergeCell ref="H203:H215"/>
    <mergeCell ref="A215:B215"/>
  </mergeCells>
  <hyperlinks>
    <hyperlink ref="W34" r:id="rId1" xr:uid="{7CB3CBDC-E86F-4046-B47C-2CE70A62B08A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B392-BDE6-42AC-91FD-553DA0D6A4E0}">
  <dimension ref="A1:IM257"/>
  <sheetViews>
    <sheetView showGridLines="0" topLeftCell="AN7" zoomScale="80" zoomScaleNormal="80" workbookViewId="0">
      <selection activeCell="AP8" sqref="AP8"/>
    </sheetView>
  </sheetViews>
  <sheetFormatPr defaultColWidth="9.1328125" defaultRowHeight="13" outlineLevelCol="1"/>
  <cols>
    <col min="7" max="7" width="11" bestFit="1" customWidth="1"/>
    <col min="14" max="16" width="10.26953125" bestFit="1" customWidth="1"/>
    <col min="17" max="17" width="11.7265625" customWidth="1"/>
    <col min="19" max="19" width="12.54296875" customWidth="1"/>
    <col min="20" max="20" width="13" customWidth="1"/>
    <col min="33" max="33" width="15.86328125" customWidth="1" outlineLevel="1"/>
    <col min="34" max="53" width="9.1328125" outlineLevel="1"/>
    <col min="54" max="54" width="11.40625" bestFit="1" customWidth="1" outlineLevel="1"/>
    <col min="55" max="56" width="9.1328125" outlineLevel="1"/>
    <col min="57" max="57" width="11.40625" style="446" bestFit="1" customWidth="1" outlineLevel="1"/>
    <col min="58" max="58" width="9.1328125" outlineLevel="1"/>
    <col min="59" max="59" width="13" bestFit="1" customWidth="1" outlineLevel="1"/>
    <col min="60" max="60" width="9.1328125" style="446" outlineLevel="1"/>
    <col min="61" max="61" width="9.1328125" outlineLevel="1"/>
    <col min="62" max="68" width="9.1328125" style="446" outlineLevel="1"/>
    <col min="76" max="76" width="15.86328125" customWidth="1" outlineLevel="1"/>
    <col min="77" max="96" width="9.1328125" outlineLevel="1"/>
    <col min="97" max="97" width="10.1328125" bestFit="1" customWidth="1" outlineLevel="1"/>
    <col min="98" max="99" width="9.1328125" outlineLevel="1"/>
    <col min="100" max="100" width="10.86328125" style="446" customWidth="1" outlineLevel="1"/>
    <col min="101" max="102" width="9.1328125" outlineLevel="1"/>
    <col min="103" max="103" width="9.1328125" style="446" outlineLevel="1"/>
    <col min="104" max="104" width="9.1328125" outlineLevel="1"/>
    <col min="105" max="105" width="9.1328125" style="446" outlineLevel="1"/>
    <col min="107" max="107" width="14.40625" customWidth="1"/>
    <col min="113" max="113" width="21" customWidth="1" outlineLevel="1"/>
    <col min="114" max="117" width="9.1328125" customWidth="1" outlineLevel="1"/>
    <col min="118" max="118" width="11.7265625" customWidth="1" outlineLevel="1"/>
    <col min="119" max="119" width="15.86328125" customWidth="1" outlineLevel="1"/>
    <col min="120" max="142" width="9.1328125" customWidth="1" outlineLevel="1"/>
    <col min="143" max="143" width="10.86328125" style="446" customWidth="1" outlineLevel="1"/>
    <col min="144" max="145" width="9.1328125" customWidth="1" outlineLevel="1"/>
    <col min="146" max="146" width="9.1328125" style="446" customWidth="1" outlineLevel="1"/>
    <col min="147" max="147" width="9.1328125" customWidth="1" outlineLevel="1"/>
    <col min="148" max="148" width="9.1328125" style="446" customWidth="1" outlineLevel="1"/>
    <col min="150" max="150" width="14.40625" customWidth="1"/>
    <col min="155" max="155" width="13" hidden="1" customWidth="1" outlineLevel="1"/>
    <col min="156" max="156" width="13.26953125" hidden="1" customWidth="1" outlineLevel="1"/>
    <col min="157" max="157" width="12" hidden="1" customWidth="1" outlineLevel="1"/>
    <col min="158" max="158" width="11.7265625" hidden="1" customWidth="1" outlineLevel="1"/>
    <col min="159" max="159" width="12.1328125" hidden="1" customWidth="1" outlineLevel="1"/>
    <col min="160" max="160" width="14.26953125" hidden="1" customWidth="1" outlineLevel="1"/>
    <col min="161" max="161" width="9.1328125" hidden="1" customWidth="1" outlineLevel="1"/>
    <col min="162" max="162" width="11.1328125" hidden="1" customWidth="1" outlineLevel="1"/>
    <col min="163" max="190" width="9.1328125" hidden="1" customWidth="1" outlineLevel="1"/>
    <col min="191" max="191" width="9.1328125" collapsed="1"/>
    <col min="197" max="232" width="9.1328125" hidden="1" customWidth="1" outlineLevel="1"/>
    <col min="233" max="233" width="9.1328125" collapsed="1"/>
  </cols>
  <sheetData>
    <row r="1" spans="1:247" ht="14.25">
      <c r="A1" s="400"/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</row>
    <row r="2" spans="1:247" ht="14.25">
      <c r="A2" s="400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</row>
    <row r="3" spans="1:247" ht="14.25">
      <c r="A3" s="400"/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</row>
    <row r="4" spans="1:247" ht="17.5" thickBot="1">
      <c r="A4" s="984" t="s">
        <v>141</v>
      </c>
      <c r="B4" s="984"/>
      <c r="C4" s="984"/>
      <c r="D4" s="984"/>
      <c r="E4" s="984"/>
      <c r="F4" s="984"/>
      <c r="G4" s="984"/>
      <c r="H4" s="984"/>
      <c r="I4" s="984"/>
      <c r="J4" s="984"/>
      <c r="K4" s="984"/>
      <c r="L4" s="984"/>
      <c r="M4" s="984"/>
    </row>
    <row r="5" spans="1:247" ht="25.25">
      <c r="A5" s="985"/>
      <c r="B5" s="986"/>
      <c r="C5" s="991" t="s">
        <v>142</v>
      </c>
      <c r="D5" s="992"/>
      <c r="E5" s="992"/>
      <c r="F5" s="992"/>
      <c r="G5" s="992"/>
      <c r="H5" s="992"/>
      <c r="I5" s="992"/>
      <c r="J5" s="992"/>
      <c r="K5" s="992"/>
      <c r="L5" s="992"/>
      <c r="M5" s="993"/>
    </row>
    <row r="6" spans="1:247" ht="124.5" customHeight="1" thickBot="1">
      <c r="A6" s="987"/>
      <c r="B6" s="988"/>
      <c r="C6" s="323" t="s">
        <v>143</v>
      </c>
      <c r="D6" s="324" t="s">
        <v>144</v>
      </c>
      <c r="E6" s="325" t="s">
        <v>145</v>
      </c>
      <c r="F6" s="327" t="s">
        <v>146</v>
      </c>
      <c r="G6" s="994" t="s">
        <v>147</v>
      </c>
      <c r="H6" s="997" t="s">
        <v>148</v>
      </c>
      <c r="I6" s="998"/>
      <c r="J6" s="998"/>
      <c r="K6" s="998"/>
      <c r="L6" s="998"/>
      <c r="M6" s="999"/>
    </row>
    <row r="7" spans="1:247" ht="25.25">
      <c r="A7" s="989"/>
      <c r="B7" s="990"/>
      <c r="C7" s="329"/>
      <c r="D7" s="330"/>
      <c r="E7" s="331"/>
      <c r="F7" s="333" t="s">
        <v>149</v>
      </c>
      <c r="G7" s="995"/>
      <c r="H7" s="335"/>
      <c r="I7" s="336"/>
      <c r="J7" s="336"/>
      <c r="K7" s="336"/>
      <c r="L7" s="336"/>
      <c r="M7" s="537"/>
      <c r="AA7" s="846">
        <v>2022</v>
      </c>
      <c r="AB7" s="847" t="s">
        <v>10</v>
      </c>
      <c r="AC7" s="847" t="s">
        <v>150</v>
      </c>
      <c r="AD7" s="847" t="s">
        <v>151</v>
      </c>
      <c r="AE7" s="847" t="s">
        <v>152</v>
      </c>
      <c r="AF7" s="848" t="s">
        <v>153</v>
      </c>
      <c r="BG7" s="446"/>
      <c r="BL7" s="696">
        <v>2022</v>
      </c>
      <c r="BM7"/>
      <c r="BN7"/>
      <c r="BO7"/>
      <c r="BR7" s="785">
        <v>2021</v>
      </c>
      <c r="BS7" s="785" t="s">
        <v>10</v>
      </c>
      <c r="BT7" s="785" t="s">
        <v>150</v>
      </c>
      <c r="BU7" s="785" t="s">
        <v>151</v>
      </c>
      <c r="BV7" s="785" t="s">
        <v>152</v>
      </c>
      <c r="BW7" s="785" t="s">
        <v>153</v>
      </c>
      <c r="DC7" s="696">
        <v>2021</v>
      </c>
      <c r="DI7" s="674">
        <v>2020</v>
      </c>
      <c r="DJ7" s="675" t="s">
        <v>10</v>
      </c>
      <c r="DK7" s="675" t="s">
        <v>150</v>
      </c>
      <c r="DL7" s="675" t="s">
        <v>151</v>
      </c>
      <c r="DM7" s="675" t="s">
        <v>152</v>
      </c>
      <c r="DN7" s="676" t="s">
        <v>153</v>
      </c>
      <c r="ET7" s="696">
        <v>2020</v>
      </c>
      <c r="EY7" s="112">
        <v>2019</v>
      </c>
      <c r="EZ7" s="113" t="s">
        <v>10</v>
      </c>
      <c r="FA7" s="113" t="s">
        <v>150</v>
      </c>
      <c r="FB7" s="113" t="s">
        <v>151</v>
      </c>
      <c r="FC7" s="113" t="s">
        <v>152</v>
      </c>
      <c r="FD7" s="114" t="s">
        <v>153</v>
      </c>
      <c r="GJ7" s="696">
        <v>2019</v>
      </c>
      <c r="GO7" s="674">
        <v>2018</v>
      </c>
      <c r="GP7" s="675" t="s">
        <v>10</v>
      </c>
      <c r="GQ7" s="675" t="s">
        <v>150</v>
      </c>
      <c r="GR7" s="675" t="s">
        <v>151</v>
      </c>
      <c r="GS7" s="675" t="s">
        <v>152</v>
      </c>
      <c r="GT7" s="676" t="s">
        <v>153</v>
      </c>
      <c r="HZ7" s="696">
        <v>2018</v>
      </c>
      <c r="IE7" s="696">
        <v>2017</v>
      </c>
      <c r="IJ7" s="696">
        <v>2016</v>
      </c>
    </row>
    <row r="8" spans="1:247" ht="15" thickBot="1">
      <c r="A8" s="338" t="s">
        <v>155</v>
      </c>
      <c r="B8" s="339"/>
      <c r="C8" s="340">
        <v>1.01</v>
      </c>
      <c r="D8" s="341">
        <v>1.66</v>
      </c>
      <c r="E8" s="342">
        <v>0.6</v>
      </c>
      <c r="F8" s="343">
        <v>3.27</v>
      </c>
      <c r="G8" s="996"/>
      <c r="H8" s="344"/>
      <c r="I8" s="1000" t="s">
        <v>156</v>
      </c>
      <c r="J8" s="1001"/>
      <c r="K8" s="1001"/>
      <c r="L8" s="1002" t="s">
        <v>157</v>
      </c>
      <c r="M8" s="1003"/>
      <c r="AA8" s="960" t="s">
        <v>158</v>
      </c>
      <c r="AB8" s="961"/>
      <c r="AC8" s="961"/>
      <c r="AD8" s="961"/>
      <c r="AE8" s="961"/>
      <c r="AF8" s="962"/>
      <c r="AL8" s="160"/>
      <c r="AY8" t="s">
        <v>159</v>
      </c>
      <c r="BC8">
        <v>28</v>
      </c>
      <c r="BD8">
        <v>265</v>
      </c>
      <c r="BI8" t="s">
        <v>472</v>
      </c>
      <c r="BL8"/>
      <c r="BM8"/>
      <c r="BN8"/>
      <c r="BO8"/>
      <c r="BR8" s="1013" t="s">
        <v>158</v>
      </c>
      <c r="BS8" s="1013"/>
      <c r="BT8" s="1013"/>
      <c r="BU8" s="1013"/>
      <c r="BV8" s="1013"/>
      <c r="BW8" s="1013"/>
      <c r="CC8" s="160"/>
      <c r="CP8" t="s">
        <v>159</v>
      </c>
      <c r="CT8">
        <v>28</v>
      </c>
      <c r="CU8">
        <v>265</v>
      </c>
      <c r="CZ8" t="s">
        <v>472</v>
      </c>
      <c r="DI8" s="687" t="s">
        <v>158</v>
      </c>
      <c r="DJ8" s="688"/>
      <c r="DK8" s="688"/>
      <c r="DL8" s="688"/>
      <c r="DM8" s="688"/>
      <c r="DN8" s="689"/>
      <c r="DT8" s="160"/>
      <c r="EG8" t="s">
        <v>159</v>
      </c>
      <c r="EK8">
        <v>28</v>
      </c>
      <c r="EL8">
        <v>265</v>
      </c>
      <c r="EQ8" t="s">
        <v>472</v>
      </c>
      <c r="EY8" s="949" t="s">
        <v>158</v>
      </c>
      <c r="EZ8" s="950"/>
      <c r="FA8" s="950"/>
      <c r="FB8" s="950"/>
      <c r="FC8" s="950"/>
      <c r="FD8" s="951"/>
      <c r="FJ8" s="160"/>
      <c r="FW8" t="s">
        <v>159</v>
      </c>
      <c r="GA8">
        <v>28</v>
      </c>
      <c r="GB8">
        <v>265</v>
      </c>
      <c r="GC8" s="446"/>
      <c r="GF8" s="446"/>
      <c r="GG8" t="s">
        <v>472</v>
      </c>
      <c r="GH8" s="446"/>
      <c r="GO8" s="1004" t="s">
        <v>158</v>
      </c>
      <c r="GP8" s="1005"/>
      <c r="GQ8" s="1005"/>
      <c r="GR8" s="1005"/>
      <c r="GS8" s="1005"/>
      <c r="GT8" s="1006"/>
      <c r="GZ8" s="160"/>
      <c r="HM8" t="s">
        <v>159</v>
      </c>
      <c r="HQ8">
        <v>28</v>
      </c>
      <c r="HR8">
        <v>265</v>
      </c>
      <c r="HS8" s="446"/>
      <c r="HV8" s="446"/>
      <c r="HW8" t="s">
        <v>472</v>
      </c>
      <c r="HX8" s="446"/>
    </row>
    <row r="9" spans="1:247" ht="39" customHeight="1" thickBot="1">
      <c r="A9" s="1025" t="s">
        <v>160</v>
      </c>
      <c r="B9" s="1026"/>
      <c r="C9" s="347" t="s">
        <v>161</v>
      </c>
      <c r="D9" s="348" t="s">
        <v>162</v>
      </c>
      <c r="E9" s="349" t="s">
        <v>163</v>
      </c>
      <c r="F9" s="404"/>
      <c r="G9" s="350" t="s">
        <v>164</v>
      </c>
      <c r="H9" s="351"/>
      <c r="I9" s="1027" t="s">
        <v>165</v>
      </c>
      <c r="J9" s="1028"/>
      <c r="K9" s="1028"/>
      <c r="L9" s="1029" t="s">
        <v>166</v>
      </c>
      <c r="M9" s="1030"/>
      <c r="AA9" s="842" t="s">
        <v>169</v>
      </c>
      <c r="AB9" s="840">
        <v>145524</v>
      </c>
      <c r="AC9" s="840">
        <v>81692</v>
      </c>
      <c r="AD9" s="841">
        <v>0.56000000000000005</v>
      </c>
      <c r="AE9" s="842">
        <v>33.11</v>
      </c>
      <c r="AF9" s="849">
        <v>12087</v>
      </c>
      <c r="AH9" s="133">
        <f>AB9/AB30</f>
        <v>0.50608242044861762</v>
      </c>
      <c r="AI9" s="133">
        <f>AC9/AC30</f>
        <v>0.55218563906369345</v>
      </c>
      <c r="AK9" s="31">
        <f>AF9*AB9/1000000</f>
        <v>1758.948588</v>
      </c>
      <c r="AL9" s="133">
        <f>AK9/$AK$36</f>
        <v>0.35799060912019864</v>
      </c>
      <c r="AR9" t="s">
        <v>170</v>
      </c>
      <c r="AS9" t="s">
        <v>171</v>
      </c>
      <c r="AT9" t="s">
        <v>172</v>
      </c>
      <c r="AU9" t="s">
        <v>173</v>
      </c>
      <c r="AV9" t="s">
        <v>174</v>
      </c>
      <c r="AW9" t="s">
        <v>175</v>
      </c>
      <c r="AX9" t="s">
        <v>176</v>
      </c>
      <c r="AY9" t="s">
        <v>177</v>
      </c>
      <c r="AZ9" t="s">
        <v>178</v>
      </c>
      <c r="BA9" t="s">
        <v>179</v>
      </c>
      <c r="BB9" t="s">
        <v>176</v>
      </c>
      <c r="BC9" t="s">
        <v>177</v>
      </c>
      <c r="BD9" t="s">
        <v>178</v>
      </c>
      <c r="BF9" t="s">
        <v>180</v>
      </c>
      <c r="BG9" t="s">
        <v>181</v>
      </c>
      <c r="BH9" s="446" t="s">
        <v>182</v>
      </c>
      <c r="BI9" t="s">
        <v>473</v>
      </c>
      <c r="BJ9" s="446" t="s">
        <v>23</v>
      </c>
      <c r="BL9" s="446" t="s">
        <v>487</v>
      </c>
      <c r="BM9" s="31">
        <f>IF($O$15=2012,VLOOKUP(BL7,$O$18:$R$28,4),VLOOKUP(BL7,$O$18:$X$28,10))</f>
        <v>1349.3833581073591</v>
      </c>
      <c r="BN9" s="25" t="s">
        <v>488</v>
      </c>
      <c r="BO9"/>
      <c r="BR9" s="779" t="s">
        <v>169</v>
      </c>
      <c r="BS9" s="780">
        <v>149903</v>
      </c>
      <c r="BT9" s="780">
        <v>82425</v>
      </c>
      <c r="BU9" s="781">
        <v>0.55000000000000004</v>
      </c>
      <c r="BV9" s="779">
        <v>30.19</v>
      </c>
      <c r="BW9" s="780">
        <v>11020</v>
      </c>
      <c r="BY9" s="133">
        <f>BS9/BS30</f>
        <v>0.54458891444058144</v>
      </c>
      <c r="BZ9" s="133">
        <f>BT9/BT30</f>
        <v>0.57982483908409832</v>
      </c>
      <c r="CB9" s="31">
        <f>BW9*BS9/1000000</f>
        <v>1651.9310599999999</v>
      </c>
      <c r="CC9" s="133">
        <f t="shared" ref="CC9:CC35" si="0">CB9/$DS$36</f>
        <v>0.39640245859007239</v>
      </c>
      <c r="CI9" t="s">
        <v>170</v>
      </c>
      <c r="CJ9" t="s">
        <v>171</v>
      </c>
      <c r="CK9" t="s">
        <v>172</v>
      </c>
      <c r="CL9" t="s">
        <v>173</v>
      </c>
      <c r="CM9" t="s">
        <v>174</v>
      </c>
      <c r="CN9" t="s">
        <v>175</v>
      </c>
      <c r="CO9" t="s">
        <v>176</v>
      </c>
      <c r="CP9" t="s">
        <v>177</v>
      </c>
      <c r="CQ9" t="s">
        <v>178</v>
      </c>
      <c r="CR9" t="s">
        <v>179</v>
      </c>
      <c r="CS9" t="s">
        <v>176</v>
      </c>
      <c r="CT9" t="s">
        <v>177</v>
      </c>
      <c r="CU9" t="s">
        <v>178</v>
      </c>
      <c r="CW9" t="s">
        <v>180</v>
      </c>
      <c r="CX9" t="s">
        <v>181</v>
      </c>
      <c r="CY9" s="446" t="s">
        <v>182</v>
      </c>
      <c r="CZ9" t="s">
        <v>473</v>
      </c>
      <c r="DA9" s="446" t="s">
        <v>23</v>
      </c>
      <c r="DC9" s="446" t="s">
        <v>487</v>
      </c>
      <c r="DD9" s="31">
        <f>IF($O$15=2012,VLOOKUP(DC7,$O$18:$R$27,4),VLOOKUP(DC7,$O$18:$X$27,10))</f>
        <v>1328.56045199959</v>
      </c>
      <c r="DE9" s="25" t="s">
        <v>488</v>
      </c>
      <c r="DI9" s="677" t="s">
        <v>169</v>
      </c>
      <c r="DJ9" s="668">
        <v>156335</v>
      </c>
      <c r="DK9" s="668">
        <v>82309</v>
      </c>
      <c r="DL9" s="669">
        <v>0.53</v>
      </c>
      <c r="DM9" s="670">
        <v>30.22</v>
      </c>
      <c r="DN9" s="678">
        <v>11029</v>
      </c>
      <c r="DP9" s="133">
        <f>DJ9/DJ30</f>
        <v>0.57984533501474322</v>
      </c>
      <c r="DQ9" s="133">
        <f>DK9/DK30</f>
        <v>0.62281226117420951</v>
      </c>
      <c r="DS9" s="31">
        <f>DN9*DJ9/1000000</f>
        <v>1724.218715</v>
      </c>
      <c r="DT9" s="133">
        <f t="shared" ref="DT9:DT35" si="1">DS9/$DS$36</f>
        <v>0.41374882664474832</v>
      </c>
      <c r="DZ9" t="s">
        <v>170</v>
      </c>
      <c r="EA9" t="s">
        <v>171</v>
      </c>
      <c r="EB9" t="s">
        <v>172</v>
      </c>
      <c r="EC9" t="s">
        <v>173</v>
      </c>
      <c r="ED9" t="s">
        <v>174</v>
      </c>
      <c r="EE9" t="s">
        <v>175</v>
      </c>
      <c r="EF9" t="s">
        <v>176</v>
      </c>
      <c r="EG9" t="s">
        <v>177</v>
      </c>
      <c r="EH9" t="s">
        <v>178</v>
      </c>
      <c r="EI9" t="s">
        <v>179</v>
      </c>
      <c r="EJ9" t="s">
        <v>176</v>
      </c>
      <c r="EK9" t="s">
        <v>177</v>
      </c>
      <c r="EL9" t="s">
        <v>178</v>
      </c>
      <c r="EN9" t="s">
        <v>180</v>
      </c>
      <c r="EO9" t="s">
        <v>181</v>
      </c>
      <c r="EP9" s="446" t="s">
        <v>182</v>
      </c>
      <c r="EQ9" t="s">
        <v>473</v>
      </c>
      <c r="ER9" s="446" t="s">
        <v>23</v>
      </c>
      <c r="ET9" s="446" t="s">
        <v>487</v>
      </c>
      <c r="EU9" s="31">
        <f>IF($O$15=2012,VLOOKUP(ET7,$O$18:$R$26,4),VLOOKUP(ET7,$O$18:$X$26,10))</f>
        <v>1214.7848904384769</v>
      </c>
      <c r="EV9" s="25" t="s">
        <v>488</v>
      </c>
      <c r="EY9" s="128" t="s">
        <v>169</v>
      </c>
      <c r="EZ9" s="129">
        <v>163424</v>
      </c>
      <c r="FA9" s="129">
        <v>84654</v>
      </c>
      <c r="FB9" s="130">
        <v>0.52</v>
      </c>
      <c r="FC9" s="131">
        <v>30.85</v>
      </c>
      <c r="FD9" s="132">
        <v>11261</v>
      </c>
      <c r="FF9" s="133">
        <f>EZ9/EZ23</f>
        <v>0.60566663578245161</v>
      </c>
      <c r="FG9" s="133">
        <f>FA9/FA23</f>
        <v>0.67010211351222992</v>
      </c>
      <c r="FI9" s="31">
        <f t="shared" ref="FI9:FI22" si="2">FD9*EZ9/1000000</f>
        <v>1840.3176639999999</v>
      </c>
      <c r="FJ9" s="133">
        <f>FI9/$FI$36</f>
        <v>0.43324749774321492</v>
      </c>
      <c r="FP9" t="s">
        <v>170</v>
      </c>
      <c r="FQ9" t="s">
        <v>171</v>
      </c>
      <c r="FR9" t="s">
        <v>172</v>
      </c>
      <c r="FS9" t="s">
        <v>173</v>
      </c>
      <c r="FT9" t="s">
        <v>174</v>
      </c>
      <c r="FU9" t="s">
        <v>175</v>
      </c>
      <c r="FV9" t="s">
        <v>176</v>
      </c>
      <c r="FW9" t="s">
        <v>177</v>
      </c>
      <c r="FX9" t="s">
        <v>178</v>
      </c>
      <c r="FY9" t="s">
        <v>179</v>
      </c>
      <c r="FZ9" t="s">
        <v>176</v>
      </c>
      <c r="GA9" t="s">
        <v>177</v>
      </c>
      <c r="GB9" t="s">
        <v>178</v>
      </c>
      <c r="GC9" s="446"/>
      <c r="GD9" t="s">
        <v>180</v>
      </c>
      <c r="GE9" t="s">
        <v>181</v>
      </c>
      <c r="GF9" s="446" t="s">
        <v>182</v>
      </c>
      <c r="GG9" t="s">
        <v>473</v>
      </c>
      <c r="GH9" s="446" t="s">
        <v>23</v>
      </c>
      <c r="GJ9" s="446" t="s">
        <v>487</v>
      </c>
      <c r="GK9" s="96">
        <f>X25</f>
        <v>1352.8759503865979</v>
      </c>
      <c r="GL9" s="25" t="s">
        <v>488</v>
      </c>
      <c r="GO9" s="677" t="s">
        <v>169</v>
      </c>
      <c r="GP9" s="668">
        <v>167978</v>
      </c>
      <c r="GQ9" s="668">
        <v>97278</v>
      </c>
      <c r="GR9" s="669">
        <v>0.54</v>
      </c>
      <c r="GS9" s="670">
        <v>31.07</v>
      </c>
      <c r="GT9" s="678">
        <v>11339</v>
      </c>
      <c r="GV9" s="133">
        <f>GP9/GP23</f>
        <v>0.62822991738442613</v>
      </c>
      <c r="GW9" s="133">
        <f>GQ9/GQ23</f>
        <v>0.74363600226275473</v>
      </c>
      <c r="GY9" s="31">
        <f t="shared" ref="GY9:GY22" si="3">GT9*GP9/1000000</f>
        <v>1904.702542</v>
      </c>
      <c r="GZ9" s="133">
        <f>GY9/$FI$36</f>
        <v>0.44840498268816309</v>
      </c>
      <c r="HF9" t="s">
        <v>170</v>
      </c>
      <c r="HG9" t="s">
        <v>171</v>
      </c>
      <c r="HH9" t="s">
        <v>172</v>
      </c>
      <c r="HI9" t="s">
        <v>173</v>
      </c>
      <c r="HJ9" t="s">
        <v>174</v>
      </c>
      <c r="HK9" t="s">
        <v>175</v>
      </c>
      <c r="HL9" t="s">
        <v>176</v>
      </c>
      <c r="HM9" t="s">
        <v>177</v>
      </c>
      <c r="HN9" t="s">
        <v>178</v>
      </c>
      <c r="HO9" t="s">
        <v>179</v>
      </c>
      <c r="HP9" t="s">
        <v>176</v>
      </c>
      <c r="HQ9" t="s">
        <v>177</v>
      </c>
      <c r="HR9" t="s">
        <v>178</v>
      </c>
      <c r="HS9" s="446"/>
      <c r="HT9" t="s">
        <v>180</v>
      </c>
      <c r="HU9" t="s">
        <v>181</v>
      </c>
      <c r="HV9" s="446" t="s">
        <v>182</v>
      </c>
      <c r="HW9" t="s">
        <v>473</v>
      </c>
      <c r="HX9" s="446" t="s">
        <v>23</v>
      </c>
      <c r="HZ9" s="446" t="s">
        <v>487</v>
      </c>
      <c r="IA9" s="96">
        <f>X24</f>
        <v>1338.0409232983668</v>
      </c>
      <c r="IB9" s="25" t="s">
        <v>488</v>
      </c>
      <c r="IE9" s="446" t="s">
        <v>487</v>
      </c>
      <c r="IF9" s="31">
        <f>IA9/(1+P24)</f>
        <v>1301.5424339599781</v>
      </c>
      <c r="IG9" s="25" t="s">
        <v>488</v>
      </c>
      <c r="IJ9" s="446" t="s">
        <v>487</v>
      </c>
      <c r="IK9" s="31">
        <f>IF9/(1+P23)</f>
        <v>1205.1014318343243</v>
      </c>
      <c r="IL9" s="25" t="s">
        <v>488</v>
      </c>
    </row>
    <row r="10" spans="1:247" ht="39" customHeight="1" thickBot="1">
      <c r="A10" s="352"/>
      <c r="B10" s="353" t="s">
        <v>183</v>
      </c>
      <c r="C10" s="1031" t="s">
        <v>184</v>
      </c>
      <c r="D10" s="1032"/>
      <c r="E10" s="1032"/>
      <c r="F10" s="354" t="s">
        <v>185</v>
      </c>
      <c r="G10" s="355" t="s">
        <v>186</v>
      </c>
      <c r="H10" s="357"/>
      <c r="I10" s="539" t="s">
        <v>161</v>
      </c>
      <c r="J10" s="540" t="s">
        <v>162</v>
      </c>
      <c r="K10" s="541" t="s">
        <v>163</v>
      </c>
      <c r="L10" s="542" t="s">
        <v>187</v>
      </c>
      <c r="M10" s="543" t="s">
        <v>188</v>
      </c>
      <c r="P10" s="25" t="s">
        <v>477</v>
      </c>
      <c r="Q10" s="25" t="s">
        <v>478</v>
      </c>
      <c r="AA10" s="843" t="s">
        <v>190</v>
      </c>
      <c r="AB10" s="843">
        <v>117</v>
      </c>
      <c r="AC10" s="843">
        <v>50</v>
      </c>
      <c r="AD10" s="844">
        <v>0.43</v>
      </c>
      <c r="AE10" s="843">
        <v>12.52</v>
      </c>
      <c r="AF10" s="850">
        <v>4571</v>
      </c>
      <c r="AH10" s="133">
        <f t="shared" ref="AH10:AH14" si="4">AB10/AB31</f>
        <v>8.9108910891089105E-2</v>
      </c>
      <c r="AI10" s="133">
        <f t="shared" ref="AI10:AI14" si="5">AC10/AC31</f>
        <v>6.7204301075268813E-2</v>
      </c>
      <c r="AK10" s="31">
        <f>AF10*AB10/1000000</f>
        <v>0.53480700000000003</v>
      </c>
      <c r="AL10" s="133">
        <f t="shared" ref="AL10:AL35" si="6">AK10/$AK$36</f>
        <v>1.08846776419679E-4</v>
      </c>
      <c r="BE10" s="884"/>
      <c r="BL10"/>
      <c r="BM10"/>
      <c r="BN10"/>
      <c r="BO10"/>
      <c r="BR10" s="782" t="s">
        <v>190</v>
      </c>
      <c r="BS10" s="782">
        <v>117</v>
      </c>
      <c r="BT10" s="782">
        <v>50</v>
      </c>
      <c r="BU10" s="783">
        <v>0.43</v>
      </c>
      <c r="BV10" s="782">
        <v>23.12</v>
      </c>
      <c r="BW10" s="784">
        <v>8440</v>
      </c>
      <c r="BY10" s="133">
        <f t="shared" ref="BY10:BY14" si="7">BS10/BS31</f>
        <v>8.6092715231788075E-2</v>
      </c>
      <c r="BZ10" s="133">
        <f t="shared" ref="BZ10:BZ14" si="8">BT10/BT31</f>
        <v>7.3855243722304287E-2</v>
      </c>
      <c r="CB10" s="31">
        <f>BW10*BS10/1000000</f>
        <v>0.98748000000000002</v>
      </c>
      <c r="CC10" s="133">
        <f t="shared" si="0"/>
        <v>2.3695873834379304E-4</v>
      </c>
      <c r="DI10" s="679" t="s">
        <v>190</v>
      </c>
      <c r="DJ10" s="671">
        <v>95</v>
      </c>
      <c r="DK10" s="671">
        <v>49</v>
      </c>
      <c r="DL10" s="672">
        <v>0.52</v>
      </c>
      <c r="DM10" s="671">
        <v>17.82</v>
      </c>
      <c r="DN10" s="680">
        <v>6503</v>
      </c>
      <c r="DP10" s="133">
        <f t="shared" ref="DP10:DP14" si="9">DJ10/DJ31</f>
        <v>7.0058997050147495E-2</v>
      </c>
      <c r="DQ10" s="133">
        <f t="shared" ref="DQ10:DQ14" si="10">DK10/DK31</f>
        <v>8.0592105263157895E-2</v>
      </c>
      <c r="DS10" s="31">
        <f>DN10*DJ10/1000000</f>
        <v>0.61778500000000003</v>
      </c>
      <c r="DT10" s="133">
        <f t="shared" si="1"/>
        <v>1.4824558894126482E-4</v>
      </c>
      <c r="EY10" s="146" t="s">
        <v>190</v>
      </c>
      <c r="EZ10" s="147">
        <v>95</v>
      </c>
      <c r="FA10" s="147">
        <v>65</v>
      </c>
      <c r="FB10" s="148">
        <v>0.68</v>
      </c>
      <c r="FC10" s="147">
        <v>24.99</v>
      </c>
      <c r="FD10" s="149">
        <v>9123</v>
      </c>
      <c r="FF10" s="133">
        <f t="shared" ref="FF10:FG14" si="11">EZ10/EZ24</f>
        <v>6.8542568542568544E-2</v>
      </c>
      <c r="FG10" s="133">
        <f t="shared" si="11"/>
        <v>8.5638998682476944E-2</v>
      </c>
      <c r="FI10" s="31">
        <f t="shared" si="2"/>
        <v>0.86668500000000004</v>
      </c>
      <c r="FJ10" s="133">
        <f t="shared" ref="FJ10:FJ34" si="12">FI10/$FI$36</f>
        <v>2.0403494186185144E-4</v>
      </c>
      <c r="GC10" s="446"/>
      <c r="GF10" s="446"/>
      <c r="GH10" s="446"/>
      <c r="GO10" s="679" t="s">
        <v>190</v>
      </c>
      <c r="GP10" s="671">
        <v>98</v>
      </c>
      <c r="GQ10" s="671">
        <v>67</v>
      </c>
      <c r="GR10" s="672">
        <v>0.68</v>
      </c>
      <c r="GS10" s="671">
        <v>19.28</v>
      </c>
      <c r="GT10" s="680">
        <v>7037</v>
      </c>
      <c r="GV10" s="133">
        <f t="shared" ref="GV10:GV14" si="13">GP10/GP24</f>
        <v>6.7679558011049717E-2</v>
      </c>
      <c r="GW10" s="133">
        <f t="shared" ref="GW10:GW14" si="14">GQ10/GQ24</f>
        <v>8.6451612903225811E-2</v>
      </c>
      <c r="GY10" s="31">
        <f t="shared" si="3"/>
        <v>0.68962599999999996</v>
      </c>
      <c r="GZ10" s="133">
        <f t="shared" ref="GZ10:GZ34" si="15">GY10/$FI$36</f>
        <v>1.6235172042486156E-4</v>
      </c>
      <c r="HS10" s="446"/>
      <c r="HV10" s="446"/>
      <c r="HX10" s="446"/>
    </row>
    <row r="11" spans="1:247" ht="16.5" customHeight="1" thickBot="1">
      <c r="A11" s="976">
        <v>2005</v>
      </c>
      <c r="B11" s="358" t="s">
        <v>191</v>
      </c>
      <c r="C11" s="359">
        <v>36964</v>
      </c>
      <c r="D11" s="360">
        <v>35212</v>
      </c>
      <c r="E11" s="361">
        <v>32382</v>
      </c>
      <c r="F11" s="362">
        <v>104558</v>
      </c>
      <c r="G11" s="406">
        <v>104558</v>
      </c>
      <c r="H11" s="363"/>
      <c r="I11" s="364"/>
      <c r="J11" s="364"/>
      <c r="K11" s="364"/>
      <c r="L11" s="365"/>
      <c r="M11" s="544"/>
      <c r="O11" s="25" t="s">
        <v>158</v>
      </c>
      <c r="P11">
        <v>0.75</v>
      </c>
      <c r="Q11">
        <v>44.3</v>
      </c>
      <c r="AA11" s="842" t="s">
        <v>193</v>
      </c>
      <c r="AB11" s="842">
        <v>4</v>
      </c>
      <c r="AC11" s="842">
        <v>3</v>
      </c>
      <c r="AD11" s="841">
        <v>0.75</v>
      </c>
      <c r="AE11" s="856">
        <v>18.41</v>
      </c>
      <c r="AF11" s="857">
        <v>6721</v>
      </c>
      <c r="AH11" s="133">
        <f t="shared" si="4"/>
        <v>2.1645021645021645E-3</v>
      </c>
      <c r="AI11" s="133">
        <f t="shared" si="5"/>
        <v>2.9644268774703555E-3</v>
      </c>
      <c r="AK11" s="31">
        <f>AF11*AB11/1000000</f>
        <v>2.6884000000000002E-2</v>
      </c>
      <c r="AL11" s="133">
        <f t="shared" si="6"/>
        <v>5.4715752360508565E-6</v>
      </c>
      <c r="AN11" t="s">
        <v>194</v>
      </c>
      <c r="AO11" t="s">
        <v>158</v>
      </c>
      <c r="AP11" s="160">
        <f>AL9</f>
        <v>0.35799060912019864</v>
      </c>
      <c r="AQ11" s="31">
        <f>AP11*$BM$9</f>
        <v>483.06657030551258</v>
      </c>
      <c r="AR11">
        <v>8</v>
      </c>
      <c r="AS11">
        <f>AR11/100</f>
        <v>0.08</v>
      </c>
      <c r="AT11">
        <v>0.75</v>
      </c>
      <c r="AU11">
        <f>AT11*AS11</f>
        <v>0.06</v>
      </c>
      <c r="AV11">
        <v>44.3</v>
      </c>
      <c r="AW11">
        <f>AV11*AU11</f>
        <v>2.6579999999999999</v>
      </c>
      <c r="AX11">
        <v>70.9769741921898</v>
      </c>
      <c r="AY11">
        <v>7.3169105356480999E-3</v>
      </c>
      <c r="AZ11">
        <v>6.0998104818480998E-4</v>
      </c>
      <c r="BA11" s="31">
        <f>AW11*AQ11</f>
        <v>1283.9909438720524</v>
      </c>
      <c r="BB11" s="31">
        <f>$BA11*AX11</f>
        <v>91133.792086212081</v>
      </c>
      <c r="BC11" s="31">
        <f>$BA11*AY11</f>
        <v>9.3948468648941681</v>
      </c>
      <c r="BD11" s="31">
        <f>$BA11*AZ11</f>
        <v>0.78321014180287807</v>
      </c>
      <c r="BE11" s="697">
        <f>BB11+BC11*$BC$8+BD11*$BD$8</f>
        <v>91604.398486006889</v>
      </c>
      <c r="BF11">
        <v>2.34</v>
      </c>
      <c r="BG11">
        <f>BF11*AS11*AQ11*1000000</f>
        <v>90430061.961191952</v>
      </c>
      <c r="BH11" s="446">
        <f>BG11/1000</f>
        <v>90430.061961191954</v>
      </c>
      <c r="BI11">
        <v>211</v>
      </c>
      <c r="BJ11" s="446">
        <f>BI11/10^6*AQ11*10^6</f>
        <v>101927.04633446316</v>
      </c>
      <c r="BL11"/>
      <c r="BM11" s="25" t="s">
        <v>474</v>
      </c>
      <c r="BN11" s="25" t="s">
        <v>475</v>
      </c>
      <c r="BO11" s="25" t="s">
        <v>476</v>
      </c>
      <c r="BR11" s="779" t="s">
        <v>193</v>
      </c>
      <c r="BS11" s="779">
        <v>5</v>
      </c>
      <c r="BT11" s="779">
        <v>5</v>
      </c>
      <c r="BU11" s="781">
        <v>1</v>
      </c>
      <c r="BV11" s="779">
        <v>18.41</v>
      </c>
      <c r="BW11" s="780">
        <v>6721</v>
      </c>
      <c r="BY11" s="133">
        <f t="shared" si="7"/>
        <v>2.8216704288939053E-3</v>
      </c>
      <c r="BZ11" s="133">
        <f t="shared" si="8"/>
        <v>5.6947608200455585E-3</v>
      </c>
      <c r="CB11" s="31">
        <f>BW11*BS11/1000000</f>
        <v>3.3605000000000003E-2</v>
      </c>
      <c r="CC11" s="133">
        <f t="shared" si="0"/>
        <v>8.0639591708623635E-6</v>
      </c>
      <c r="CE11" t="s">
        <v>194</v>
      </c>
      <c r="CF11" t="s">
        <v>158</v>
      </c>
      <c r="CG11" s="160">
        <f>CC9</f>
        <v>0.39640245859007239</v>
      </c>
      <c r="CH11" s="31">
        <f>CG11*$DD$9</f>
        <v>526.64462955817532</v>
      </c>
      <c r="CI11">
        <v>8</v>
      </c>
      <c r="CJ11">
        <f>CI11/100</f>
        <v>0.08</v>
      </c>
      <c r="CK11">
        <v>0.75</v>
      </c>
      <c r="CL11">
        <f>CK11*CJ11</f>
        <v>0.06</v>
      </c>
      <c r="CM11">
        <v>44.3</v>
      </c>
      <c r="CN11">
        <f>CM11*CL11</f>
        <v>2.6579999999999999</v>
      </c>
      <c r="CO11">
        <v>70.9769741921898</v>
      </c>
      <c r="CP11">
        <v>7.3169105356480999E-3</v>
      </c>
      <c r="CQ11">
        <v>6.0998104818480998E-4</v>
      </c>
      <c r="CR11" s="31">
        <f t="shared" ref="CR11:CR28" si="16">CN11*CH11</f>
        <v>1399.8214253656299</v>
      </c>
      <c r="CS11" s="31">
        <f t="shared" ref="CS11:CS28" si="17">$CR11*CO11</f>
        <v>99355.08918185065</v>
      </c>
      <c r="CT11" s="31">
        <f t="shared" ref="CT11:CT28" si="18">$CR11*CP11</f>
        <v>10.242368135283717</v>
      </c>
      <c r="CU11" s="31">
        <f t="shared" ref="CU11:CU28" si="19">$CR11*CQ11</f>
        <v>0.85386454031608172</v>
      </c>
      <c r="CV11" s="697">
        <f t="shared" ref="CV11:CV28" si="20">CS11+CT11*$CT$8+CU11*$CU$8</f>
        <v>99868.149592822359</v>
      </c>
      <c r="CW11">
        <v>2.34</v>
      </c>
      <c r="CX11">
        <f t="shared" ref="CX11:CX28" si="21">CW11*CJ11*CH11*1000000</f>
        <v>98587874.653290421</v>
      </c>
      <c r="CY11" s="446">
        <f>CX11/1000</f>
        <v>98587.874653290419</v>
      </c>
      <c r="CZ11">
        <v>211</v>
      </c>
      <c r="DA11" s="446">
        <f t="shared" ref="DA11:DA28" si="22">CZ11/10^6*CH11*10^6</f>
        <v>111122.016836775</v>
      </c>
      <c r="DD11" s="25" t="s">
        <v>474</v>
      </c>
      <c r="DE11" s="25" t="s">
        <v>475</v>
      </c>
      <c r="DF11" s="25" t="s">
        <v>476</v>
      </c>
      <c r="DI11" s="677" t="s">
        <v>193</v>
      </c>
      <c r="DJ11" s="670">
        <v>6</v>
      </c>
      <c r="DK11" s="670">
        <v>5</v>
      </c>
      <c r="DL11" s="669">
        <v>0.83</v>
      </c>
      <c r="DM11" s="670">
        <v>23.05</v>
      </c>
      <c r="DN11" s="678">
        <v>8412</v>
      </c>
      <c r="DP11" s="133">
        <f t="shared" si="9"/>
        <v>3.4305317324185248E-3</v>
      </c>
      <c r="DQ11" s="133">
        <f t="shared" si="10"/>
        <v>6.2893081761006293E-3</v>
      </c>
      <c r="DS11" s="31">
        <f>DN11*DJ11/1000000</f>
        <v>5.0472000000000003E-2</v>
      </c>
      <c r="DT11" s="133">
        <f t="shared" si="1"/>
        <v>1.2111416374699157E-5</v>
      </c>
      <c r="DV11" t="s">
        <v>194</v>
      </c>
      <c r="DW11" t="s">
        <v>158</v>
      </c>
      <c r="DX11" s="160">
        <f>DT9</f>
        <v>0.41374882664474832</v>
      </c>
      <c r="DY11" s="31">
        <f t="shared" ref="DY11:DY28" si="23">DX11*$EU$9</f>
        <v>502.61582304468897</v>
      </c>
      <c r="DZ11">
        <v>8</v>
      </c>
      <c r="EA11">
        <f>DZ11/100</f>
        <v>0.08</v>
      </c>
      <c r="EB11">
        <v>0.75</v>
      </c>
      <c r="EC11">
        <f>EB11*EA11</f>
        <v>0.06</v>
      </c>
      <c r="ED11">
        <v>44.3</v>
      </c>
      <c r="EE11">
        <f>ED11*EC11</f>
        <v>2.6579999999999999</v>
      </c>
      <c r="EF11">
        <v>72.416541095973002</v>
      </c>
      <c r="EG11">
        <f>7.87852632644844/1000</f>
        <v>7.8785263264484397E-3</v>
      </c>
      <c r="EH11">
        <f>0.93521034397128/1000</f>
        <v>9.3521034397127997E-4</v>
      </c>
      <c r="EI11" s="31">
        <f t="shared" ref="EI11:EI28" si="24">EE11*DY11</f>
        <v>1335.9528576527832</v>
      </c>
      <c r="EJ11" s="31">
        <f t="shared" ref="EJ11:EJ28" si="25">$EI11*EF11</f>
        <v>96745.085018495345</v>
      </c>
      <c r="EK11" s="31">
        <f t="shared" ref="EK11:EK28" si="26">$EI11*EG11</f>
        <v>10.525339759911478</v>
      </c>
      <c r="EL11" s="31">
        <f t="shared" ref="EL11:EL28" si="27">$EI11*EH11</f>
        <v>1.2493969315348739</v>
      </c>
      <c r="EM11" s="697">
        <f>EJ11+EK11*$EK$8+EL11*$EL$8</f>
        <v>97370.884718629619</v>
      </c>
      <c r="EN11">
        <v>2.34</v>
      </c>
      <c r="EO11">
        <f t="shared" ref="EO11:EO28" si="28">EN11*EA11*DY11*1000000</f>
        <v>94089682.073965773</v>
      </c>
      <c r="EP11" s="446">
        <f>EO11/1000</f>
        <v>94089.682073965771</v>
      </c>
      <c r="EQ11">
        <v>211</v>
      </c>
      <c r="ER11" s="446">
        <f t="shared" ref="ER11:ER28" si="29">EQ11/10^6*DY11*10^6</f>
        <v>106051.93866242937</v>
      </c>
      <c r="EU11" s="25" t="s">
        <v>474</v>
      </c>
      <c r="EV11" s="25" t="s">
        <v>475</v>
      </c>
      <c r="EW11" s="25" t="s">
        <v>476</v>
      </c>
      <c r="EY11" s="128" t="s">
        <v>193</v>
      </c>
      <c r="EZ11" s="131">
        <v>6</v>
      </c>
      <c r="FA11" s="131">
        <v>4</v>
      </c>
      <c r="FB11" s="130">
        <v>0.67</v>
      </c>
      <c r="FC11" s="131">
        <v>80.099999999999994</v>
      </c>
      <c r="FD11" s="132">
        <v>29237</v>
      </c>
      <c r="FF11" s="133">
        <f t="shared" si="11"/>
        <v>3.3482142857142855E-3</v>
      </c>
      <c r="FG11" s="133">
        <f t="shared" si="11"/>
        <v>4.048582995951417E-3</v>
      </c>
      <c r="FI11" s="31">
        <f t="shared" si="2"/>
        <v>0.17542199999999999</v>
      </c>
      <c r="FJ11" s="133">
        <f t="shared" si="12"/>
        <v>4.12978389741252E-5</v>
      </c>
      <c r="FL11" t="s">
        <v>194</v>
      </c>
      <c r="FM11" t="s">
        <v>158</v>
      </c>
      <c r="FN11" s="160">
        <f>FJ9</f>
        <v>0.43324749774321492</v>
      </c>
      <c r="FO11" s="31">
        <f t="shared" ref="FO11:FO28" si="30">FN11*GK$9</f>
        <v>586.13012026196725</v>
      </c>
      <c r="FP11">
        <v>8</v>
      </c>
      <c r="FQ11">
        <f>FP11/100</f>
        <v>0.08</v>
      </c>
      <c r="FR11">
        <v>0.75</v>
      </c>
      <c r="FS11">
        <f>FR11*FQ11</f>
        <v>0.06</v>
      </c>
      <c r="FT11">
        <v>44.3</v>
      </c>
      <c r="FU11">
        <f>FT11*FS11</f>
        <v>2.6579999999999999</v>
      </c>
      <c r="FV11">
        <v>72.416541095972974</v>
      </c>
      <c r="FW11">
        <f>7.87852632644844/1000</f>
        <v>7.8785263264484397E-3</v>
      </c>
      <c r="FX11">
        <f>0.93521034397128/1000</f>
        <v>9.3521034397127997E-4</v>
      </c>
      <c r="FY11" s="31">
        <f t="shared" ref="FY11:FY28" si="31">FU11*FO11</f>
        <v>1557.9338596563089</v>
      </c>
      <c r="FZ11" s="31">
        <f>$FY11*FV11</f>
        <v>112820.18137260889</v>
      </c>
      <c r="GA11" s="31">
        <f t="shared" ref="GA11:GB26" si="32">$FY11*FW11</f>
        <v>12.274222928167658</v>
      </c>
      <c r="GB11" s="31">
        <f t="shared" si="32"/>
        <v>1.4569958607736804</v>
      </c>
      <c r="GC11" s="697">
        <f t="shared" ref="GC11:GC28" si="33">FZ11+GA11*$EK$8+GB11*$EL$8</f>
        <v>113549.96351770261</v>
      </c>
      <c r="GD11">
        <v>2.34</v>
      </c>
      <c r="GE11">
        <f t="shared" ref="GE11:GE28" si="34">GD11*FQ11*FO11*1000000</f>
        <v>109723558.51304027</v>
      </c>
      <c r="GF11" s="446">
        <f>GE11/1000</f>
        <v>109723.55851304028</v>
      </c>
      <c r="GG11">
        <v>211</v>
      </c>
      <c r="GH11" s="446">
        <f t="shared" ref="GH11:GH28" si="35">GG11/10^6*FO11*10^6</f>
        <v>123673.45537527509</v>
      </c>
      <c r="GK11" s="25" t="s">
        <v>474</v>
      </c>
      <c r="GL11" s="25" t="s">
        <v>475</v>
      </c>
      <c r="GM11" s="25" t="s">
        <v>476</v>
      </c>
      <c r="GO11" s="677" t="s">
        <v>193</v>
      </c>
      <c r="GP11" s="670">
        <v>6</v>
      </c>
      <c r="GQ11" s="670">
        <v>4</v>
      </c>
      <c r="GR11" s="669">
        <v>0.67</v>
      </c>
      <c r="GS11" s="670">
        <v>87.43</v>
      </c>
      <c r="GT11" s="678">
        <v>31911</v>
      </c>
      <c r="GV11" s="133">
        <f t="shared" si="13"/>
        <v>3.4285714285714284E-3</v>
      </c>
      <c r="GW11" s="133">
        <f t="shared" si="14"/>
        <v>4.206098843322818E-3</v>
      </c>
      <c r="GY11" s="31">
        <f t="shared" si="3"/>
        <v>0.191466</v>
      </c>
      <c r="GZ11" s="133">
        <f t="shared" si="15"/>
        <v>4.5074916698132824E-5</v>
      </c>
      <c r="HB11" t="s">
        <v>194</v>
      </c>
      <c r="HC11" t="s">
        <v>158</v>
      </c>
      <c r="HD11" s="160">
        <f>GZ9</f>
        <v>0.44840498268816309</v>
      </c>
      <c r="HE11" s="31">
        <f t="shared" ref="HE11:HE28" si="36">HD11*IA$9</f>
        <v>599.98421704765792</v>
      </c>
      <c r="HF11">
        <v>8</v>
      </c>
      <c r="HG11">
        <f>HF11/100</f>
        <v>0.08</v>
      </c>
      <c r="HH11">
        <v>0.75</v>
      </c>
      <c r="HI11">
        <f>HH11*HG11</f>
        <v>0.06</v>
      </c>
      <c r="HJ11">
        <v>44.3</v>
      </c>
      <c r="HK11">
        <f>HJ11*HI11</f>
        <v>2.6579999999999999</v>
      </c>
      <c r="HL11">
        <v>72.416541095972974</v>
      </c>
      <c r="HM11">
        <f>7.87852632644844/1000</f>
        <v>7.8785263264484397E-3</v>
      </c>
      <c r="HN11">
        <f>0.93521034397128/1000</f>
        <v>9.3521034397127997E-4</v>
      </c>
      <c r="HO11" s="31">
        <f t="shared" ref="HO11:HO28" si="37">HK11*HE11</f>
        <v>1594.7580489126747</v>
      </c>
      <c r="HP11" s="31">
        <f>$HO11*HL11</f>
        <v>115486.86178721838</v>
      </c>
      <c r="HQ11" s="31">
        <f t="shared" ref="HQ11:HR26" si="38">$HO11*HM11</f>
        <v>12.564343272674057</v>
      </c>
      <c r="HR11" s="31">
        <f t="shared" si="38"/>
        <v>1.4914342234745899</v>
      </c>
      <c r="HS11" s="697">
        <f t="shared" ref="HS11:HS28" si="39">HP11+HQ11*$EK$8+HR11*$EL$8</f>
        <v>116233.89346807402</v>
      </c>
      <c r="HT11">
        <v>2.34</v>
      </c>
      <c r="HU11">
        <f t="shared" ref="HU11:HU28" si="40">HT11*HG11*HE11*1000000</f>
        <v>112317045.43132156</v>
      </c>
      <c r="HV11" s="446">
        <f>HU11/1000</f>
        <v>112317.04543132156</v>
      </c>
      <c r="HW11">
        <v>211</v>
      </c>
      <c r="HX11" s="446">
        <f t="shared" ref="HX11:HX28" si="41">HW11/10^6*HE11*10^6</f>
        <v>126596.66979705583</v>
      </c>
      <c r="IA11" s="25" t="s">
        <v>474</v>
      </c>
      <c r="IB11" s="25" t="s">
        <v>475</v>
      </c>
      <c r="IC11" s="25" t="s">
        <v>476</v>
      </c>
      <c r="IF11" s="25" t="s">
        <v>474</v>
      </c>
      <c r="IG11" s="25" t="s">
        <v>475</v>
      </c>
      <c r="IH11" s="25" t="s">
        <v>476</v>
      </c>
      <c r="IK11" s="25" t="s">
        <v>474</v>
      </c>
      <c r="IL11" s="25" t="s">
        <v>475</v>
      </c>
      <c r="IM11" s="25" t="s">
        <v>476</v>
      </c>
    </row>
    <row r="12" spans="1:247" ht="16.5" customHeight="1" thickBot="1">
      <c r="A12" s="969"/>
      <c r="B12" s="366" t="s">
        <v>195</v>
      </c>
      <c r="C12" s="367">
        <v>39806</v>
      </c>
      <c r="D12" s="368">
        <v>37070.580282304945</v>
      </c>
      <c r="E12" s="369">
        <v>35244</v>
      </c>
      <c r="F12" s="370">
        <v>112120.58028230495</v>
      </c>
      <c r="G12" s="407">
        <v>216678.58028230496</v>
      </c>
      <c r="H12" s="363"/>
      <c r="I12" s="364"/>
      <c r="J12" s="364"/>
      <c r="K12" s="364"/>
      <c r="L12" s="371"/>
      <c r="M12" s="545"/>
      <c r="O12" s="25" t="s">
        <v>25</v>
      </c>
      <c r="P12">
        <v>0.85</v>
      </c>
      <c r="Q12">
        <v>43</v>
      </c>
      <c r="AA12" s="843" t="s">
        <v>197</v>
      </c>
      <c r="AB12" s="845">
        <v>5809</v>
      </c>
      <c r="AC12" s="845">
        <v>2878</v>
      </c>
      <c r="AD12" s="844">
        <v>0.5</v>
      </c>
      <c r="AE12" s="843">
        <v>30.37</v>
      </c>
      <c r="AF12" s="850">
        <v>11085</v>
      </c>
      <c r="AH12" s="133">
        <f t="shared" si="4"/>
        <v>0.1821745538934362</v>
      </c>
      <c r="AI12" s="133">
        <f t="shared" si="5"/>
        <v>0.16202218093790463</v>
      </c>
      <c r="AK12" s="31">
        <f>AF12*AB12/1000000</f>
        <v>64.392764999999997</v>
      </c>
      <c r="AL12" s="133">
        <f t="shared" si="6"/>
        <v>1.3105559379364763E-2</v>
      </c>
      <c r="AO12" t="s">
        <v>25</v>
      </c>
      <c r="AP12" s="160">
        <f>AL16</f>
        <v>0.30664027973118629</v>
      </c>
      <c r="AQ12" s="31">
        <f t="shared" ref="AQ12:AQ28" si="42">AP12*$BM$9</f>
        <v>413.7752903946481</v>
      </c>
      <c r="AR12">
        <v>10.5</v>
      </c>
      <c r="AS12">
        <f t="shared" ref="AS12:AS28" si="43">AR12/100</f>
        <v>0.105</v>
      </c>
      <c r="AT12">
        <v>0.86499999999999999</v>
      </c>
      <c r="AU12">
        <f t="shared" ref="AU12:AU28" si="44">AT12*AS12</f>
        <v>9.0824999999999989E-2</v>
      </c>
      <c r="AV12">
        <v>43</v>
      </c>
      <c r="AW12">
        <f t="shared" ref="AW12:AW28" si="45">AV12*AU12</f>
        <v>3.9054749999999996</v>
      </c>
      <c r="AX12">
        <v>74.054734089485606</v>
      </c>
      <c r="AY12">
        <v>1.1457692289250001E-4</v>
      </c>
      <c r="AZ12">
        <v>2.5659043229536902E-3</v>
      </c>
      <c r="BA12" s="31">
        <f t="shared" ref="BA12:BA28" si="46">AW12*AQ12</f>
        <v>1615.9890522540381</v>
      </c>
      <c r="BB12" s="31">
        <f t="shared" ref="BB12:BB28" si="47">$BA12*AX12</f>
        <v>119671.63955619266</v>
      </c>
      <c r="BC12" s="31">
        <f t="shared" ref="BC12:BC28" si="48">$BA12*AY12</f>
        <v>0.18515505303523508</v>
      </c>
      <c r="BD12" s="31">
        <f t="shared" ref="BD12:BD28" si="49">$BA12*AZ12</f>
        <v>4.1464732950244736</v>
      </c>
      <c r="BE12" s="697">
        <f t="shared" ref="BE12:BE28" si="50">BB12+BC12*$BC$8+BD12*$BD$8</f>
        <v>120775.63932085913</v>
      </c>
      <c r="BF12">
        <v>2.72</v>
      </c>
      <c r="BG12">
        <f t="shared" ref="BG12:BG28" si="51">BF12*AS12*AQ12*1000000</f>
        <v>118174222.93671151</v>
      </c>
      <c r="BH12" s="446">
        <f t="shared" ref="BH12:BH28" si="52">BG12/1000</f>
        <v>118174.22293671151</v>
      </c>
      <c r="BI12">
        <v>187.9</v>
      </c>
      <c r="BJ12" s="446">
        <f t="shared" ref="BJ12:BJ28" si="53">BI12/10^6*AQ12*10^6</f>
        <v>77748.377065154389</v>
      </c>
      <c r="BL12"/>
      <c r="BM12"/>
      <c r="BN12"/>
      <c r="BO12"/>
      <c r="BR12" s="782" t="s">
        <v>197</v>
      </c>
      <c r="BS12" s="784">
        <v>5806</v>
      </c>
      <c r="BT12" s="784">
        <v>2916</v>
      </c>
      <c r="BU12" s="783">
        <v>0.5</v>
      </c>
      <c r="BV12" s="782">
        <v>27.27</v>
      </c>
      <c r="BW12" s="784">
        <v>9954</v>
      </c>
      <c r="BY12" s="133">
        <f t="shared" si="7"/>
        <v>0.19156026262826223</v>
      </c>
      <c r="BZ12" s="133">
        <f t="shared" si="8"/>
        <v>0.17446452076103866</v>
      </c>
      <c r="CB12" s="31">
        <f>BW12*BS12/1000000</f>
        <v>57.792923999999999</v>
      </c>
      <c r="CC12" s="133">
        <f t="shared" si="0"/>
        <v>1.3868167817311457E-2</v>
      </c>
      <c r="CF12" t="s">
        <v>25</v>
      </c>
      <c r="CG12" s="160">
        <f>CC16</f>
        <v>0.32815822004581735</v>
      </c>
      <c r="CH12" s="31">
        <f t="shared" ref="CH12:CH28" si="54">CG12*$DD$9</f>
        <v>435.978033151452</v>
      </c>
      <c r="CI12">
        <v>10.5</v>
      </c>
      <c r="CJ12">
        <f t="shared" ref="CJ12:CJ28" si="55">CI12/100</f>
        <v>0.105</v>
      </c>
      <c r="CK12">
        <v>0.86499999999999999</v>
      </c>
      <c r="CL12">
        <f t="shared" ref="CL12:CL28" si="56">CK12*CJ12</f>
        <v>9.0824999999999989E-2</v>
      </c>
      <c r="CM12">
        <v>43</v>
      </c>
      <c r="CN12">
        <f t="shared" ref="CN12:CN28" si="57">CM12*CL12</f>
        <v>3.9054749999999996</v>
      </c>
      <c r="CO12">
        <v>74.054734089485606</v>
      </c>
      <c r="CP12">
        <v>1.1457692289250001E-4</v>
      </c>
      <c r="CQ12">
        <v>2.5659043229536902E-3</v>
      </c>
      <c r="CR12" s="31">
        <f t="shared" si="16"/>
        <v>1702.7013090221667</v>
      </c>
      <c r="CS12" s="31">
        <f>$CR12*CO12</f>
        <v>126093.09267345561</v>
      </c>
      <c r="CT12" s="31">
        <f t="shared" si="18"/>
        <v>0.19509027659279163</v>
      </c>
      <c r="CU12" s="31">
        <f t="shared" si="19"/>
        <v>4.3689686495188846</v>
      </c>
      <c r="CV12" s="697">
        <f t="shared" si="20"/>
        <v>127256.33189332271</v>
      </c>
      <c r="CW12">
        <v>2.72</v>
      </c>
      <c r="CX12">
        <f t="shared" si="21"/>
        <v>124515326.26805469</v>
      </c>
      <c r="CY12" s="446">
        <f t="shared" ref="CY12:CY28" si="58">CX12/1000</f>
        <v>124515.32626805469</v>
      </c>
      <c r="CZ12">
        <v>187.9</v>
      </c>
      <c r="DA12" s="446">
        <f t="shared" si="22"/>
        <v>81920.272429157834</v>
      </c>
      <c r="DI12" s="679" t="s">
        <v>197</v>
      </c>
      <c r="DJ12" s="673">
        <v>6011</v>
      </c>
      <c r="DK12" s="673">
        <v>2928</v>
      </c>
      <c r="DL12" s="672">
        <v>0.49</v>
      </c>
      <c r="DM12" s="671">
        <v>27.99</v>
      </c>
      <c r="DN12" s="680">
        <v>10214</v>
      </c>
      <c r="DP12" s="133">
        <f t="shared" si="9"/>
        <v>0.20403244967923695</v>
      </c>
      <c r="DQ12" s="133">
        <f t="shared" si="10"/>
        <v>0.19220165419456478</v>
      </c>
      <c r="DS12" s="31">
        <f>DN12*DJ12/1000000</f>
        <v>61.396354000000002</v>
      </c>
      <c r="DT12" s="133">
        <f t="shared" si="1"/>
        <v>1.4732857964463981E-2</v>
      </c>
      <c r="DW12" t="s">
        <v>25</v>
      </c>
      <c r="DX12" s="160">
        <f>DT16</f>
        <v>0.3287220032145618</v>
      </c>
      <c r="DY12" s="31">
        <f t="shared" si="23"/>
        <v>399.32652265971808</v>
      </c>
      <c r="DZ12">
        <v>10.5</v>
      </c>
      <c r="EA12">
        <f t="shared" ref="EA12:EA13" si="59">DZ12/100</f>
        <v>0.105</v>
      </c>
      <c r="EB12">
        <v>0.86499999999999999</v>
      </c>
      <c r="EC12">
        <f t="shared" ref="EC12:EC13" si="60">EB12*EA12</f>
        <v>9.0824999999999989E-2</v>
      </c>
      <c r="ED12">
        <v>43</v>
      </c>
      <c r="EE12">
        <f t="shared" ref="EE12:EE13" si="61">ED12*EC12</f>
        <v>3.9054749999999996</v>
      </c>
      <c r="EF12">
        <v>73.367636682232202</v>
      </c>
      <c r="EG12">
        <f>0.06636778941357/1000</f>
        <v>6.6367789413569991E-5</v>
      </c>
      <c r="EH12">
        <f>2.52657658902305/1000</f>
        <v>2.5265765890230499E-3</v>
      </c>
      <c r="EI12" s="31">
        <f t="shared" si="24"/>
        <v>1559.5597510844623</v>
      </c>
      <c r="EJ12" s="31">
        <f t="shared" si="25"/>
        <v>114421.21320179732</v>
      </c>
      <c r="EK12" s="31">
        <f t="shared" si="26"/>
        <v>0.10350453313785322</v>
      </c>
      <c r="EL12" s="31">
        <f t="shared" si="27"/>
        <v>3.9403471562726176</v>
      </c>
      <c r="EM12" s="697">
        <f t="shared" ref="EM12:EM28" si="62">EJ12+EK12*$EK$8+EL12*$EL$8</f>
        <v>115468.30332513743</v>
      </c>
      <c r="EN12">
        <v>2.72</v>
      </c>
      <c r="EO12">
        <f t="shared" si="28"/>
        <v>114047654.8716155</v>
      </c>
      <c r="EP12" s="446">
        <f t="shared" ref="EP12:EP13" si="63">EO12/1000</f>
        <v>114047.65487161549</v>
      </c>
      <c r="EQ12">
        <v>187.9</v>
      </c>
      <c r="ER12" s="446">
        <f t="shared" si="29"/>
        <v>75033.453607761039</v>
      </c>
      <c r="EY12" s="146" t="s">
        <v>197</v>
      </c>
      <c r="EZ12" s="169">
        <v>6269</v>
      </c>
      <c r="FA12" s="169">
        <v>3214</v>
      </c>
      <c r="FB12" s="148">
        <v>0.51</v>
      </c>
      <c r="FC12" s="147">
        <v>29.17</v>
      </c>
      <c r="FD12" s="149">
        <v>10647</v>
      </c>
      <c r="FF12" s="133">
        <f t="shared" si="11"/>
        <v>0.21662807975396522</v>
      </c>
      <c r="FG12" s="133">
        <f t="shared" si="11"/>
        <v>0.21798697775366252</v>
      </c>
      <c r="FI12" s="31">
        <f t="shared" si="2"/>
        <v>66.746043</v>
      </c>
      <c r="FJ12" s="133">
        <f t="shared" si="12"/>
        <v>1.5713350297990199E-2</v>
      </c>
      <c r="FM12" t="s">
        <v>25</v>
      </c>
      <c r="FN12" s="160">
        <f>FJ16</f>
        <v>0.32956545119115854</v>
      </c>
      <c r="FO12" s="31">
        <f t="shared" si="30"/>
        <v>445.86117299482657</v>
      </c>
      <c r="FP12">
        <v>10.5</v>
      </c>
      <c r="FQ12">
        <f t="shared" ref="FQ12:FQ17" si="64">FP12/100</f>
        <v>0.105</v>
      </c>
      <c r="FR12">
        <v>0.86499999999999999</v>
      </c>
      <c r="FS12">
        <f t="shared" ref="FS12:FS17" si="65">FR12*FQ12</f>
        <v>9.0824999999999989E-2</v>
      </c>
      <c r="FT12">
        <v>43</v>
      </c>
      <c r="FU12">
        <f t="shared" ref="FU12:FU17" si="66">FT12*FS12</f>
        <v>3.9054749999999996</v>
      </c>
      <c r="FV12">
        <v>73.367636682232202</v>
      </c>
      <c r="FW12">
        <f>0.06636778941357/1000</f>
        <v>6.6367789413569991E-5</v>
      </c>
      <c r="FX12">
        <f>2.52657658902305/1000</f>
        <v>2.5265765890230499E-3</v>
      </c>
      <c r="FY12" s="31">
        <f t="shared" si="31"/>
        <v>1741.2996646019701</v>
      </c>
      <c r="FZ12" s="31">
        <f t="shared" ref="FZ12:FZ28" si="67">$FY12*FV12</f>
        <v>127755.04114741013</v>
      </c>
      <c r="GA12" s="31">
        <f t="shared" si="32"/>
        <v>0.1155662094462236</v>
      </c>
      <c r="GB12" s="31">
        <f t="shared" si="32"/>
        <v>4.3995269670570263</v>
      </c>
      <c r="GC12" s="697">
        <f t="shared" si="33"/>
        <v>128924.15164754473</v>
      </c>
      <c r="GD12">
        <v>2.72</v>
      </c>
      <c r="GE12">
        <f t="shared" si="34"/>
        <v>127337951.00732248</v>
      </c>
      <c r="GF12" s="446">
        <f t="shared" ref="GF12:GF17" si="68">GE12/1000</f>
        <v>127337.95100732248</v>
      </c>
      <c r="GG12">
        <v>187.9</v>
      </c>
      <c r="GH12" s="446">
        <f t="shared" si="35"/>
        <v>83777.314405727913</v>
      </c>
      <c r="GO12" s="679" t="s">
        <v>197</v>
      </c>
      <c r="GP12" s="673">
        <v>6543</v>
      </c>
      <c r="GQ12" s="673">
        <v>3392</v>
      </c>
      <c r="GR12" s="672">
        <v>0.52</v>
      </c>
      <c r="GS12" s="671">
        <v>27.78</v>
      </c>
      <c r="GT12" s="680">
        <v>10139</v>
      </c>
      <c r="GV12" s="133">
        <f t="shared" si="13"/>
        <v>0.23318721265903988</v>
      </c>
      <c r="GW12" s="133">
        <f t="shared" si="14"/>
        <v>0.23229694562388714</v>
      </c>
      <c r="GY12" s="31">
        <f t="shared" si="3"/>
        <v>66.339477000000002</v>
      </c>
      <c r="GZ12" s="133">
        <f t="shared" si="15"/>
        <v>1.5617636549427567E-2</v>
      </c>
      <c r="HC12" t="s">
        <v>25</v>
      </c>
      <c r="HD12" s="160">
        <f>GZ16</f>
        <v>0.31929873548908966</v>
      </c>
      <c r="HE12" s="31">
        <f t="shared" si="36"/>
        <v>427.23477484182251</v>
      </c>
      <c r="HF12">
        <v>10.5</v>
      </c>
      <c r="HG12">
        <f t="shared" ref="HG12:HG17" si="69">HF12/100</f>
        <v>0.105</v>
      </c>
      <c r="HH12">
        <v>0.86499999999999999</v>
      </c>
      <c r="HI12">
        <f t="shared" ref="HI12:HI17" si="70">HH12*HG12</f>
        <v>9.0824999999999989E-2</v>
      </c>
      <c r="HJ12">
        <v>43</v>
      </c>
      <c r="HK12">
        <f t="shared" ref="HK12:HK17" si="71">HJ12*HI12</f>
        <v>3.9054749999999996</v>
      </c>
      <c r="HL12">
        <v>73.367636682232202</v>
      </c>
      <c r="HM12">
        <f>0.06636778941357/1000</f>
        <v>6.6367789413569991E-5</v>
      </c>
      <c r="HN12">
        <f>2.52657658902305/1000</f>
        <v>2.5265765890230499E-3</v>
      </c>
      <c r="HO12" s="31">
        <f t="shared" si="37"/>
        <v>1668.5547322753666</v>
      </c>
      <c r="HP12" s="31">
        <f t="shared" ref="HP12:HP28" si="72">$HO12*HL12</f>
        <v>122417.91738199833</v>
      </c>
      <c r="HQ12" s="31">
        <f t="shared" si="38"/>
        <v>0.11073828909666719</v>
      </c>
      <c r="HR12" s="31">
        <f t="shared" si="38"/>
        <v>4.2157313240705641</v>
      </c>
      <c r="HS12" s="697">
        <f t="shared" si="39"/>
        <v>123538.18685497173</v>
      </c>
      <c r="HT12">
        <v>2.72</v>
      </c>
      <c r="HU12">
        <f t="shared" si="40"/>
        <v>122018251.69482452</v>
      </c>
      <c r="HV12" s="446">
        <f t="shared" ref="HV12:HV17" si="73">HU12/1000</f>
        <v>122018.25169482452</v>
      </c>
      <c r="HW12">
        <v>187.9</v>
      </c>
      <c r="HX12" s="446">
        <f t="shared" si="41"/>
        <v>80277.414192778451</v>
      </c>
    </row>
    <row r="13" spans="1:247" ht="16.5" customHeight="1" thickBot="1">
      <c r="A13" s="969"/>
      <c r="B13" s="366" t="s">
        <v>15</v>
      </c>
      <c r="C13" s="367">
        <v>39314</v>
      </c>
      <c r="D13" s="368">
        <v>37980.72629630773</v>
      </c>
      <c r="E13" s="369">
        <v>36152</v>
      </c>
      <c r="F13" s="370">
        <v>113446.72629630772</v>
      </c>
      <c r="G13" s="407">
        <v>330125.30657861265</v>
      </c>
      <c r="H13" s="372"/>
      <c r="I13" s="364"/>
      <c r="J13" s="364"/>
      <c r="K13" s="364"/>
      <c r="L13" s="364"/>
      <c r="M13" s="545"/>
      <c r="AA13" s="842" t="s">
        <v>199</v>
      </c>
      <c r="AB13" s="842">
        <v>619</v>
      </c>
      <c r="AC13" s="842">
        <v>171</v>
      </c>
      <c r="AD13" s="841">
        <v>0.28000000000000003</v>
      </c>
      <c r="AE13" s="842">
        <v>14.65</v>
      </c>
      <c r="AF13" s="849">
        <v>5347</v>
      </c>
      <c r="AH13" s="133">
        <f t="shared" si="4"/>
        <v>9.7265870521684478E-2</v>
      </c>
      <c r="AI13" s="133">
        <f t="shared" si="5"/>
        <v>4.8169014084507043E-2</v>
      </c>
      <c r="AK13" s="31">
        <f>AF13*AB13/1000000</f>
        <v>3.309793</v>
      </c>
      <c r="AL13" s="133">
        <f t="shared" si="6"/>
        <v>6.7362674509948187E-4</v>
      </c>
      <c r="AO13" t="s">
        <v>252</v>
      </c>
      <c r="AP13" s="160">
        <f>AL23</f>
        <v>4.8580199515719673E-2</v>
      </c>
      <c r="AQ13" s="31">
        <f t="shared" si="42"/>
        <v>65.553312760047305</v>
      </c>
      <c r="AR13">
        <v>0</v>
      </c>
      <c r="AS13">
        <f t="shared" si="43"/>
        <v>0</v>
      </c>
      <c r="AT13">
        <v>0</v>
      </c>
      <c r="AU13">
        <f t="shared" si="44"/>
        <v>0</v>
      </c>
      <c r="AV13">
        <v>0</v>
      </c>
      <c r="AW13">
        <f t="shared" si="45"/>
        <v>0</v>
      </c>
      <c r="AX13">
        <v>70.9769741921898</v>
      </c>
      <c r="AY13">
        <v>7.3169105356480999E-3</v>
      </c>
      <c r="AZ13">
        <v>6.0998104818480998E-4</v>
      </c>
      <c r="BA13" s="31">
        <f t="shared" si="46"/>
        <v>0</v>
      </c>
      <c r="BB13" s="31">
        <f t="shared" si="47"/>
        <v>0</v>
      </c>
      <c r="BC13" s="31">
        <f t="shared" si="48"/>
        <v>0</v>
      </c>
      <c r="BD13" s="31">
        <f t="shared" si="49"/>
        <v>0</v>
      </c>
      <c r="BE13" s="697">
        <f t="shared" si="50"/>
        <v>0</v>
      </c>
      <c r="BF13">
        <v>2.34</v>
      </c>
      <c r="BG13">
        <f t="shared" si="51"/>
        <v>0</v>
      </c>
      <c r="BH13" s="446">
        <f t="shared" si="52"/>
        <v>0</v>
      </c>
      <c r="BI13">
        <v>0</v>
      </c>
      <c r="BJ13" s="446">
        <f t="shared" si="53"/>
        <v>0</v>
      </c>
      <c r="BL13" t="s">
        <v>169</v>
      </c>
      <c r="BM13" s="31">
        <f>SUM(BE11:BE18)</f>
        <v>221880.71801834306</v>
      </c>
      <c r="BN13" s="31">
        <f>SUM(BH11:BH18)</f>
        <v>224725.89697640287</v>
      </c>
      <c r="BO13">
        <f>SUM(BJ11:BJ18)</f>
        <v>196960.04722069486</v>
      </c>
      <c r="BR13" s="779" t="s">
        <v>199</v>
      </c>
      <c r="BS13" s="779">
        <v>618</v>
      </c>
      <c r="BT13" s="779">
        <v>127</v>
      </c>
      <c r="BU13" s="781">
        <v>0.21</v>
      </c>
      <c r="BV13" s="779">
        <v>19.5</v>
      </c>
      <c r="BW13" s="780">
        <v>7118</v>
      </c>
      <c r="BY13" s="133">
        <f t="shared" si="7"/>
        <v>9.932497589199614E-2</v>
      </c>
      <c r="BZ13" s="133">
        <f t="shared" si="8"/>
        <v>3.9937106918238992E-2</v>
      </c>
      <c r="CB13" s="31">
        <f>BW13*BS13/1000000</f>
        <v>4.3989240000000001</v>
      </c>
      <c r="CC13" s="133">
        <f t="shared" si="0"/>
        <v>1.0555793343766269E-3</v>
      </c>
      <c r="CF13" t="s">
        <v>252</v>
      </c>
      <c r="CG13" s="160">
        <f>CC23</f>
        <v>3.0214432401348766E-2</v>
      </c>
      <c r="CH13" s="31">
        <f t="shared" si="54"/>
        <v>40.141699968046971</v>
      </c>
      <c r="CI13">
        <v>0</v>
      </c>
      <c r="CJ13">
        <f t="shared" si="55"/>
        <v>0</v>
      </c>
      <c r="CK13">
        <v>0</v>
      </c>
      <c r="CL13">
        <f t="shared" si="56"/>
        <v>0</v>
      </c>
      <c r="CM13">
        <v>0</v>
      </c>
      <c r="CN13">
        <f t="shared" si="57"/>
        <v>0</v>
      </c>
      <c r="CO13">
        <v>70.9769741921898</v>
      </c>
      <c r="CP13">
        <v>7.3169105356480999E-3</v>
      </c>
      <c r="CQ13">
        <v>6.0998104818480998E-4</v>
      </c>
      <c r="CR13" s="31">
        <f t="shared" si="16"/>
        <v>0</v>
      </c>
      <c r="CS13" s="31">
        <f t="shared" si="17"/>
        <v>0</v>
      </c>
      <c r="CT13" s="31">
        <f t="shared" si="18"/>
        <v>0</v>
      </c>
      <c r="CU13" s="31">
        <f t="shared" si="19"/>
        <v>0</v>
      </c>
      <c r="CV13" s="697">
        <f t="shared" si="20"/>
        <v>0</v>
      </c>
      <c r="CW13">
        <v>2.34</v>
      </c>
      <c r="CX13">
        <f t="shared" si="21"/>
        <v>0</v>
      </c>
      <c r="CY13" s="446">
        <f t="shared" si="58"/>
        <v>0</v>
      </c>
      <c r="CZ13">
        <v>0</v>
      </c>
      <c r="DA13" s="446">
        <f t="shared" si="22"/>
        <v>0</v>
      </c>
      <c r="DC13" t="s">
        <v>169</v>
      </c>
      <c r="DD13" s="31">
        <f>SUM(CV11:CV18)</f>
        <v>235315.40277824379</v>
      </c>
      <c r="DE13" s="31">
        <f>SUM(CY11:CY18)</f>
        <v>236964.95229887066</v>
      </c>
      <c r="DF13">
        <f>SUM(DA11:DA18)</f>
        <v>207744.28850662956</v>
      </c>
      <c r="DI13" s="677" t="s">
        <v>199</v>
      </c>
      <c r="DJ13" s="670">
        <v>624</v>
      </c>
      <c r="DK13" s="670">
        <v>121</v>
      </c>
      <c r="DL13" s="669">
        <v>0.19</v>
      </c>
      <c r="DM13" s="670">
        <v>16.829999999999998</v>
      </c>
      <c r="DN13" s="678">
        <v>6144</v>
      </c>
      <c r="DP13" s="133">
        <f t="shared" si="9"/>
        <v>0.10274987650255228</v>
      </c>
      <c r="DQ13" s="133">
        <f t="shared" si="10"/>
        <v>4.1466758053461276E-2</v>
      </c>
      <c r="DS13" s="31">
        <f>DN13*DJ13/1000000</f>
        <v>3.8338559999999999</v>
      </c>
      <c r="DT13" s="133">
        <f t="shared" si="1"/>
        <v>9.1998387891580686E-4</v>
      </c>
      <c r="DW13" t="s">
        <v>252</v>
      </c>
      <c r="DX13" s="160">
        <f>DT23</f>
        <v>1.768902332913011E-2</v>
      </c>
      <c r="DY13" s="31">
        <f t="shared" si="23"/>
        <v>21.488358266840983</v>
      </c>
      <c r="DZ13">
        <v>0</v>
      </c>
      <c r="EA13">
        <f t="shared" si="59"/>
        <v>0</v>
      </c>
      <c r="EB13">
        <v>0</v>
      </c>
      <c r="EC13">
        <f t="shared" si="60"/>
        <v>0</v>
      </c>
      <c r="ED13">
        <v>0</v>
      </c>
      <c r="EE13">
        <f t="shared" si="61"/>
        <v>0</v>
      </c>
      <c r="EF13">
        <v>0</v>
      </c>
      <c r="EG13">
        <v>0</v>
      </c>
      <c r="EH13">
        <v>0</v>
      </c>
      <c r="EI13" s="31">
        <f t="shared" si="24"/>
        <v>0</v>
      </c>
      <c r="EJ13" s="31">
        <f t="shared" si="25"/>
        <v>0</v>
      </c>
      <c r="EK13" s="31">
        <f t="shared" si="26"/>
        <v>0</v>
      </c>
      <c r="EL13" s="31">
        <f t="shared" si="27"/>
        <v>0</v>
      </c>
      <c r="EM13" s="697">
        <f t="shared" si="62"/>
        <v>0</v>
      </c>
      <c r="EN13">
        <v>2.34</v>
      </c>
      <c r="EO13">
        <f t="shared" si="28"/>
        <v>0</v>
      </c>
      <c r="EP13" s="446">
        <f t="shared" si="63"/>
        <v>0</v>
      </c>
      <c r="EQ13">
        <v>0</v>
      </c>
      <c r="ER13" s="446">
        <f t="shared" si="29"/>
        <v>0</v>
      </c>
      <c r="ET13" t="s">
        <v>169</v>
      </c>
      <c r="EU13" s="31">
        <f>SUM(EM11:EM18)</f>
        <v>218748.33750437558</v>
      </c>
      <c r="EV13" s="31">
        <f>SUM(EP11:EP18)</f>
        <v>217845.84638304246</v>
      </c>
      <c r="EW13">
        <f>SUM(ER11:ER18)</f>
        <v>191263.33526185903</v>
      </c>
      <c r="EY13" s="128" t="s">
        <v>199</v>
      </c>
      <c r="EZ13" s="131">
        <v>635</v>
      </c>
      <c r="FA13" s="131">
        <v>158</v>
      </c>
      <c r="FB13" s="130">
        <v>0.25</v>
      </c>
      <c r="FC13" s="131">
        <v>21.98</v>
      </c>
      <c r="FD13" s="171">
        <v>8021</v>
      </c>
      <c r="FF13" s="133">
        <f t="shared" si="11"/>
        <v>0.10786478681841345</v>
      </c>
      <c r="FG13" s="133">
        <f t="shared" si="11"/>
        <v>5.398018448923813E-2</v>
      </c>
      <c r="FI13" s="31">
        <f t="shared" si="2"/>
        <v>5.0933349999999997</v>
      </c>
      <c r="FJ13" s="133">
        <f t="shared" si="12"/>
        <v>1.1990726857023404E-3</v>
      </c>
      <c r="FM13" t="s">
        <v>486</v>
      </c>
      <c r="FN13" s="160">
        <f>FJ23</f>
        <v>5.7102950084249225E-2</v>
      </c>
      <c r="FO13" s="31">
        <f t="shared" si="30"/>
        <v>77.253207865107129</v>
      </c>
      <c r="FP13">
        <v>3</v>
      </c>
      <c r="FQ13">
        <f t="shared" si="64"/>
        <v>0.03</v>
      </c>
      <c r="FR13">
        <v>0.75</v>
      </c>
      <c r="FS13">
        <f t="shared" si="65"/>
        <v>2.2499999999999999E-2</v>
      </c>
      <c r="FT13">
        <v>0</v>
      </c>
      <c r="FU13">
        <f t="shared" si="66"/>
        <v>0</v>
      </c>
      <c r="FV13">
        <v>72.416541095972974</v>
      </c>
      <c r="FW13">
        <f>7.87852632644844/1000</f>
        <v>7.8785263264484397E-3</v>
      </c>
      <c r="FX13">
        <f>0.93521034397128/1000</f>
        <v>9.3521034397127997E-4</v>
      </c>
      <c r="FY13" s="31">
        <f t="shared" si="31"/>
        <v>0</v>
      </c>
      <c r="FZ13" s="31">
        <f t="shared" si="67"/>
        <v>0</v>
      </c>
      <c r="GA13" s="31">
        <f t="shared" si="32"/>
        <v>0</v>
      </c>
      <c r="GB13" s="31">
        <f t="shared" si="32"/>
        <v>0</v>
      </c>
      <c r="GC13" s="697">
        <f t="shared" si="33"/>
        <v>0</v>
      </c>
      <c r="GD13">
        <v>2.34</v>
      </c>
      <c r="GE13">
        <f t="shared" si="34"/>
        <v>5423175.19213052</v>
      </c>
      <c r="GF13" s="446">
        <f t="shared" si="68"/>
        <v>5423.1751921305204</v>
      </c>
      <c r="GG13">
        <v>0</v>
      </c>
      <c r="GH13" s="446">
        <f t="shared" si="35"/>
        <v>0</v>
      </c>
      <c r="GJ13" t="s">
        <v>169</v>
      </c>
      <c r="GK13" s="31">
        <f>SUM(GC11:GC18)</f>
        <v>242474.11516524735</v>
      </c>
      <c r="GL13" s="31">
        <f>SUM(GF11:GF18)</f>
        <v>242484.6847124933</v>
      </c>
      <c r="GM13">
        <f>SUM(GH11:GH18)</f>
        <v>207450.76978100301</v>
      </c>
      <c r="GO13" s="677" t="s">
        <v>199</v>
      </c>
      <c r="GP13" s="670">
        <v>642</v>
      </c>
      <c r="GQ13" s="670">
        <v>137</v>
      </c>
      <c r="GR13" s="669">
        <v>0.21</v>
      </c>
      <c r="GS13" s="670">
        <v>16.7</v>
      </c>
      <c r="GT13" s="678">
        <v>6095</v>
      </c>
      <c r="GV13" s="133">
        <f t="shared" si="13"/>
        <v>0.11169102296450939</v>
      </c>
      <c r="GW13" s="133">
        <f t="shared" si="14"/>
        <v>4.9369369369369372E-2</v>
      </c>
      <c r="GY13" s="31">
        <f t="shared" si="3"/>
        <v>3.9129900000000002</v>
      </c>
      <c r="GZ13" s="133">
        <f t="shared" si="15"/>
        <v>9.2119592142013082E-4</v>
      </c>
      <c r="HC13" t="s">
        <v>486</v>
      </c>
      <c r="HD13" s="160">
        <f>GZ23</f>
        <v>4.4497911810421918E-2</v>
      </c>
      <c r="HE13" s="31">
        <f t="shared" si="36"/>
        <v>59.540027003666246</v>
      </c>
      <c r="HF13">
        <v>3</v>
      </c>
      <c r="HG13">
        <f t="shared" si="69"/>
        <v>0.03</v>
      </c>
      <c r="HH13">
        <v>0.75</v>
      </c>
      <c r="HI13">
        <f t="shared" si="70"/>
        <v>2.2499999999999999E-2</v>
      </c>
      <c r="HJ13">
        <v>0</v>
      </c>
      <c r="HK13">
        <f t="shared" si="71"/>
        <v>0</v>
      </c>
      <c r="HL13">
        <v>72.416541095972974</v>
      </c>
      <c r="HM13">
        <f>7.87852632644844/1000</f>
        <v>7.8785263264484397E-3</v>
      </c>
      <c r="HN13">
        <f>0.93521034397128/1000</f>
        <v>9.3521034397127997E-4</v>
      </c>
      <c r="HO13" s="31">
        <f t="shared" si="37"/>
        <v>0</v>
      </c>
      <c r="HP13" s="31">
        <f t="shared" si="72"/>
        <v>0</v>
      </c>
      <c r="HQ13" s="31">
        <f t="shared" si="38"/>
        <v>0</v>
      </c>
      <c r="HR13" s="31">
        <f t="shared" si="38"/>
        <v>0</v>
      </c>
      <c r="HS13" s="697">
        <f t="shared" si="39"/>
        <v>0</v>
      </c>
      <c r="HT13">
        <v>2.34</v>
      </c>
      <c r="HU13">
        <f t="shared" si="40"/>
        <v>4179709.8956573703</v>
      </c>
      <c r="HV13" s="446">
        <f t="shared" si="73"/>
        <v>4179.70989565737</v>
      </c>
      <c r="HW13">
        <v>0</v>
      </c>
      <c r="HX13" s="446">
        <f t="shared" si="41"/>
        <v>0</v>
      </c>
      <c r="HZ13" t="s">
        <v>169</v>
      </c>
      <c r="IA13" s="31">
        <f>SUM(HS11:HS18)</f>
        <v>239772.08032304575</v>
      </c>
      <c r="IB13" s="31">
        <f>SUM(HV11:HV18)</f>
        <v>238515.00702180347</v>
      </c>
      <c r="IC13">
        <f>SUM(HX11:HX18)</f>
        <v>206874.0839898343</v>
      </c>
      <c r="IE13" t="s">
        <v>169</v>
      </c>
      <c r="IF13" s="31">
        <f>IA13/(1+$P$24)</f>
        <v>233231.68341519832</v>
      </c>
      <c r="IG13" s="31">
        <f t="shared" ref="IG13:IH13" si="74">IB13/(1+$P$24)</f>
        <v>232008.90000426062</v>
      </c>
      <c r="IH13" s="31">
        <f t="shared" si="74"/>
        <v>201231.06409603378</v>
      </c>
      <c r="IJ13" t="s">
        <v>169</v>
      </c>
      <c r="IK13" s="31">
        <f>IF13/(1+$P$23)</f>
        <v>215949.80562994696</v>
      </c>
      <c r="IL13" s="31">
        <f t="shared" ref="IL13:IM13" si="75">IG13/(1+$P$23)</f>
        <v>214817.62737674866</v>
      </c>
      <c r="IM13" s="31">
        <f t="shared" si="75"/>
        <v>186320.35125727751</v>
      </c>
    </row>
    <row r="14" spans="1:247" ht="16.5" customHeight="1" thickBot="1">
      <c r="A14" s="969"/>
      <c r="B14" s="366" t="s">
        <v>16</v>
      </c>
      <c r="C14" s="367">
        <v>40771.075849776658</v>
      </c>
      <c r="D14" s="368">
        <v>40551</v>
      </c>
      <c r="E14" s="369">
        <v>37617</v>
      </c>
      <c r="F14" s="370">
        <v>118939.07584977665</v>
      </c>
      <c r="G14" s="407">
        <v>449064.38242838928</v>
      </c>
      <c r="H14" s="372"/>
      <c r="I14" s="364"/>
      <c r="J14" s="364"/>
      <c r="K14" s="364"/>
      <c r="L14" s="364"/>
      <c r="M14" s="545"/>
      <c r="AA14" s="843" t="s">
        <v>201</v>
      </c>
      <c r="AB14" s="843">
        <v>13</v>
      </c>
      <c r="AC14" s="843">
        <v>3</v>
      </c>
      <c r="AD14" s="844">
        <v>0.23</v>
      </c>
      <c r="AE14" s="843" t="s">
        <v>1</v>
      </c>
      <c r="AF14" s="851" t="s">
        <v>1</v>
      </c>
      <c r="AH14" s="133">
        <f t="shared" si="4"/>
        <v>1.7317170640735314E-3</v>
      </c>
      <c r="AI14" s="133">
        <f t="shared" si="5"/>
        <v>7.5150300601202404E-4</v>
      </c>
      <c r="AK14" s="31">
        <v>0</v>
      </c>
      <c r="AL14" s="133">
        <f t="shared" si="6"/>
        <v>0</v>
      </c>
      <c r="AO14" t="s">
        <v>467</v>
      </c>
      <c r="AP14" s="160">
        <f>AL24</f>
        <v>2.8317076453059319E-2</v>
      </c>
      <c r="AQ14" s="31">
        <f t="shared" si="42"/>
        <v>38.210591716012011</v>
      </c>
      <c r="AR14">
        <v>3</v>
      </c>
      <c r="AS14">
        <f t="shared" si="43"/>
        <v>0.03</v>
      </c>
      <c r="AT14">
        <v>0.75</v>
      </c>
      <c r="AU14">
        <f t="shared" si="44"/>
        <v>2.2499999999999999E-2</v>
      </c>
      <c r="AV14">
        <v>44.3</v>
      </c>
      <c r="AW14">
        <f t="shared" si="45"/>
        <v>0.99674999999999991</v>
      </c>
      <c r="AX14">
        <v>70.9769741921898</v>
      </c>
      <c r="AY14">
        <v>7.3169105356480999E-3</v>
      </c>
      <c r="AZ14">
        <v>6.0998104818480998E-4</v>
      </c>
      <c r="BA14" s="31">
        <f t="shared" si="46"/>
        <v>38.086407292934972</v>
      </c>
      <c r="BB14" s="31">
        <f t="shared" si="47"/>
        <v>2703.2579475038747</v>
      </c>
      <c r="BC14" s="31">
        <f t="shared" si="48"/>
        <v>0.2786748347866605</v>
      </c>
      <c r="BD14" s="31">
        <f t="shared" si="49"/>
        <v>2.3231986642138065E-2</v>
      </c>
      <c r="BE14" s="697">
        <f t="shared" si="50"/>
        <v>2717.2173193380677</v>
      </c>
      <c r="BF14">
        <v>3.34</v>
      </c>
      <c r="BG14">
        <f t="shared" si="51"/>
        <v>3828701.2899444033</v>
      </c>
      <c r="BH14" s="446">
        <f t="shared" si="52"/>
        <v>3828.7012899444035</v>
      </c>
      <c r="BI14">
        <v>138.4</v>
      </c>
      <c r="BJ14" s="446">
        <f t="shared" si="53"/>
        <v>5288.3458934960627</v>
      </c>
      <c r="BL14" t="s">
        <v>202</v>
      </c>
      <c r="BM14" s="31">
        <f>SUM(BE19:BE20)</f>
        <v>2232.3578622149298</v>
      </c>
      <c r="BN14" s="31">
        <f>SUM(BH19:BH20)</f>
        <v>2168.0242386843302</v>
      </c>
      <c r="BO14" s="31">
        <f>SUM(BJ19:BJ20)</f>
        <v>2122.0099881726474</v>
      </c>
      <c r="BR14" s="782" t="s">
        <v>201</v>
      </c>
      <c r="BS14" s="782">
        <v>13</v>
      </c>
      <c r="BT14" s="782">
        <v>1</v>
      </c>
      <c r="BU14" s="783">
        <v>0.08</v>
      </c>
      <c r="BV14" s="782" t="s">
        <v>1</v>
      </c>
      <c r="BW14" s="782" t="s">
        <v>1</v>
      </c>
      <c r="BY14" s="133">
        <f t="shared" si="7"/>
        <v>1.8055555555555555E-3</v>
      </c>
      <c r="BZ14" s="133">
        <f t="shared" si="8"/>
        <v>2.8011204481792715E-4</v>
      </c>
      <c r="CB14" s="31">
        <v>0</v>
      </c>
      <c r="CC14" s="133">
        <f t="shared" si="0"/>
        <v>0</v>
      </c>
      <c r="CF14" t="s">
        <v>467</v>
      </c>
      <c r="CG14" s="160">
        <f t="shared" ref="CG14:CG15" si="76">CC24</f>
        <v>2.4851871956971548E-2</v>
      </c>
      <c r="CH14" s="31">
        <f t="shared" si="54"/>
        <v>33.017214240190057</v>
      </c>
      <c r="CI14">
        <v>3</v>
      </c>
      <c r="CJ14">
        <f t="shared" si="55"/>
        <v>0.03</v>
      </c>
      <c r="CK14">
        <v>0.75</v>
      </c>
      <c r="CL14">
        <f t="shared" si="56"/>
        <v>2.2499999999999999E-2</v>
      </c>
      <c r="CM14">
        <v>44.3</v>
      </c>
      <c r="CN14">
        <f t="shared" si="57"/>
        <v>0.99674999999999991</v>
      </c>
      <c r="CO14">
        <v>70.9769741921898</v>
      </c>
      <c r="CP14">
        <v>7.3169105356480999E-3</v>
      </c>
      <c r="CQ14">
        <v>6.0998104818480998E-4</v>
      </c>
      <c r="CR14" s="31">
        <f t="shared" si="16"/>
        <v>32.909908293909439</v>
      </c>
      <c r="CS14" s="31">
        <f>$CR14*CO14</f>
        <v>2335.8457116441432</v>
      </c>
      <c r="CT14" s="31">
        <f t="shared" si="18"/>
        <v>0.24079885472291876</v>
      </c>
      <c r="CU14" s="31">
        <f t="shared" si="19"/>
        <v>2.0074420356784851E-2</v>
      </c>
      <c r="CV14" s="697">
        <f t="shared" si="20"/>
        <v>2347.9078009709333</v>
      </c>
      <c r="CW14">
        <v>3.34</v>
      </c>
      <c r="CX14">
        <f t="shared" si="21"/>
        <v>3308324.8668670435</v>
      </c>
      <c r="CY14" s="446">
        <f t="shared" si="58"/>
        <v>3308.3248668670435</v>
      </c>
      <c r="CZ14">
        <v>138.4</v>
      </c>
      <c r="DA14" s="446">
        <f t="shared" si="22"/>
        <v>4569.5824508423048</v>
      </c>
      <c r="DC14" t="s">
        <v>202</v>
      </c>
      <c r="DD14" s="31">
        <f>SUM(CV19:CV20)</f>
        <v>1723.9698124208546</v>
      </c>
      <c r="DE14" s="31">
        <f>SUM(CY19:CY20)</f>
        <v>1675.3487677565784</v>
      </c>
      <c r="DF14" s="31">
        <f>SUM(DA19:DA20)</f>
        <v>1651.7071066932774</v>
      </c>
      <c r="DI14" s="679" t="s">
        <v>201</v>
      </c>
      <c r="DJ14" s="671">
        <v>13</v>
      </c>
      <c r="DK14" s="671">
        <v>1</v>
      </c>
      <c r="DL14" s="672">
        <v>0.08</v>
      </c>
      <c r="DM14" s="671" t="s">
        <v>1</v>
      </c>
      <c r="DN14" s="681" t="s">
        <v>1</v>
      </c>
      <c r="DP14" s="133">
        <f t="shared" si="9"/>
        <v>1.8465909090909091E-3</v>
      </c>
      <c r="DQ14" s="133">
        <f t="shared" si="10"/>
        <v>2.8951939779965256E-4</v>
      </c>
      <c r="DS14" s="31">
        <v>0</v>
      </c>
      <c r="DT14" s="133">
        <f t="shared" si="1"/>
        <v>0</v>
      </c>
      <c r="DW14" t="s">
        <v>467</v>
      </c>
      <c r="DX14" s="160">
        <f t="shared" ref="DX14:DX18" si="77">DT24</f>
        <v>1.9460266621831587E-2</v>
      </c>
      <c r="DY14" s="31">
        <f t="shared" si="23"/>
        <v>23.640037856105231</v>
      </c>
      <c r="DZ14">
        <v>3</v>
      </c>
      <c r="EA14">
        <f t="shared" ref="EA14:EA17" si="78">DZ14/100</f>
        <v>0.03</v>
      </c>
      <c r="EB14">
        <v>0.75</v>
      </c>
      <c r="EC14">
        <f t="shared" ref="EC14:EC17" si="79">EB14*EA14</f>
        <v>2.2499999999999999E-2</v>
      </c>
      <c r="ED14">
        <v>44.3</v>
      </c>
      <c r="EE14">
        <f t="shared" ref="EE14:EE17" si="80">ED14*EC14</f>
        <v>0.99674999999999991</v>
      </c>
      <c r="EF14">
        <v>72.416541095972974</v>
      </c>
      <c r="EG14">
        <f>7.87852632644844/1000</f>
        <v>7.8785263264484397E-3</v>
      </c>
      <c r="EH14">
        <f>0.93521034397128/1000</f>
        <v>9.3521034397127997E-4</v>
      </c>
      <c r="EI14" s="31">
        <f t="shared" si="24"/>
        <v>23.563207733072886</v>
      </c>
      <c r="EJ14" s="31">
        <f t="shared" si="25"/>
        <v>1706.3660011550207</v>
      </c>
      <c r="EK14" s="31">
        <f t="shared" si="26"/>
        <v>0.18564335246058819</v>
      </c>
      <c r="EL14" s="31">
        <f t="shared" si="27"/>
        <v>2.2036555609113818E-2</v>
      </c>
      <c r="EM14" s="697">
        <f t="shared" si="62"/>
        <v>1717.4037022603322</v>
      </c>
      <c r="EN14">
        <v>3.34</v>
      </c>
      <c r="EO14">
        <f t="shared" si="28"/>
        <v>2368731.7931817444</v>
      </c>
      <c r="EP14" s="446">
        <f t="shared" ref="EP14:EP17" si="81">EO14/1000</f>
        <v>2368.7317931817443</v>
      </c>
      <c r="EQ14">
        <v>138.4</v>
      </c>
      <c r="ER14" s="446">
        <f t="shared" si="29"/>
        <v>3271.7812392849637</v>
      </c>
      <c r="ET14" t="s">
        <v>202</v>
      </c>
      <c r="EU14" s="31">
        <f>SUM(EM19:EM20)</f>
        <v>2056.5311146351441</v>
      </c>
      <c r="EV14" s="31">
        <f>SUM(EP19:EP20)</f>
        <v>2015.1515494556077</v>
      </c>
      <c r="EW14" s="31">
        <f>SUM(ER19:ER20)</f>
        <v>1974.9606508115132</v>
      </c>
      <c r="EY14" s="146" t="s">
        <v>201</v>
      </c>
      <c r="EZ14" s="147">
        <v>13</v>
      </c>
      <c r="FA14" s="147">
        <v>0</v>
      </c>
      <c r="FB14" s="148">
        <v>0</v>
      </c>
      <c r="FC14" s="147">
        <v>0</v>
      </c>
      <c r="FD14" s="172">
        <v>0</v>
      </c>
      <c r="FF14" s="133">
        <f t="shared" si="11"/>
        <v>1.8675477661255567E-3</v>
      </c>
      <c r="FG14" s="133">
        <f t="shared" si="11"/>
        <v>0</v>
      </c>
      <c r="FI14" s="31">
        <f t="shared" si="2"/>
        <v>0</v>
      </c>
      <c r="FJ14" s="133">
        <f t="shared" si="12"/>
        <v>0</v>
      </c>
      <c r="FM14" t="s">
        <v>467</v>
      </c>
      <c r="FN14" s="160">
        <v>0</v>
      </c>
      <c r="FO14" s="31">
        <f t="shared" si="30"/>
        <v>0</v>
      </c>
      <c r="FP14">
        <v>3</v>
      </c>
      <c r="FQ14">
        <f t="shared" si="64"/>
        <v>0.03</v>
      </c>
      <c r="FR14">
        <v>0.75</v>
      </c>
      <c r="FS14">
        <f t="shared" si="65"/>
        <v>2.2499999999999999E-2</v>
      </c>
      <c r="FT14">
        <v>44.3</v>
      </c>
      <c r="FU14">
        <f t="shared" si="66"/>
        <v>0.99674999999999991</v>
      </c>
      <c r="FV14">
        <v>73.416541095973002</v>
      </c>
      <c r="FW14">
        <f t="shared" ref="FW14:FW17" si="82">7.87852632644844/1000</f>
        <v>7.8785263264484397E-3</v>
      </c>
      <c r="FX14">
        <f t="shared" ref="FX14:FX17" si="83">0.93521034397128/1000</f>
        <v>9.3521034397127997E-4</v>
      </c>
      <c r="FY14" s="31">
        <f t="shared" si="31"/>
        <v>0</v>
      </c>
      <c r="FZ14" s="31">
        <f t="shared" si="67"/>
        <v>0</v>
      </c>
      <c r="GA14" s="31">
        <f t="shared" si="32"/>
        <v>0</v>
      </c>
      <c r="GB14" s="31">
        <f t="shared" si="32"/>
        <v>0</v>
      </c>
      <c r="GC14" s="697">
        <f t="shared" si="33"/>
        <v>0</v>
      </c>
      <c r="GD14">
        <v>3.34</v>
      </c>
      <c r="GE14">
        <f t="shared" si="34"/>
        <v>0</v>
      </c>
      <c r="GF14" s="446">
        <f t="shared" si="68"/>
        <v>0</v>
      </c>
      <c r="GG14">
        <v>138.4</v>
      </c>
      <c r="GH14" s="446">
        <f t="shared" si="35"/>
        <v>0</v>
      </c>
      <c r="GJ14" t="s">
        <v>202</v>
      </c>
      <c r="GK14" s="31">
        <f>SUM(GC19:GC20)</f>
        <v>2844.2886788084097</v>
      </c>
      <c r="GL14" s="31">
        <f>SUM(GF19:GF20)</f>
        <v>2829.228507336155</v>
      </c>
      <c r="GM14" s="31">
        <f>SUM(GH19:GH20)</f>
        <v>2774.1743892551267</v>
      </c>
      <c r="GO14" s="679" t="s">
        <v>201</v>
      </c>
      <c r="GP14" s="671">
        <v>12</v>
      </c>
      <c r="GQ14" s="671">
        <v>2</v>
      </c>
      <c r="GR14" s="672">
        <v>0.17</v>
      </c>
      <c r="GS14" s="671">
        <v>3.46</v>
      </c>
      <c r="GT14" s="680">
        <v>1263</v>
      </c>
      <c r="GV14" s="133">
        <f t="shared" si="13"/>
        <v>1.7817371937639199E-3</v>
      </c>
      <c r="GW14" s="133">
        <f t="shared" si="14"/>
        <v>6.1862047633776682E-4</v>
      </c>
      <c r="GY14" s="31">
        <f t="shared" si="3"/>
        <v>1.5155999999999999E-2</v>
      </c>
      <c r="GZ14" s="133">
        <f t="shared" si="15"/>
        <v>3.5680248058501302E-6</v>
      </c>
      <c r="HC14" t="s">
        <v>467</v>
      </c>
      <c r="HD14" s="160">
        <v>0</v>
      </c>
      <c r="HE14" s="31">
        <f t="shared" si="36"/>
        <v>0</v>
      </c>
      <c r="HF14">
        <v>3</v>
      </c>
      <c r="HG14">
        <f t="shared" si="69"/>
        <v>0.03</v>
      </c>
      <c r="HH14">
        <v>0.75</v>
      </c>
      <c r="HI14">
        <f t="shared" si="70"/>
        <v>2.2499999999999999E-2</v>
      </c>
      <c r="HJ14">
        <v>44.3</v>
      </c>
      <c r="HK14">
        <f t="shared" si="71"/>
        <v>0.99674999999999991</v>
      </c>
      <c r="HL14">
        <v>73.416541095973002</v>
      </c>
      <c r="HM14">
        <f t="shared" ref="HM14:HM17" si="84">7.87852632644844/1000</f>
        <v>7.8785263264484397E-3</v>
      </c>
      <c r="HN14">
        <f t="shared" ref="HN14:HN17" si="85">0.93521034397128/1000</f>
        <v>9.3521034397127997E-4</v>
      </c>
      <c r="HO14" s="31">
        <f t="shared" si="37"/>
        <v>0</v>
      </c>
      <c r="HP14" s="31">
        <f t="shared" si="72"/>
        <v>0</v>
      </c>
      <c r="HQ14" s="31">
        <f t="shared" si="38"/>
        <v>0</v>
      </c>
      <c r="HR14" s="31">
        <f t="shared" si="38"/>
        <v>0</v>
      </c>
      <c r="HS14" s="697">
        <f t="shared" si="39"/>
        <v>0</v>
      </c>
      <c r="HT14">
        <v>3.34</v>
      </c>
      <c r="HU14">
        <f t="shared" si="40"/>
        <v>0</v>
      </c>
      <c r="HV14" s="446">
        <f t="shared" si="73"/>
        <v>0</v>
      </c>
      <c r="HW14">
        <v>138.4</v>
      </c>
      <c r="HX14" s="446">
        <f t="shared" si="41"/>
        <v>0</v>
      </c>
      <c r="HZ14" t="s">
        <v>202</v>
      </c>
      <c r="IA14" s="31">
        <f>SUM(HS19:HS20)</f>
        <v>2992.7347693047773</v>
      </c>
      <c r="IB14" s="31">
        <f>SUM(HV19:HV20)</f>
        <v>2977.500117055647</v>
      </c>
      <c r="IC14" s="31">
        <f>SUM(HX19:HX20)</f>
        <v>2915.2240404919821</v>
      </c>
      <c r="IE14" t="s">
        <v>202</v>
      </c>
      <c r="IF14" s="31">
        <f t="shared" ref="IF14:IF18" si="86">IA14/(1+$P$24)</f>
        <v>2911.1002720572378</v>
      </c>
      <c r="IG14" s="31">
        <f t="shared" ref="IG14:IG18" si="87">IB14/(1+$P$24)</f>
        <v>2896.2811839235296</v>
      </c>
      <c r="IH14" s="31">
        <f t="shared" ref="IH14:IH18" si="88">IC14/(1+$P$24)</f>
        <v>2835.7038466711351</v>
      </c>
      <c r="IJ14" t="s">
        <v>202</v>
      </c>
      <c r="IK14" s="31">
        <f t="shared" ref="IK14:IK18" si="89">IF14/(1+$P$23)</f>
        <v>2695.3951054793988</v>
      </c>
      <c r="IL14" s="31">
        <f t="shared" ref="IL14:IL18" si="90">IG14/(1+$P$23)</f>
        <v>2681.6740742917518</v>
      </c>
      <c r="IM14" s="31">
        <f t="shared" ref="IM14:IM18" si="91">IH14/(1+$P$23)</f>
        <v>2625.5853645003535</v>
      </c>
    </row>
    <row r="15" spans="1:247" ht="16.5" customHeight="1" thickBot="1">
      <c r="A15" s="969"/>
      <c r="B15" s="366" t="s">
        <v>17</v>
      </c>
      <c r="C15" s="367">
        <v>40229</v>
      </c>
      <c r="D15" s="368">
        <v>40965</v>
      </c>
      <c r="E15" s="369">
        <v>39578</v>
      </c>
      <c r="F15" s="408">
        <v>120772</v>
      </c>
      <c r="G15" s="407">
        <v>569836.38242838928</v>
      </c>
      <c r="H15" s="372"/>
      <c r="I15" s="364"/>
      <c r="J15" s="364"/>
      <c r="K15" s="364"/>
      <c r="L15" s="364"/>
      <c r="M15" s="545"/>
      <c r="O15">
        <v>2019</v>
      </c>
      <c r="AA15" s="963" t="s">
        <v>205</v>
      </c>
      <c r="AB15" s="964"/>
      <c r="AC15" s="964"/>
      <c r="AD15" s="964"/>
      <c r="AE15" s="964"/>
      <c r="AF15" s="965"/>
      <c r="AG15" s="32">
        <f>SUM(AF9:AF14)</f>
        <v>39811</v>
      </c>
      <c r="AK15" s="31">
        <f t="shared" ref="AK15:AK22" si="92">AF15*AB15/1000000</f>
        <v>0</v>
      </c>
      <c r="AL15" s="133">
        <f t="shared" si="6"/>
        <v>0</v>
      </c>
      <c r="AO15" t="s">
        <v>468</v>
      </c>
      <c r="AP15" s="160">
        <f>AL25</f>
        <v>6.062514316659301E-2</v>
      </c>
      <c r="AQ15" s="31">
        <f t="shared" si="42"/>
        <v>81.806559271876694</v>
      </c>
      <c r="AR15">
        <v>3</v>
      </c>
      <c r="AS15">
        <f t="shared" si="43"/>
        <v>0.03</v>
      </c>
      <c r="AT15">
        <v>0.75</v>
      </c>
      <c r="AU15">
        <f t="shared" si="44"/>
        <v>2.2499999999999999E-2</v>
      </c>
      <c r="AV15">
        <v>44.3</v>
      </c>
      <c r="AW15">
        <f t="shared" si="45"/>
        <v>0.99674999999999991</v>
      </c>
      <c r="AX15">
        <v>70.9769741921898</v>
      </c>
      <c r="AY15">
        <v>7.3169105356480999E-3</v>
      </c>
      <c r="AZ15">
        <v>6.0998104818480998E-4</v>
      </c>
      <c r="BA15" s="31">
        <f t="shared" si="46"/>
        <v>81.540687954243083</v>
      </c>
      <c r="BB15" s="31">
        <f>$BA15*AX15</f>
        <v>5787.5113045417129</v>
      </c>
      <c r="BC15" s="31">
        <f t="shared" si="48"/>
        <v>0.59662591877639537</v>
      </c>
      <c r="BD15" s="31">
        <f t="shared" si="49"/>
        <v>4.9738274308039704E-2</v>
      </c>
      <c r="BE15" s="697">
        <f t="shared" si="50"/>
        <v>5817.3974729590827</v>
      </c>
      <c r="BF15">
        <v>4.34</v>
      </c>
      <c r="BG15">
        <f t="shared" si="51"/>
        <v>10651214.017198343</v>
      </c>
      <c r="BH15" s="446">
        <f t="shared" si="52"/>
        <v>10651.214017198343</v>
      </c>
      <c r="BI15">
        <v>138.4</v>
      </c>
      <c r="BJ15" s="446">
        <f t="shared" si="53"/>
        <v>11322.027803227735</v>
      </c>
      <c r="BL15" t="s">
        <v>209</v>
      </c>
      <c r="BM15" s="31">
        <f>SUM(BE21:BE22)</f>
        <v>45108.271378307647</v>
      </c>
      <c r="BN15" s="31">
        <f>SUM(BH21:BH22)</f>
        <v>44180.535098723063</v>
      </c>
      <c r="BO15" s="31">
        <f>SUM(BJ21:BJ22)</f>
        <v>31358.67885559073</v>
      </c>
      <c r="BR15" s="1014" t="s">
        <v>205</v>
      </c>
      <c r="BS15" s="1014"/>
      <c r="BT15" s="1014"/>
      <c r="BU15" s="1014"/>
      <c r="BV15" s="1014"/>
      <c r="BW15" s="1014"/>
      <c r="BX15" s="32">
        <f>SUM(BW9:BW14)</f>
        <v>43253</v>
      </c>
      <c r="CB15" s="31">
        <f t="shared" ref="CB15:CB24" si="93">BW15*BS15/1000000</f>
        <v>0</v>
      </c>
      <c r="CC15" s="133">
        <f t="shared" si="0"/>
        <v>0</v>
      </c>
      <c r="CF15" t="s">
        <v>468</v>
      </c>
      <c r="CG15" s="160">
        <f t="shared" si="76"/>
        <v>5.1461166293316048E-2</v>
      </c>
      <c r="CH15" s="31">
        <f t="shared" si="54"/>
        <v>68.369270351074036</v>
      </c>
      <c r="CI15">
        <v>3</v>
      </c>
      <c r="CJ15">
        <f t="shared" si="55"/>
        <v>0.03</v>
      </c>
      <c r="CK15">
        <v>0.75</v>
      </c>
      <c r="CL15">
        <f t="shared" si="56"/>
        <v>2.2499999999999999E-2</v>
      </c>
      <c r="CM15">
        <v>44.3</v>
      </c>
      <c r="CN15">
        <f t="shared" si="57"/>
        <v>0.99674999999999991</v>
      </c>
      <c r="CO15">
        <v>70.9769741921898</v>
      </c>
      <c r="CP15">
        <v>7.3169105356480999E-3</v>
      </c>
      <c r="CQ15">
        <v>6.0998104818480998E-4</v>
      </c>
      <c r="CR15" s="31">
        <f t="shared" si="16"/>
        <v>68.147070222433044</v>
      </c>
      <c r="CS15" s="31">
        <f t="shared" si="17"/>
        <v>4836.8728444509761</v>
      </c>
      <c r="CT15" s="31">
        <f>$CR15*CP15</f>
        <v>0.49862601608407126</v>
      </c>
      <c r="CU15" s="31">
        <f>$CR15*CQ15</f>
        <v>4.156842132500356E-2</v>
      </c>
      <c r="CV15" s="697">
        <f t="shared" si="20"/>
        <v>4861.8500045524561</v>
      </c>
      <c r="CW15">
        <v>4.34</v>
      </c>
      <c r="CX15">
        <f t="shared" si="21"/>
        <v>8901678.999709839</v>
      </c>
      <c r="CY15" s="446">
        <f t="shared" si="58"/>
        <v>8901.6789997098385</v>
      </c>
      <c r="CZ15">
        <v>138.4</v>
      </c>
      <c r="DA15" s="446">
        <f t="shared" si="22"/>
        <v>9462.3070165886475</v>
      </c>
      <c r="DC15" t="s">
        <v>209</v>
      </c>
      <c r="DD15" s="31">
        <f>SUM(CV21:CV22)</f>
        <v>43305.702190736556</v>
      </c>
      <c r="DE15" s="31">
        <f>SUM(CY21:CY22)</f>
        <v>42418.627969704714</v>
      </c>
      <c r="DF15" s="31">
        <f>SUM(DA21:DA22)</f>
        <v>30225.348554164157</v>
      </c>
      <c r="DI15" s="690" t="s">
        <v>205</v>
      </c>
      <c r="DJ15" s="691"/>
      <c r="DK15" s="691"/>
      <c r="DL15" s="691"/>
      <c r="DM15" s="691"/>
      <c r="DN15" s="692"/>
      <c r="DO15" s="32">
        <f>SUM(DN9:DN14)</f>
        <v>42302</v>
      </c>
      <c r="DS15" s="31">
        <f t="shared" ref="DS15:DS25" si="94">DN15*DJ15/1000000</f>
        <v>0</v>
      </c>
      <c r="DT15" s="133">
        <f t="shared" si="1"/>
        <v>0</v>
      </c>
      <c r="DW15" t="s">
        <v>468</v>
      </c>
      <c r="DX15" s="160">
        <f t="shared" si="77"/>
        <v>3.8165633882624714E-2</v>
      </c>
      <c r="DY15" s="31">
        <f t="shared" si="23"/>
        <v>46.36303537461928</v>
      </c>
      <c r="DZ15">
        <v>3</v>
      </c>
      <c r="EA15">
        <f t="shared" si="78"/>
        <v>0.03</v>
      </c>
      <c r="EB15">
        <v>0.75</v>
      </c>
      <c r="EC15">
        <f t="shared" si="79"/>
        <v>2.2499999999999999E-2</v>
      </c>
      <c r="ED15">
        <v>44.3</v>
      </c>
      <c r="EE15">
        <f t="shared" si="80"/>
        <v>0.99674999999999991</v>
      </c>
      <c r="EF15">
        <v>72.416541095972974</v>
      </c>
      <c r="EG15">
        <f>7.87852632644844/1000</f>
        <v>7.8785263264484397E-3</v>
      </c>
      <c r="EH15">
        <f>0.93521034397128/1000</f>
        <v>9.3521034397127997E-4</v>
      </c>
      <c r="EI15" s="31">
        <f t="shared" si="24"/>
        <v>46.212355509651765</v>
      </c>
      <c r="EJ15" s="31">
        <f t="shared" si="25"/>
        <v>3346.5389419064099</v>
      </c>
      <c r="EK15" s="31">
        <f t="shared" si="26"/>
        <v>0.36408525948998605</v>
      </c>
      <c r="EL15" s="31">
        <f t="shared" si="27"/>
        <v>4.3218272891904504E-2</v>
      </c>
      <c r="EM15" s="697">
        <f t="shared" si="62"/>
        <v>3368.1861714884844</v>
      </c>
      <c r="EN15">
        <v>4.34</v>
      </c>
      <c r="EO15">
        <f t="shared" si="28"/>
        <v>6036467.2057754295</v>
      </c>
      <c r="EP15" s="446">
        <f t="shared" si="81"/>
        <v>6036.4672057754296</v>
      </c>
      <c r="EQ15">
        <v>138.4</v>
      </c>
      <c r="ER15" s="446">
        <f t="shared" si="29"/>
        <v>6416.6440958473086</v>
      </c>
      <c r="ET15" t="s">
        <v>209</v>
      </c>
      <c r="EU15" s="31">
        <f>SUM(EM21:EM22)</f>
        <v>38550.468633810415</v>
      </c>
      <c r="EV15" s="31">
        <f>SUM(EP21:EP22)</f>
        <v>37964.898956794503</v>
      </c>
      <c r="EW15" s="31">
        <f>SUM(ER21:ER22)</f>
        <v>27165.972723673982</v>
      </c>
      <c r="EY15" s="923" t="s">
        <v>205</v>
      </c>
      <c r="EZ15" s="924"/>
      <c r="FA15" s="924"/>
      <c r="FB15" s="924"/>
      <c r="FC15" s="924"/>
      <c r="FD15" s="925"/>
      <c r="FE15" s="32">
        <f>SUM(FD9:FD14)</f>
        <v>68289</v>
      </c>
      <c r="FI15" s="31">
        <f t="shared" si="2"/>
        <v>0</v>
      </c>
      <c r="FJ15" s="133">
        <f t="shared" si="12"/>
        <v>0</v>
      </c>
      <c r="FM15" t="s">
        <v>468</v>
      </c>
      <c r="FN15" s="160">
        <v>0</v>
      </c>
      <c r="FO15" s="31">
        <f t="shared" si="30"/>
        <v>0</v>
      </c>
      <c r="FP15">
        <v>3</v>
      </c>
      <c r="FQ15">
        <f t="shared" si="64"/>
        <v>0.03</v>
      </c>
      <c r="FR15">
        <v>0.75</v>
      </c>
      <c r="FS15">
        <f t="shared" si="65"/>
        <v>2.2499999999999999E-2</v>
      </c>
      <c r="FT15">
        <v>44.3</v>
      </c>
      <c r="FU15">
        <f t="shared" si="66"/>
        <v>0.99674999999999991</v>
      </c>
      <c r="FV15">
        <v>74.416541095973002</v>
      </c>
      <c r="FW15">
        <f t="shared" si="82"/>
        <v>7.8785263264484397E-3</v>
      </c>
      <c r="FX15">
        <f t="shared" si="83"/>
        <v>9.3521034397127997E-4</v>
      </c>
      <c r="FY15" s="31">
        <f t="shared" si="31"/>
        <v>0</v>
      </c>
      <c r="FZ15" s="31">
        <f t="shared" si="67"/>
        <v>0</v>
      </c>
      <c r="GA15" s="31">
        <f t="shared" si="32"/>
        <v>0</v>
      </c>
      <c r="GB15" s="31">
        <f t="shared" si="32"/>
        <v>0</v>
      </c>
      <c r="GC15" s="697">
        <f t="shared" si="33"/>
        <v>0</v>
      </c>
      <c r="GD15">
        <v>4.34</v>
      </c>
      <c r="GE15">
        <f t="shared" si="34"/>
        <v>0</v>
      </c>
      <c r="GF15" s="446">
        <f t="shared" si="68"/>
        <v>0</v>
      </c>
      <c r="GG15">
        <v>138.4</v>
      </c>
      <c r="GH15" s="446">
        <f t="shared" si="35"/>
        <v>0</v>
      </c>
      <c r="GJ15" t="s">
        <v>209</v>
      </c>
      <c r="GK15" s="31">
        <f>SUM(GC21:GC22)</f>
        <v>42339.846780538603</v>
      </c>
      <c r="GL15" s="31">
        <f>SUM(GF21:GF22)</f>
        <v>41726.883709372625</v>
      </c>
      <c r="GM15" s="31">
        <f>SUM(GH21:GH22)</f>
        <v>29986.640040974013</v>
      </c>
      <c r="GO15" s="1007" t="s">
        <v>205</v>
      </c>
      <c r="GP15" s="1008"/>
      <c r="GQ15" s="1008"/>
      <c r="GR15" s="1008"/>
      <c r="GS15" s="1008"/>
      <c r="GT15" s="1009"/>
      <c r="GU15" s="32">
        <f>SUM(GT9:GT14)</f>
        <v>67784</v>
      </c>
      <c r="GY15" s="31">
        <f t="shared" si="3"/>
        <v>0</v>
      </c>
      <c r="GZ15" s="133">
        <f t="shared" si="15"/>
        <v>0</v>
      </c>
      <c r="HC15" t="s">
        <v>468</v>
      </c>
      <c r="HD15" s="160">
        <v>0</v>
      </c>
      <c r="HE15" s="31">
        <f t="shared" si="36"/>
        <v>0</v>
      </c>
      <c r="HF15">
        <v>3</v>
      </c>
      <c r="HG15">
        <f t="shared" si="69"/>
        <v>0.03</v>
      </c>
      <c r="HH15">
        <v>0.75</v>
      </c>
      <c r="HI15">
        <f t="shared" si="70"/>
        <v>2.2499999999999999E-2</v>
      </c>
      <c r="HJ15">
        <v>44.3</v>
      </c>
      <c r="HK15">
        <f t="shared" si="71"/>
        <v>0.99674999999999991</v>
      </c>
      <c r="HL15">
        <v>74.416541095973002</v>
      </c>
      <c r="HM15">
        <f t="shared" si="84"/>
        <v>7.8785263264484397E-3</v>
      </c>
      <c r="HN15">
        <f t="shared" si="85"/>
        <v>9.3521034397127997E-4</v>
      </c>
      <c r="HO15" s="31">
        <f t="shared" si="37"/>
        <v>0</v>
      </c>
      <c r="HP15" s="31">
        <f t="shared" si="72"/>
        <v>0</v>
      </c>
      <c r="HQ15" s="31">
        <f t="shared" si="38"/>
        <v>0</v>
      </c>
      <c r="HR15" s="31">
        <f t="shared" si="38"/>
        <v>0</v>
      </c>
      <c r="HS15" s="697">
        <f t="shared" si="39"/>
        <v>0</v>
      </c>
      <c r="HT15">
        <v>4.34</v>
      </c>
      <c r="HU15">
        <f t="shared" si="40"/>
        <v>0</v>
      </c>
      <c r="HV15" s="446">
        <f t="shared" si="73"/>
        <v>0</v>
      </c>
      <c r="HW15">
        <v>138.4</v>
      </c>
      <c r="HX15" s="446">
        <f t="shared" si="41"/>
        <v>0</v>
      </c>
      <c r="HZ15" t="s">
        <v>209</v>
      </c>
      <c r="IA15" s="31">
        <f>SUM(HS21:HS22)</f>
        <v>40483.024627056213</v>
      </c>
      <c r="IB15" s="31">
        <f>SUM(HV21:HV22)</f>
        <v>39892.857957114815</v>
      </c>
      <c r="IC15" s="31">
        <f>SUM(HX21:HX22)</f>
        <v>28715.124911562707</v>
      </c>
      <c r="IE15" t="s">
        <v>209</v>
      </c>
      <c r="IF15" s="31">
        <f t="shared" si="86"/>
        <v>39378.746561259817</v>
      </c>
      <c r="IG15" s="31">
        <f t="shared" si="87"/>
        <v>38804.67819708446</v>
      </c>
      <c r="IH15" s="31">
        <f t="shared" si="88"/>
        <v>27931.846416722929</v>
      </c>
      <c r="IJ15" t="s">
        <v>209</v>
      </c>
      <c r="IK15" s="31">
        <f t="shared" si="89"/>
        <v>36460.881048980395</v>
      </c>
      <c r="IL15" s="31">
        <f t="shared" si="90"/>
        <v>35929.349698493686</v>
      </c>
      <c r="IM15" s="31">
        <f t="shared" si="91"/>
        <v>25862.167250402763</v>
      </c>
    </row>
    <row r="16" spans="1:247" ht="16.5" customHeight="1" thickBot="1">
      <c r="A16" s="969"/>
      <c r="B16" s="366" t="s">
        <v>18</v>
      </c>
      <c r="C16" s="367">
        <v>39072</v>
      </c>
      <c r="D16" s="368">
        <v>41329</v>
      </c>
      <c r="E16" s="369">
        <v>40381</v>
      </c>
      <c r="F16" s="408">
        <v>120782</v>
      </c>
      <c r="G16" s="407">
        <v>690618.38242838928</v>
      </c>
      <c r="H16" s="372"/>
      <c r="I16" s="364"/>
      <c r="J16" s="364"/>
      <c r="K16" s="364"/>
      <c r="L16" s="364"/>
      <c r="M16" s="545"/>
      <c r="S16" s="226">
        <v>0.16</v>
      </c>
      <c r="T16" s="160">
        <v>1.9400000000000001E-2</v>
      </c>
      <c r="U16" s="226">
        <v>0.65</v>
      </c>
      <c r="W16">
        <v>4.97</v>
      </c>
      <c r="AA16" s="843" t="s">
        <v>169</v>
      </c>
      <c r="AB16" s="845">
        <v>90386</v>
      </c>
      <c r="AC16" s="845">
        <v>55074</v>
      </c>
      <c r="AD16" s="844">
        <v>0.61</v>
      </c>
      <c r="AE16" s="843">
        <v>45.67</v>
      </c>
      <c r="AF16" s="850">
        <v>16669</v>
      </c>
      <c r="AH16" s="133">
        <f>AB16/AB30</f>
        <v>0.31433142062250041</v>
      </c>
      <c r="AI16" s="133">
        <f>AC16/AC30</f>
        <v>0.37226499395037277</v>
      </c>
      <c r="AK16" s="31">
        <f t="shared" si="92"/>
        <v>1506.6442340000001</v>
      </c>
      <c r="AL16" s="133">
        <f t="shared" si="6"/>
        <v>0.30664027973118629</v>
      </c>
      <c r="AO16" t="s">
        <v>469</v>
      </c>
      <c r="AP16" s="160">
        <v>0</v>
      </c>
      <c r="AQ16" s="31">
        <f t="shared" si="42"/>
        <v>0</v>
      </c>
      <c r="AR16">
        <v>4</v>
      </c>
      <c r="AS16">
        <f t="shared" si="43"/>
        <v>0.04</v>
      </c>
      <c r="AT16">
        <v>0.86499999999999999</v>
      </c>
      <c r="AU16">
        <f t="shared" si="44"/>
        <v>3.4599999999999999E-2</v>
      </c>
      <c r="AV16">
        <v>43</v>
      </c>
      <c r="AW16">
        <f t="shared" si="45"/>
        <v>1.4878</v>
      </c>
      <c r="AX16">
        <v>74.054734089485606</v>
      </c>
      <c r="AY16">
        <v>1.1457692289250001E-4</v>
      </c>
      <c r="AZ16">
        <v>2.5659043229536902E-3</v>
      </c>
      <c r="BA16" s="31">
        <f t="shared" si="46"/>
        <v>0</v>
      </c>
      <c r="BB16" s="31">
        <f t="shared" si="47"/>
        <v>0</v>
      </c>
      <c r="BC16" s="31">
        <f>$BA16*AY16</f>
        <v>0</v>
      </c>
      <c r="BD16" s="31">
        <f t="shared" si="49"/>
        <v>0</v>
      </c>
      <c r="BE16" s="697">
        <f t="shared" si="50"/>
        <v>0</v>
      </c>
      <c r="BF16">
        <v>5.34</v>
      </c>
      <c r="BG16">
        <f t="shared" si="51"/>
        <v>0</v>
      </c>
      <c r="BH16" s="446">
        <f t="shared" si="52"/>
        <v>0</v>
      </c>
      <c r="BI16">
        <v>138.4</v>
      </c>
      <c r="BJ16" s="446">
        <f t="shared" si="53"/>
        <v>0</v>
      </c>
      <c r="BL16" t="s">
        <v>215</v>
      </c>
      <c r="BM16" s="31">
        <f>SUM(BE23:BE24)</f>
        <v>12722.76443627958</v>
      </c>
      <c r="BN16" s="31">
        <f>SUM(BH23:BH24)</f>
        <v>12419.796617337628</v>
      </c>
      <c r="BO16" s="31">
        <f>SUM(BJ23:BJ24)</f>
        <v>17240.073901148091</v>
      </c>
      <c r="BR16" s="782" t="s">
        <v>169</v>
      </c>
      <c r="BS16" s="784">
        <v>88778</v>
      </c>
      <c r="BT16" s="784">
        <v>51515</v>
      </c>
      <c r="BU16" s="783">
        <v>0.57999999999999996</v>
      </c>
      <c r="BV16" s="782">
        <v>42.2</v>
      </c>
      <c r="BW16" s="784">
        <v>15404</v>
      </c>
      <c r="BY16" s="133">
        <f>BS16/BS30</f>
        <v>0.32252533068855149</v>
      </c>
      <c r="BZ16" s="133">
        <f>BT16/BT30</f>
        <v>0.3623861278182266</v>
      </c>
      <c r="CB16" s="31">
        <f t="shared" si="93"/>
        <v>1367.536312</v>
      </c>
      <c r="CC16" s="133">
        <f t="shared" si="0"/>
        <v>0.32815822004581735</v>
      </c>
      <c r="CF16" t="s">
        <v>469</v>
      </c>
      <c r="CG16" s="160">
        <v>0</v>
      </c>
      <c r="CH16" s="31">
        <f t="shared" si="54"/>
        <v>0</v>
      </c>
      <c r="CI16">
        <v>4</v>
      </c>
      <c r="CJ16">
        <f t="shared" si="55"/>
        <v>0.04</v>
      </c>
      <c r="CK16">
        <v>0.86499999999999999</v>
      </c>
      <c r="CL16">
        <f t="shared" si="56"/>
        <v>3.4599999999999999E-2</v>
      </c>
      <c r="CM16">
        <v>43</v>
      </c>
      <c r="CN16">
        <f t="shared" si="57"/>
        <v>1.4878</v>
      </c>
      <c r="CO16">
        <v>74.054734089485606</v>
      </c>
      <c r="CP16">
        <v>1.1457692289250001E-4</v>
      </c>
      <c r="CQ16">
        <v>2.5659043229536902E-3</v>
      </c>
      <c r="CR16" s="31">
        <f t="shared" si="16"/>
        <v>0</v>
      </c>
      <c r="CS16" s="31">
        <f t="shared" si="17"/>
        <v>0</v>
      </c>
      <c r="CT16" s="31">
        <f t="shared" si="18"/>
        <v>0</v>
      </c>
      <c r="CU16" s="31">
        <f t="shared" si="19"/>
        <v>0</v>
      </c>
      <c r="CV16" s="697">
        <f t="shared" si="20"/>
        <v>0</v>
      </c>
      <c r="CW16">
        <v>5.34</v>
      </c>
      <c r="CX16">
        <f t="shared" si="21"/>
        <v>0</v>
      </c>
      <c r="CY16" s="446">
        <f t="shared" si="58"/>
        <v>0</v>
      </c>
      <c r="CZ16">
        <v>138.4</v>
      </c>
      <c r="DA16" s="446">
        <f t="shared" si="22"/>
        <v>0</v>
      </c>
      <c r="DC16" t="s">
        <v>215</v>
      </c>
      <c r="DD16" s="31">
        <f>SUM(CV23:CV24)</f>
        <v>9969.3268968693646</v>
      </c>
      <c r="DE16" s="31">
        <f>SUM(CY23:CY24)</f>
        <v>9731.9447038912767</v>
      </c>
      <c r="DF16" s="31">
        <f>SUM(DA23:DA24)</f>
        <v>13508.979817819965</v>
      </c>
      <c r="DI16" s="679" t="s">
        <v>169</v>
      </c>
      <c r="DJ16" s="673">
        <v>88209</v>
      </c>
      <c r="DK16" s="673">
        <v>44654</v>
      </c>
      <c r="DL16" s="672">
        <v>0.51</v>
      </c>
      <c r="DM16" s="671">
        <v>42.55</v>
      </c>
      <c r="DN16" s="680">
        <v>15530</v>
      </c>
      <c r="DP16" s="133">
        <f>DJ16/DJ30</f>
        <v>0.32716651521614154</v>
      </c>
      <c r="DQ16" s="133">
        <f>DK16/DK30</f>
        <v>0.33788599922819074</v>
      </c>
      <c r="DS16" s="31">
        <f t="shared" si="94"/>
        <v>1369.8857700000001</v>
      </c>
      <c r="DT16" s="133">
        <f t="shared" si="1"/>
        <v>0.3287220032145618</v>
      </c>
      <c r="DW16" t="s">
        <v>469</v>
      </c>
      <c r="DX16" s="160">
        <v>0</v>
      </c>
      <c r="DY16" s="31">
        <f t="shared" si="23"/>
        <v>0</v>
      </c>
      <c r="DZ16">
        <v>4</v>
      </c>
      <c r="EA16">
        <f t="shared" si="78"/>
        <v>0.04</v>
      </c>
      <c r="EB16">
        <v>0.86499999999999999</v>
      </c>
      <c r="EC16">
        <f t="shared" si="79"/>
        <v>3.4599999999999999E-2</v>
      </c>
      <c r="ED16">
        <v>43</v>
      </c>
      <c r="EE16">
        <f t="shared" si="80"/>
        <v>1.4878</v>
      </c>
      <c r="EF16">
        <v>73.367636682232202</v>
      </c>
      <c r="EG16">
        <f>0.06636778941357/1000</f>
        <v>6.6367789413569991E-5</v>
      </c>
      <c r="EH16">
        <f>2.52657658902305/1000</f>
        <v>2.5265765890230499E-3</v>
      </c>
      <c r="EI16" s="31">
        <f t="shared" si="24"/>
        <v>0</v>
      </c>
      <c r="EJ16" s="31">
        <f t="shared" si="25"/>
        <v>0</v>
      </c>
      <c r="EK16" s="31">
        <f t="shared" si="26"/>
        <v>0</v>
      </c>
      <c r="EL16" s="31">
        <f t="shared" si="27"/>
        <v>0</v>
      </c>
      <c r="EM16" s="697">
        <f t="shared" si="62"/>
        <v>0</v>
      </c>
      <c r="EN16">
        <v>5.34</v>
      </c>
      <c r="EO16">
        <f t="shared" si="28"/>
        <v>0</v>
      </c>
      <c r="EP16" s="446">
        <f t="shared" si="81"/>
        <v>0</v>
      </c>
      <c r="EQ16">
        <v>138.4</v>
      </c>
      <c r="ER16" s="446">
        <f t="shared" si="29"/>
        <v>0</v>
      </c>
      <c r="ET16" t="s">
        <v>215</v>
      </c>
      <c r="EU16" s="31">
        <f>SUM(EM23:EM24)</f>
        <v>12192.543883759765</v>
      </c>
      <c r="EV16" s="31">
        <f>SUM(EP23:EP24)</f>
        <v>12040.369071106743</v>
      </c>
      <c r="EW16" s="31">
        <f>SUM(ER23:ER24)</f>
        <v>16713.303843827831</v>
      </c>
      <c r="EY16" s="146" t="s">
        <v>169</v>
      </c>
      <c r="EZ16" s="169">
        <v>87423</v>
      </c>
      <c r="FA16" s="169">
        <v>38834</v>
      </c>
      <c r="FB16" s="148">
        <v>0.44</v>
      </c>
      <c r="FC16" s="147">
        <v>43.87</v>
      </c>
      <c r="FD16" s="149">
        <v>16013</v>
      </c>
      <c r="FF16" s="133">
        <f t="shared" ref="FF16:FG21" si="95">EZ16/EZ23</f>
        <v>0.32399888816825723</v>
      </c>
      <c r="FG16" s="133">
        <f t="shared" si="95"/>
        <v>0.30740125069263041</v>
      </c>
      <c r="FI16" s="31">
        <f t="shared" si="2"/>
        <v>1399.904499</v>
      </c>
      <c r="FJ16" s="133">
        <f t="shared" si="12"/>
        <v>0.32956545119115854</v>
      </c>
      <c r="FM16" t="s">
        <v>469</v>
      </c>
      <c r="FN16" s="160">
        <v>0</v>
      </c>
      <c r="FO16" s="31">
        <f t="shared" si="30"/>
        <v>0</v>
      </c>
      <c r="FP16">
        <v>4</v>
      </c>
      <c r="FQ16">
        <f t="shared" si="64"/>
        <v>0.04</v>
      </c>
      <c r="FR16">
        <v>0.86499999999999999</v>
      </c>
      <c r="FS16">
        <f t="shared" si="65"/>
        <v>3.4599999999999999E-2</v>
      </c>
      <c r="FT16">
        <v>43</v>
      </c>
      <c r="FU16">
        <f t="shared" si="66"/>
        <v>1.4878</v>
      </c>
      <c r="FV16">
        <v>75.416541095973002</v>
      </c>
      <c r="FW16">
        <f t="shared" si="82"/>
        <v>7.8785263264484397E-3</v>
      </c>
      <c r="FX16">
        <f t="shared" si="83"/>
        <v>9.3521034397127997E-4</v>
      </c>
      <c r="FY16" s="31">
        <f t="shared" si="31"/>
        <v>0</v>
      </c>
      <c r="FZ16" s="31">
        <f t="shared" si="67"/>
        <v>0</v>
      </c>
      <c r="GA16" s="31">
        <f t="shared" si="32"/>
        <v>0</v>
      </c>
      <c r="GB16" s="31">
        <f t="shared" si="32"/>
        <v>0</v>
      </c>
      <c r="GC16" s="697">
        <f t="shared" si="33"/>
        <v>0</v>
      </c>
      <c r="GD16">
        <v>5.34</v>
      </c>
      <c r="GE16">
        <f t="shared" si="34"/>
        <v>0</v>
      </c>
      <c r="GF16" s="446">
        <f t="shared" si="68"/>
        <v>0</v>
      </c>
      <c r="GG16">
        <v>138.4</v>
      </c>
      <c r="GH16" s="446">
        <f t="shared" si="35"/>
        <v>0</v>
      </c>
      <c r="GJ16" t="s">
        <v>215</v>
      </c>
      <c r="GK16" s="31">
        <f>SUM(GC23:GC24)</f>
        <v>15349.830828563403</v>
      </c>
      <c r="GL16" s="31">
        <f>SUM(GF23:GF24)</f>
        <v>15157.679575686412</v>
      </c>
      <c r="GM16" s="31">
        <f>SUM(GH23:GH24)</f>
        <v>21040.05482263102</v>
      </c>
      <c r="GO16" s="679" t="s">
        <v>169</v>
      </c>
      <c r="GP16" s="673">
        <v>84557</v>
      </c>
      <c r="GQ16" s="673">
        <v>37498</v>
      </c>
      <c r="GR16" s="672">
        <v>0.44</v>
      </c>
      <c r="GS16" s="671">
        <v>43.95</v>
      </c>
      <c r="GT16" s="680">
        <v>16040</v>
      </c>
      <c r="GV16" s="133">
        <f t="shared" ref="GV16:GV21" si="96">GP16/GP23</f>
        <v>0.31623925230848632</v>
      </c>
      <c r="GW16" s="133">
        <f t="shared" ref="GW16:GW21" si="97">GQ16/GQ23</f>
        <v>0.28665127585732414</v>
      </c>
      <c r="GY16" s="31">
        <f t="shared" si="3"/>
        <v>1356.2942800000001</v>
      </c>
      <c r="GZ16" s="133">
        <f t="shared" si="15"/>
        <v>0.31929873548908966</v>
      </c>
      <c r="HC16" t="s">
        <v>469</v>
      </c>
      <c r="HD16" s="160">
        <v>0</v>
      </c>
      <c r="HE16" s="31">
        <f t="shared" si="36"/>
        <v>0</v>
      </c>
      <c r="HF16">
        <v>4</v>
      </c>
      <c r="HG16">
        <f t="shared" si="69"/>
        <v>0.04</v>
      </c>
      <c r="HH16">
        <v>0.86499999999999999</v>
      </c>
      <c r="HI16">
        <f t="shared" si="70"/>
        <v>3.4599999999999999E-2</v>
      </c>
      <c r="HJ16">
        <v>43</v>
      </c>
      <c r="HK16">
        <f t="shared" si="71"/>
        <v>1.4878</v>
      </c>
      <c r="HL16">
        <v>75.416541095973002</v>
      </c>
      <c r="HM16">
        <f t="shared" si="84"/>
        <v>7.8785263264484397E-3</v>
      </c>
      <c r="HN16">
        <f t="shared" si="85"/>
        <v>9.3521034397127997E-4</v>
      </c>
      <c r="HO16" s="31">
        <f t="shared" si="37"/>
        <v>0</v>
      </c>
      <c r="HP16" s="31">
        <f t="shared" si="72"/>
        <v>0</v>
      </c>
      <c r="HQ16" s="31">
        <f t="shared" si="38"/>
        <v>0</v>
      </c>
      <c r="HR16" s="31">
        <f t="shared" si="38"/>
        <v>0</v>
      </c>
      <c r="HS16" s="697">
        <f t="shared" si="39"/>
        <v>0</v>
      </c>
      <c r="HT16">
        <v>5.34</v>
      </c>
      <c r="HU16">
        <f t="shared" si="40"/>
        <v>0</v>
      </c>
      <c r="HV16" s="446">
        <f t="shared" si="73"/>
        <v>0</v>
      </c>
      <c r="HW16">
        <v>138.4</v>
      </c>
      <c r="HX16" s="446">
        <f t="shared" si="41"/>
        <v>0</v>
      </c>
      <c r="HZ16" t="s">
        <v>215</v>
      </c>
      <c r="IA16" s="31">
        <f>SUM(HS23:HS24)</f>
        <v>14891.690582146965</v>
      </c>
      <c r="IB16" s="31">
        <f>SUM(HV23:HV24)</f>
        <v>14705.181089911972</v>
      </c>
      <c r="IC16" s="31">
        <f>SUM(HX23:HX24)</f>
        <v>20411.88495205138</v>
      </c>
      <c r="IE16" t="s">
        <v>215</v>
      </c>
      <c r="IF16" s="31">
        <f t="shared" si="86"/>
        <v>14485.481623602371</v>
      </c>
      <c r="IG16" s="31">
        <f t="shared" si="87"/>
        <v>14304.059654921641</v>
      </c>
      <c r="IH16" s="31">
        <f t="shared" si="88"/>
        <v>19855.098569567366</v>
      </c>
      <c r="IJ16" t="s">
        <v>215</v>
      </c>
      <c r="IK16" s="31">
        <f t="shared" si="89"/>
        <v>13412.144076087643</v>
      </c>
      <c r="IL16" s="31">
        <f t="shared" si="90"/>
        <v>13244.165016382185</v>
      </c>
      <c r="IM16" s="31">
        <f t="shared" si="91"/>
        <v>18383.885988716858</v>
      </c>
    </row>
    <row r="17" spans="1:247" ht="16.5" customHeight="1" thickBot="1">
      <c r="A17" s="969"/>
      <c r="B17" s="366" t="s">
        <v>19</v>
      </c>
      <c r="C17" s="367">
        <v>34593</v>
      </c>
      <c r="D17" s="368">
        <v>38833</v>
      </c>
      <c r="E17" s="369">
        <v>38760.78330939178</v>
      </c>
      <c r="F17" s="370">
        <v>112186.78330939179</v>
      </c>
      <c r="G17" s="407">
        <v>802805.16573778109</v>
      </c>
      <c r="H17" s="372"/>
      <c r="I17" s="364"/>
      <c r="J17" s="364"/>
      <c r="K17" s="364"/>
      <c r="L17" s="364"/>
      <c r="M17" s="545"/>
      <c r="Q17" t="s">
        <v>481</v>
      </c>
      <c r="R17" t="s">
        <v>228</v>
      </c>
      <c r="S17" s="25" t="s">
        <v>482</v>
      </c>
      <c r="T17" s="25" t="s">
        <v>483</v>
      </c>
      <c r="U17" s="25" t="s">
        <v>484</v>
      </c>
      <c r="V17" s="25" t="s">
        <v>485</v>
      </c>
      <c r="W17" s="25" t="s">
        <v>230</v>
      </c>
      <c r="AA17" s="842" t="s">
        <v>190</v>
      </c>
      <c r="AB17" s="840">
        <v>1192</v>
      </c>
      <c r="AC17" s="842">
        <v>694</v>
      </c>
      <c r="AD17" s="841">
        <v>0.57999999999999996</v>
      </c>
      <c r="AE17" s="842">
        <v>72.760000000000005</v>
      </c>
      <c r="AF17" s="849">
        <v>26557</v>
      </c>
      <c r="AH17" s="133">
        <f t="shared" ref="AH17:AH19" si="98">AB17/AB31</f>
        <v>0.9078446306169079</v>
      </c>
      <c r="AI17" s="133">
        <f t="shared" ref="AI17:AI21" si="99">AC17/AC31</f>
        <v>0.93279569892473113</v>
      </c>
      <c r="AK17" s="31">
        <f t="shared" si="92"/>
        <v>31.655944000000002</v>
      </c>
      <c r="AL17" s="133">
        <f t="shared" si="6"/>
        <v>6.4427867603114378E-3</v>
      </c>
      <c r="AO17" t="s">
        <v>470</v>
      </c>
      <c r="AP17" s="160">
        <f>AL27</f>
        <v>3.5449687522640791E-3</v>
      </c>
      <c r="AQ17" s="31">
        <f t="shared" si="42"/>
        <v>4.7835218393157577</v>
      </c>
      <c r="AR17">
        <v>4</v>
      </c>
      <c r="AS17">
        <f t="shared" si="43"/>
        <v>0.04</v>
      </c>
      <c r="AT17">
        <v>0.86499999999999999</v>
      </c>
      <c r="AU17">
        <f t="shared" si="44"/>
        <v>3.4599999999999999E-2</v>
      </c>
      <c r="AV17">
        <v>43</v>
      </c>
      <c r="AW17">
        <f t="shared" si="45"/>
        <v>1.4878</v>
      </c>
      <c r="AX17">
        <v>74.054734089485606</v>
      </c>
      <c r="AY17">
        <v>1.1457692289250001E-4</v>
      </c>
      <c r="AZ17">
        <v>2.5659043229536902E-3</v>
      </c>
      <c r="BA17" s="31">
        <f t="shared" si="46"/>
        <v>7.1169237925339841</v>
      </c>
      <c r="BB17" s="31">
        <f t="shared" si="47"/>
        <v>527.04189899123764</v>
      </c>
      <c r="BC17" s="31">
        <f t="shared" si="48"/>
        <v>8.1543522860896497E-4</v>
      </c>
      <c r="BD17" s="31">
        <f>$BA17*AZ17</f>
        <v>1.826134552539492E-2</v>
      </c>
      <c r="BE17" s="697">
        <f t="shared" si="50"/>
        <v>531.90398774186838</v>
      </c>
      <c r="BF17">
        <v>6.34</v>
      </c>
      <c r="BG17">
        <f t="shared" si="51"/>
        <v>1213101.1384504761</v>
      </c>
      <c r="BH17" s="446">
        <f t="shared" si="52"/>
        <v>1213.1011384504761</v>
      </c>
      <c r="BI17">
        <v>138.4</v>
      </c>
      <c r="BJ17" s="446">
        <f t="shared" si="53"/>
        <v>662.03942256130085</v>
      </c>
      <c r="BL17" t="s">
        <v>199</v>
      </c>
      <c r="BM17" s="31">
        <f>SUM(BE25:BE26)</f>
        <v>16187.567206602902</v>
      </c>
      <c r="BN17" s="31">
        <f>SUM(BH25:BH26)</f>
        <v>15870.422696485382</v>
      </c>
      <c r="BO17" s="31">
        <f>SUM(BJ25:BJ26)</f>
        <v>17232.388275223249</v>
      </c>
      <c r="BR17" s="779" t="s">
        <v>190</v>
      </c>
      <c r="BS17" s="780">
        <v>1238</v>
      </c>
      <c r="BT17" s="779">
        <v>627</v>
      </c>
      <c r="BU17" s="781">
        <v>0.51</v>
      </c>
      <c r="BV17" s="779">
        <v>45.4</v>
      </c>
      <c r="BW17" s="780">
        <v>16570</v>
      </c>
      <c r="BY17" s="133">
        <f t="shared" ref="BY17:BY20" si="100">BS17/BS31</f>
        <v>0.91096394407652681</v>
      </c>
      <c r="BZ17" s="133">
        <f t="shared" ref="BZ17:BZ21" si="101">BT17/BT31</f>
        <v>0.92614475627769577</v>
      </c>
      <c r="CB17" s="31">
        <f t="shared" si="93"/>
        <v>20.513660000000002</v>
      </c>
      <c r="CC17" s="133">
        <f t="shared" si="0"/>
        <v>4.9225209547672198E-3</v>
      </c>
      <c r="CF17" t="s">
        <v>470</v>
      </c>
      <c r="CG17" s="160">
        <f t="shared" ref="CG17:CG18" si="102">CC27</f>
        <v>3.575129242565003E-3</v>
      </c>
      <c r="CH17" s="31">
        <f t="shared" si="54"/>
        <v>4.7497753224591124</v>
      </c>
      <c r="CI17">
        <v>4</v>
      </c>
      <c r="CJ17">
        <f t="shared" si="55"/>
        <v>0.04</v>
      </c>
      <c r="CK17">
        <v>0.86499999999999999</v>
      </c>
      <c r="CL17">
        <f t="shared" si="56"/>
        <v>3.4599999999999999E-2</v>
      </c>
      <c r="CM17">
        <v>43</v>
      </c>
      <c r="CN17">
        <f t="shared" si="57"/>
        <v>1.4878</v>
      </c>
      <c r="CO17">
        <v>74.054734089485606</v>
      </c>
      <c r="CP17">
        <v>1.1457692289250001E-4</v>
      </c>
      <c r="CQ17">
        <v>2.5659043229536902E-3</v>
      </c>
      <c r="CR17" s="31">
        <f t="shared" si="16"/>
        <v>7.0667157247546672</v>
      </c>
      <c r="CS17" s="31">
        <f t="shared" si="17"/>
        <v>523.3237538826935</v>
      </c>
      <c r="CT17" s="31">
        <f t="shared" si="18"/>
        <v>8.0968254269843279E-4</v>
      </c>
      <c r="CU17" s="31">
        <f t="shared" si="19"/>
        <v>1.813251642723282E-2</v>
      </c>
      <c r="CV17" s="697">
        <f t="shared" si="20"/>
        <v>528.1515418471057</v>
      </c>
      <c r="CW17">
        <v>6.34</v>
      </c>
      <c r="CX17">
        <f t="shared" si="21"/>
        <v>1204543.0217756308</v>
      </c>
      <c r="CY17" s="446">
        <f t="shared" si="58"/>
        <v>1204.5430217756307</v>
      </c>
      <c r="CZ17">
        <v>138.4</v>
      </c>
      <c r="DA17" s="446">
        <f t="shared" si="22"/>
        <v>657.36890462834117</v>
      </c>
      <c r="DC17" t="s">
        <v>199</v>
      </c>
      <c r="DD17" s="31">
        <f>SUM(CV25:CV26)</f>
        <v>15811.258387344336</v>
      </c>
      <c r="DE17" s="31">
        <f>SUM(CY25:CY26)</f>
        <v>15502.763330496678</v>
      </c>
      <c r="DF17" s="31">
        <f>SUM(DA25:DA26)</f>
        <v>16768.073378896424</v>
      </c>
      <c r="DI17" s="677" t="s">
        <v>190</v>
      </c>
      <c r="DJ17" s="668">
        <v>1257</v>
      </c>
      <c r="DK17" s="670">
        <v>559</v>
      </c>
      <c r="DL17" s="669">
        <v>0.44</v>
      </c>
      <c r="DM17" s="670">
        <v>60.13</v>
      </c>
      <c r="DN17" s="678">
        <v>21948</v>
      </c>
      <c r="DP17" s="133">
        <f t="shared" ref="DP17:DP20" si="103">DJ17/DJ31</f>
        <v>0.92699115044247793</v>
      </c>
      <c r="DQ17" s="133">
        <f t="shared" ref="DQ17:DQ21" si="104">DK17/DK31</f>
        <v>0.91940789473684215</v>
      </c>
      <c r="DS17" s="31">
        <f t="shared" si="94"/>
        <v>27.588636000000001</v>
      </c>
      <c r="DT17" s="133">
        <f>DS17/$DS$36</f>
        <v>6.6202539587496955E-3</v>
      </c>
      <c r="DW17" t="s">
        <v>470</v>
      </c>
      <c r="DX17" s="160">
        <f t="shared" si="77"/>
        <v>2.8389597195019396E-3</v>
      </c>
      <c r="DY17" s="31">
        <f t="shared" si="23"/>
        <v>3.4487253718144126</v>
      </c>
      <c r="DZ17">
        <v>4</v>
      </c>
      <c r="EA17">
        <f t="shared" si="78"/>
        <v>0.04</v>
      </c>
      <c r="EB17">
        <v>0.86499999999999999</v>
      </c>
      <c r="EC17">
        <f t="shared" si="79"/>
        <v>3.4599999999999999E-2</v>
      </c>
      <c r="ED17">
        <v>43</v>
      </c>
      <c r="EE17">
        <f t="shared" si="80"/>
        <v>1.4878</v>
      </c>
      <c r="EF17">
        <v>73.367636682232202</v>
      </c>
      <c r="EG17">
        <f>0.06636778941357/1000</f>
        <v>6.6367789413569991E-5</v>
      </c>
      <c r="EH17">
        <f>2.52657658902305/1000</f>
        <v>2.5265765890230499E-3</v>
      </c>
      <c r="EI17" s="31">
        <f t="shared" si="24"/>
        <v>5.1310136081854836</v>
      </c>
      <c r="EJ17" s="31">
        <f t="shared" si="25"/>
        <v>376.45034221694192</v>
      </c>
      <c r="EK17" s="31">
        <f t="shared" si="26"/>
        <v>3.4053403062621611E-4</v>
      </c>
      <c r="EL17" s="31">
        <f t="shared" si="27"/>
        <v>1.2963898860400131E-2</v>
      </c>
      <c r="EM17" s="697">
        <f t="shared" si="62"/>
        <v>379.89531036780545</v>
      </c>
      <c r="EN17">
        <v>6.34</v>
      </c>
      <c r="EO17">
        <f t="shared" si="28"/>
        <v>874596.75429213501</v>
      </c>
      <c r="EP17" s="446">
        <f t="shared" si="81"/>
        <v>874.59675429213496</v>
      </c>
      <c r="EQ17">
        <v>138.4</v>
      </c>
      <c r="ER17" s="446">
        <f t="shared" si="29"/>
        <v>477.30359145911467</v>
      </c>
      <c r="ET17" t="s">
        <v>199</v>
      </c>
      <c r="EU17" s="31">
        <f>SUM(EM25:EM26)</f>
        <v>13922.276304493953</v>
      </c>
      <c r="EV17" s="31">
        <f>SUM(EP25:EP26)</f>
        <v>13754.06762854457</v>
      </c>
      <c r="EW17" s="31">
        <f>SUM(ER25:ER26)</f>
        <v>14892.676081643898</v>
      </c>
      <c r="EY17" s="128" t="s">
        <v>190</v>
      </c>
      <c r="EZ17" s="129">
        <v>1303</v>
      </c>
      <c r="FA17" s="131">
        <v>694</v>
      </c>
      <c r="FB17" s="130">
        <v>0.53</v>
      </c>
      <c r="FC17" s="131">
        <v>74.41</v>
      </c>
      <c r="FD17" s="132">
        <v>27158</v>
      </c>
      <c r="FF17" s="133">
        <f t="shared" si="95"/>
        <v>0.94011544011544013</v>
      </c>
      <c r="FG17" s="133">
        <f t="shared" si="95"/>
        <v>0.91436100131752307</v>
      </c>
      <c r="FI17" s="31">
        <f t="shared" si="2"/>
        <v>35.386873999999999</v>
      </c>
      <c r="FJ17" s="133">
        <f t="shared" si="12"/>
        <v>8.3307762096524827E-3</v>
      </c>
      <c r="FM17" t="s">
        <v>470</v>
      </c>
      <c r="FN17" s="160">
        <v>0</v>
      </c>
      <c r="FO17" s="31">
        <f t="shared" si="30"/>
        <v>0</v>
      </c>
      <c r="FP17">
        <v>4</v>
      </c>
      <c r="FQ17">
        <f t="shared" si="64"/>
        <v>0.04</v>
      </c>
      <c r="FR17">
        <v>0.86499999999999999</v>
      </c>
      <c r="FS17">
        <f t="shared" si="65"/>
        <v>3.4599999999999999E-2</v>
      </c>
      <c r="FT17">
        <v>43</v>
      </c>
      <c r="FU17">
        <f t="shared" si="66"/>
        <v>1.4878</v>
      </c>
      <c r="FV17">
        <v>76.416541095973002</v>
      </c>
      <c r="FW17">
        <f t="shared" si="82"/>
        <v>7.8785263264484397E-3</v>
      </c>
      <c r="FX17">
        <f t="shared" si="83"/>
        <v>9.3521034397127997E-4</v>
      </c>
      <c r="FY17" s="31">
        <f t="shared" si="31"/>
        <v>0</v>
      </c>
      <c r="FZ17" s="31">
        <f t="shared" si="67"/>
        <v>0</v>
      </c>
      <c r="GA17" s="31">
        <f t="shared" si="32"/>
        <v>0</v>
      </c>
      <c r="GB17" s="31">
        <f t="shared" si="32"/>
        <v>0</v>
      </c>
      <c r="GC17" s="697">
        <f t="shared" si="33"/>
        <v>0</v>
      </c>
      <c r="GD17">
        <v>6.34</v>
      </c>
      <c r="GE17">
        <f t="shared" si="34"/>
        <v>0</v>
      </c>
      <c r="GF17" s="446">
        <f t="shared" si="68"/>
        <v>0</v>
      </c>
      <c r="GG17">
        <v>138.4</v>
      </c>
      <c r="GH17" s="446">
        <f t="shared" si="35"/>
        <v>0</v>
      </c>
      <c r="GJ17" t="s">
        <v>199</v>
      </c>
      <c r="GK17" s="31">
        <f>SUM(GC25:GC26)</f>
        <v>15488.052883239328</v>
      </c>
      <c r="GL17" s="31">
        <f>SUM(GF25:GF26)</f>
        <v>15295.27963497177</v>
      </c>
      <c r="GM17" s="31">
        <f>SUM(GH25:GH26)</f>
        <v>16513.466391833874</v>
      </c>
      <c r="GO17" s="677" t="s">
        <v>190</v>
      </c>
      <c r="GP17" s="668">
        <v>1346</v>
      </c>
      <c r="GQ17" s="670">
        <v>708</v>
      </c>
      <c r="GR17" s="669">
        <v>0.53</v>
      </c>
      <c r="GS17" s="670">
        <v>77.06</v>
      </c>
      <c r="GT17" s="678">
        <v>28128</v>
      </c>
      <c r="GV17" s="133">
        <f t="shared" si="96"/>
        <v>0.9295580110497238</v>
      </c>
      <c r="GW17" s="133">
        <f t="shared" si="97"/>
        <v>0.91354838709677422</v>
      </c>
      <c r="GY17" s="31">
        <f t="shared" si="3"/>
        <v>37.860287999999997</v>
      </c>
      <c r="GZ17" s="133">
        <f t="shared" si="15"/>
        <v>8.9130672169853535E-3</v>
      </c>
      <c r="HC17" t="s">
        <v>470</v>
      </c>
      <c r="HD17" s="160">
        <v>0</v>
      </c>
      <c r="HE17" s="31">
        <f t="shared" si="36"/>
        <v>0</v>
      </c>
      <c r="HF17">
        <v>4</v>
      </c>
      <c r="HG17">
        <f t="shared" si="69"/>
        <v>0.04</v>
      </c>
      <c r="HH17">
        <v>0.86499999999999999</v>
      </c>
      <c r="HI17">
        <f t="shared" si="70"/>
        <v>3.4599999999999999E-2</v>
      </c>
      <c r="HJ17">
        <v>43</v>
      </c>
      <c r="HK17">
        <f t="shared" si="71"/>
        <v>1.4878</v>
      </c>
      <c r="HL17">
        <v>76.416541095973002</v>
      </c>
      <c r="HM17">
        <f t="shared" si="84"/>
        <v>7.8785263264484397E-3</v>
      </c>
      <c r="HN17">
        <f t="shared" si="85"/>
        <v>9.3521034397127997E-4</v>
      </c>
      <c r="HO17" s="31">
        <f t="shared" si="37"/>
        <v>0</v>
      </c>
      <c r="HP17" s="31">
        <f t="shared" si="72"/>
        <v>0</v>
      </c>
      <c r="HQ17" s="31">
        <f t="shared" si="38"/>
        <v>0</v>
      </c>
      <c r="HR17" s="31">
        <f t="shared" si="38"/>
        <v>0</v>
      </c>
      <c r="HS17" s="697">
        <f t="shared" si="39"/>
        <v>0</v>
      </c>
      <c r="HT17">
        <v>6.34</v>
      </c>
      <c r="HU17">
        <f t="shared" si="40"/>
        <v>0</v>
      </c>
      <c r="HV17" s="446">
        <f t="shared" si="73"/>
        <v>0</v>
      </c>
      <c r="HW17">
        <v>138.4</v>
      </c>
      <c r="HX17" s="446">
        <f t="shared" si="41"/>
        <v>0</v>
      </c>
      <c r="HZ17" t="s">
        <v>199</v>
      </c>
      <c r="IA17" s="31">
        <f>SUM(HS25:HS26)</f>
        <v>15250.10139615673</v>
      </c>
      <c r="IB17" s="31">
        <f>SUM(HV25:HV26)</f>
        <v>15065.724382352713</v>
      </c>
      <c r="IC17" s="31">
        <f>SUM(HX25:HX26)</f>
        <v>16311.848583951218</v>
      </c>
      <c r="IE17" t="s">
        <v>199</v>
      </c>
      <c r="IF17" s="31">
        <f t="shared" si="86"/>
        <v>14834.115865725493</v>
      </c>
      <c r="IG17" s="31">
        <f t="shared" si="87"/>
        <v>14654.768206670942</v>
      </c>
      <c r="IH17" s="31">
        <f t="shared" si="88"/>
        <v>15866.901182669084</v>
      </c>
      <c r="IJ17" t="s">
        <v>199</v>
      </c>
      <c r="IK17" s="31">
        <f t="shared" si="89"/>
        <v>13734.945402734184</v>
      </c>
      <c r="IL17" s="31">
        <f t="shared" si="90"/>
        <v>13568.886951558537</v>
      </c>
      <c r="IM17" s="31">
        <f t="shared" si="91"/>
        <v>14691.203940106203</v>
      </c>
    </row>
    <row r="18" spans="1:247" ht="16.5" customHeight="1" thickBot="1">
      <c r="A18" s="969"/>
      <c r="B18" s="366" t="s">
        <v>20</v>
      </c>
      <c r="C18" s="367">
        <v>38566</v>
      </c>
      <c r="D18" s="368">
        <v>40513</v>
      </c>
      <c r="E18" s="369">
        <v>39439.63451437137</v>
      </c>
      <c r="F18" s="370">
        <v>118518.63451437137</v>
      </c>
      <c r="G18" s="407">
        <v>921323.80025215249</v>
      </c>
      <c r="H18" s="372"/>
      <c r="I18" s="364"/>
      <c r="J18" s="364"/>
      <c r="K18" s="364"/>
      <c r="L18" s="364"/>
      <c r="M18" s="545"/>
      <c r="O18" s="219">
        <v>2012</v>
      </c>
      <c r="Q18" s="98">
        <v>4.235182</v>
      </c>
      <c r="R18" s="698">
        <f t="shared" ref="R18:R26" si="105">Q18*365*0.65</f>
        <v>1004.7969295</v>
      </c>
      <c r="S18" s="96">
        <f t="shared" ref="S18:S26" si="106">Q18/0.16</f>
        <v>26.469887499999999</v>
      </c>
      <c r="T18" s="96">
        <f>S18/0.0194</f>
        <v>1364.4271907216494</v>
      </c>
      <c r="U18" s="698">
        <f>T18*$U$16</f>
        <v>886.87767396907213</v>
      </c>
      <c r="V18" s="25">
        <f t="shared" ref="V18:V24" si="107">V19/(1+P19)</f>
        <v>978611.36711768457</v>
      </c>
      <c r="W18">
        <f t="shared" ref="W18:W24" si="108">V18/10^6*$W$16</f>
        <v>4.8636984945748925</v>
      </c>
      <c r="X18" s="446">
        <f>W18/$S$16/$T$16*$U$16</f>
        <v>1018.4935636190979</v>
      </c>
      <c r="AA18" s="843" t="s">
        <v>193</v>
      </c>
      <c r="AB18" s="845">
        <v>1816</v>
      </c>
      <c r="AC18" s="843">
        <v>1007</v>
      </c>
      <c r="AD18" s="844">
        <v>0.55000000000000004</v>
      </c>
      <c r="AE18" s="843">
        <v>118.17</v>
      </c>
      <c r="AF18" s="850">
        <v>43130</v>
      </c>
      <c r="AH18" s="133">
        <f t="shared" si="98"/>
        <v>0.98268398268398272</v>
      </c>
      <c r="AI18" s="133">
        <f t="shared" si="99"/>
        <v>0.99505928853754944</v>
      </c>
      <c r="AK18" s="31">
        <f t="shared" si="92"/>
        <v>78.324079999999995</v>
      </c>
      <c r="AL18" s="133">
        <f>AK18/$AK$36</f>
        <v>1.5940934999050221E-2</v>
      </c>
      <c r="AO18" t="s">
        <v>471</v>
      </c>
      <c r="AP18" s="160">
        <f>AL28</f>
        <v>4.5245488314478834E-3</v>
      </c>
      <c r="AQ18" s="31">
        <f t="shared" si="42"/>
        <v>6.1053508960998721</v>
      </c>
      <c r="AR18">
        <v>3</v>
      </c>
      <c r="AS18">
        <f t="shared" si="43"/>
        <v>0.03</v>
      </c>
      <c r="AT18">
        <v>0.75</v>
      </c>
      <c r="AU18">
        <f t="shared" si="44"/>
        <v>2.2499999999999999E-2</v>
      </c>
      <c r="AV18">
        <v>44.3</v>
      </c>
      <c r="AW18">
        <f t="shared" si="45"/>
        <v>0.99674999999999991</v>
      </c>
      <c r="AX18">
        <v>70.9769741921898</v>
      </c>
      <c r="AY18">
        <v>7.3169105356480999E-3</v>
      </c>
      <c r="AZ18">
        <v>6.0998104818480998E-4</v>
      </c>
      <c r="BA18" s="31">
        <f t="shared" si="46"/>
        <v>6.0855085056875469</v>
      </c>
      <c r="BB18" s="31">
        <f>$BA18*AX18</f>
        <v>431.93098015453654</v>
      </c>
      <c r="BC18" s="31">
        <f>$BA18*AY18</f>
        <v>4.4527121300041335E-2</v>
      </c>
      <c r="BD18" s="31">
        <f>$BA18*AZ18</f>
        <v>3.7120448570368667E-3</v>
      </c>
      <c r="BE18" s="697">
        <f t="shared" si="50"/>
        <v>434.16143143805249</v>
      </c>
      <c r="BF18">
        <v>2.34</v>
      </c>
      <c r="BG18">
        <f t="shared" si="51"/>
        <v>428595.63290621102</v>
      </c>
      <c r="BH18" s="446">
        <f t="shared" si="52"/>
        <v>428.59563290621099</v>
      </c>
      <c r="BI18">
        <v>2</v>
      </c>
      <c r="BJ18" s="446">
        <f t="shared" si="53"/>
        <v>12.210701792199744</v>
      </c>
      <c r="BL18" t="s">
        <v>201</v>
      </c>
      <c r="BM18" s="31">
        <f>SUM(BE27:BE28)</f>
        <v>41812.066497615582</v>
      </c>
      <c r="BN18" s="31">
        <f>SUM(BH27:BH28)</f>
        <v>40819.603901127586</v>
      </c>
      <c r="BO18" s="31">
        <f>SUM(BJ27:BJ28)</f>
        <v>44503.481067138418</v>
      </c>
      <c r="BR18" s="782" t="s">
        <v>193</v>
      </c>
      <c r="BS18" s="784">
        <v>1740</v>
      </c>
      <c r="BT18" s="782">
        <v>873</v>
      </c>
      <c r="BU18" s="783">
        <v>0.5</v>
      </c>
      <c r="BV18" s="782">
        <v>83.22</v>
      </c>
      <c r="BW18" s="784">
        <v>30376</v>
      </c>
      <c r="BY18" s="133">
        <f t="shared" si="100"/>
        <v>0.98194130925507905</v>
      </c>
      <c r="BZ18" s="133">
        <f t="shared" si="101"/>
        <v>0.99430523917995439</v>
      </c>
      <c r="CB18" s="31">
        <f t="shared" si="93"/>
        <v>52.854239999999997</v>
      </c>
      <c r="CC18" s="133">
        <f t="shared" si="0"/>
        <v>1.2683066013002835E-2</v>
      </c>
      <c r="CF18" t="s">
        <v>471</v>
      </c>
      <c r="CG18" s="160">
        <f t="shared" si="102"/>
        <v>4.7949901783664898E-3</v>
      </c>
      <c r="CH18" s="31">
        <f t="shared" si="54"/>
        <v>6.3704343187041781</v>
      </c>
      <c r="CI18">
        <v>3</v>
      </c>
      <c r="CJ18">
        <f t="shared" si="55"/>
        <v>0.03</v>
      </c>
      <c r="CK18">
        <v>0.75</v>
      </c>
      <c r="CL18">
        <f t="shared" si="56"/>
        <v>2.2499999999999999E-2</v>
      </c>
      <c r="CM18">
        <v>44.3</v>
      </c>
      <c r="CN18">
        <f t="shared" si="57"/>
        <v>0.99674999999999991</v>
      </c>
      <c r="CO18">
        <v>70.9769741921898</v>
      </c>
      <c r="CP18">
        <v>7.3169105356480999E-3</v>
      </c>
      <c r="CQ18">
        <v>6.0998104818480998E-4</v>
      </c>
      <c r="CR18" s="31">
        <f t="shared" si="16"/>
        <v>6.3497304071683889</v>
      </c>
      <c r="CS18" s="31">
        <f>$CR18*CO18</f>
        <v>450.68465123695358</v>
      </c>
      <c r="CT18" s="31">
        <f t="shared" si="18"/>
        <v>4.6460409314735482E-2</v>
      </c>
      <c r="CU18" s="31">
        <f t="shared" si="19"/>
        <v>3.8732152094555342E-3</v>
      </c>
      <c r="CV18" s="697">
        <f t="shared" si="20"/>
        <v>453.01194472827189</v>
      </c>
      <c r="CW18">
        <v>2.34</v>
      </c>
      <c r="CX18">
        <f t="shared" si="21"/>
        <v>447204.48917303327</v>
      </c>
      <c r="CY18" s="446">
        <f t="shared" si="58"/>
        <v>447.20448917303327</v>
      </c>
      <c r="CZ18">
        <v>2</v>
      </c>
      <c r="DA18" s="446">
        <f t="shared" si="22"/>
        <v>12.740868637408356</v>
      </c>
      <c r="DC18" t="s">
        <v>201</v>
      </c>
      <c r="DD18" s="31">
        <f>SUM(CV27:CV28)</f>
        <v>33915.819780740603</v>
      </c>
      <c r="DE18" s="31">
        <f>SUM(CY27:CY28)</f>
        <v>33113.197910460731</v>
      </c>
      <c r="DF18" s="31">
        <f>SUM(DA27:DA28)</f>
        <v>36017.434373829274</v>
      </c>
      <c r="DI18" s="679" t="s">
        <v>193</v>
      </c>
      <c r="DJ18" s="673">
        <v>1720</v>
      </c>
      <c r="DK18" s="671">
        <v>790</v>
      </c>
      <c r="DL18" s="672">
        <v>0.46</v>
      </c>
      <c r="DM18" s="671">
        <v>113.91</v>
      </c>
      <c r="DN18" s="680">
        <v>41576</v>
      </c>
      <c r="DP18" s="133">
        <f t="shared" si="103"/>
        <v>0.98341909662664384</v>
      </c>
      <c r="DQ18" s="133">
        <f t="shared" si="104"/>
        <v>0.99371069182389937</v>
      </c>
      <c r="DS18" s="31">
        <f t="shared" si="94"/>
        <v>71.510720000000006</v>
      </c>
      <c r="DT18" s="133">
        <f t="shared" si="1"/>
        <v>1.7159932342180346E-2</v>
      </c>
      <c r="DW18" t="s">
        <v>471</v>
      </c>
      <c r="DX18" s="160">
        <f t="shared" si="77"/>
        <v>5.027254279090323E-3</v>
      </c>
      <c r="DY18" s="31">
        <f t="shared" si="23"/>
        <v>6.1070325386311017</v>
      </c>
      <c r="DZ18">
        <v>3</v>
      </c>
      <c r="EA18">
        <f t="shared" ref="EA18:EA28" si="109">DZ18/100</f>
        <v>0.03</v>
      </c>
      <c r="EB18">
        <v>0.75</v>
      </c>
      <c r="EC18">
        <f t="shared" ref="EC18:EC28" si="110">EB18*EA18</f>
        <v>2.2499999999999999E-2</v>
      </c>
      <c r="ED18">
        <v>44.3</v>
      </c>
      <c r="EE18">
        <f t="shared" ref="EE18:EE28" si="111">ED18*EC18</f>
        <v>0.99674999999999991</v>
      </c>
      <c r="EF18">
        <v>72.416541095972974</v>
      </c>
      <c r="EG18">
        <f>7.87852632644844/1000</f>
        <v>7.8785263264484397E-3</v>
      </c>
      <c r="EH18">
        <f>0.93521034397128/1000</f>
        <v>9.3521034397127997E-4</v>
      </c>
      <c r="EI18" s="31">
        <f t="shared" si="24"/>
        <v>6.08718468288055</v>
      </c>
      <c r="EJ18" s="31">
        <f t="shared" si="25"/>
        <v>440.81285974659659</v>
      </c>
      <c r="EK18" s="31">
        <f t="shared" si="26"/>
        <v>4.7958044778028112E-2</v>
      </c>
      <c r="EL18" s="31">
        <f t="shared" si="27"/>
        <v>5.692798081093426E-3</v>
      </c>
      <c r="EM18" s="697">
        <f t="shared" si="62"/>
        <v>443.66427649187114</v>
      </c>
      <c r="EN18">
        <v>2.34</v>
      </c>
      <c r="EO18">
        <f t="shared" si="28"/>
        <v>428713.68421190331</v>
      </c>
      <c r="EP18" s="446">
        <f t="shared" ref="EP18:EP28" si="112">EO18/1000</f>
        <v>428.71368421190328</v>
      </c>
      <c r="EQ18">
        <v>2</v>
      </c>
      <c r="ER18" s="446">
        <f t="shared" si="29"/>
        <v>12.214065077262203</v>
      </c>
      <c r="ET18" t="s">
        <v>201</v>
      </c>
      <c r="EU18" s="31">
        <f>SUM(EM27:EM28)</f>
        <v>28749.466788112724</v>
      </c>
      <c r="EV18" s="31">
        <f>SUM(EP27:EP28)</f>
        <v>28374.106250652443</v>
      </c>
      <c r="EW18" s="31">
        <f>SUM(ER27:ER28)</f>
        <v>30873.337996540809</v>
      </c>
      <c r="EY18" s="146" t="s">
        <v>193</v>
      </c>
      <c r="EZ18" s="169">
        <v>1765</v>
      </c>
      <c r="FA18" s="147">
        <v>983</v>
      </c>
      <c r="FB18" s="148">
        <v>0.56000000000000005</v>
      </c>
      <c r="FC18" s="147">
        <v>127.72</v>
      </c>
      <c r="FD18" s="149">
        <v>46616</v>
      </c>
      <c r="FF18" s="133">
        <f t="shared" si="95"/>
        <v>0.9849330357142857</v>
      </c>
      <c r="FG18" s="133">
        <f t="shared" si="95"/>
        <v>0.99493927125506076</v>
      </c>
      <c r="FI18" s="31">
        <f t="shared" si="2"/>
        <v>82.277240000000006</v>
      </c>
      <c r="FJ18" s="133">
        <f t="shared" si="12"/>
        <v>1.9369703963901069E-2</v>
      </c>
      <c r="FM18" t="s">
        <v>471</v>
      </c>
      <c r="FN18" s="160">
        <v>0</v>
      </c>
      <c r="FO18" s="31">
        <f t="shared" si="30"/>
        <v>0</v>
      </c>
      <c r="FP18">
        <v>3</v>
      </c>
      <c r="FQ18">
        <f t="shared" ref="FQ18:FQ28" si="113">FP18/100</f>
        <v>0.03</v>
      </c>
      <c r="FR18">
        <v>0.75</v>
      </c>
      <c r="FS18">
        <f t="shared" ref="FS18:FS28" si="114">FR18*FQ18</f>
        <v>2.2499999999999999E-2</v>
      </c>
      <c r="FT18">
        <v>44.3</v>
      </c>
      <c r="FU18">
        <f t="shared" ref="FU18:FU28" si="115">FT18*FS18</f>
        <v>0.99674999999999991</v>
      </c>
      <c r="FV18">
        <v>72.416541095972974</v>
      </c>
      <c r="FW18">
        <f>7.87852632644844/1000</f>
        <v>7.8785263264484397E-3</v>
      </c>
      <c r="FX18">
        <f>0.93521034397128/1000</f>
        <v>9.3521034397127997E-4</v>
      </c>
      <c r="FY18" s="31">
        <f t="shared" si="31"/>
        <v>0</v>
      </c>
      <c r="FZ18" s="31">
        <f t="shared" si="67"/>
        <v>0</v>
      </c>
      <c r="GA18" s="31">
        <f t="shared" si="32"/>
        <v>0</v>
      </c>
      <c r="GB18" s="31">
        <f t="shared" si="32"/>
        <v>0</v>
      </c>
      <c r="GC18" s="697">
        <f t="shared" si="33"/>
        <v>0</v>
      </c>
      <c r="GD18">
        <v>2.34</v>
      </c>
      <c r="GE18">
        <f t="shared" si="34"/>
        <v>0</v>
      </c>
      <c r="GF18" s="446">
        <f t="shared" ref="GF18:GF28" si="116">GE18/1000</f>
        <v>0</v>
      </c>
      <c r="GG18">
        <v>2</v>
      </c>
      <c r="GH18" s="446">
        <f t="shared" si="35"/>
        <v>0</v>
      </c>
      <c r="GJ18" t="s">
        <v>201</v>
      </c>
      <c r="GK18" s="31">
        <f>SUM(GC27:GC28)</f>
        <v>32891.608494458364</v>
      </c>
      <c r="GL18" s="31">
        <f>SUM(GF27:GF28)</f>
        <v>32456.919260792463</v>
      </c>
      <c r="GM18" s="31">
        <f>SUM(GH27:GH28)</f>
        <v>35272.265041710292</v>
      </c>
      <c r="GO18" s="679" t="s">
        <v>193</v>
      </c>
      <c r="GP18" s="673">
        <v>1723</v>
      </c>
      <c r="GQ18" s="671">
        <v>946</v>
      </c>
      <c r="GR18" s="672">
        <v>0.55000000000000004</v>
      </c>
      <c r="GS18" s="671">
        <v>128.30000000000001</v>
      </c>
      <c r="GT18" s="680">
        <v>46829</v>
      </c>
      <c r="GV18" s="133">
        <f t="shared" si="96"/>
        <v>0.98457142857142854</v>
      </c>
      <c r="GW18" s="133">
        <f t="shared" si="97"/>
        <v>0.99474237644584651</v>
      </c>
      <c r="GY18" s="31">
        <f t="shared" si="3"/>
        <v>80.686367000000004</v>
      </c>
      <c r="GZ18" s="133">
        <f t="shared" si="15"/>
        <v>1.8995180717202916E-2</v>
      </c>
      <c r="HC18" t="s">
        <v>471</v>
      </c>
      <c r="HD18" s="160">
        <v>0</v>
      </c>
      <c r="HE18" s="31">
        <f t="shared" si="36"/>
        <v>0</v>
      </c>
      <c r="HF18">
        <v>3</v>
      </c>
      <c r="HG18">
        <f t="shared" ref="HG18:HG28" si="117">HF18/100</f>
        <v>0.03</v>
      </c>
      <c r="HH18">
        <v>0.75</v>
      </c>
      <c r="HI18">
        <f t="shared" ref="HI18:HI28" si="118">HH18*HG18</f>
        <v>2.2499999999999999E-2</v>
      </c>
      <c r="HJ18">
        <v>44.3</v>
      </c>
      <c r="HK18">
        <f t="shared" ref="HK18:HK28" si="119">HJ18*HI18</f>
        <v>0.99674999999999991</v>
      </c>
      <c r="HL18">
        <v>72.416541095972974</v>
      </c>
      <c r="HM18">
        <f>7.87852632644844/1000</f>
        <v>7.8785263264484397E-3</v>
      </c>
      <c r="HN18">
        <f>0.93521034397128/1000</f>
        <v>9.3521034397127997E-4</v>
      </c>
      <c r="HO18" s="31">
        <f t="shared" si="37"/>
        <v>0</v>
      </c>
      <c r="HP18" s="31">
        <f t="shared" si="72"/>
        <v>0</v>
      </c>
      <c r="HQ18" s="31">
        <f t="shared" si="38"/>
        <v>0</v>
      </c>
      <c r="HR18" s="31">
        <f t="shared" si="38"/>
        <v>0</v>
      </c>
      <c r="HS18" s="697">
        <f t="shared" si="39"/>
        <v>0</v>
      </c>
      <c r="HT18">
        <v>2.34</v>
      </c>
      <c r="HU18">
        <f t="shared" si="40"/>
        <v>0</v>
      </c>
      <c r="HV18" s="446">
        <f t="shared" ref="HV18:HV28" si="120">HU18/1000</f>
        <v>0</v>
      </c>
      <c r="HW18">
        <v>2</v>
      </c>
      <c r="HX18" s="446">
        <f t="shared" si="41"/>
        <v>0</v>
      </c>
      <c r="HZ18" t="s">
        <v>201</v>
      </c>
      <c r="IA18" s="31">
        <f>SUM(HS27:HS28)</f>
        <v>32112.622485828502</v>
      </c>
      <c r="IB18" s="31">
        <f>SUM(HV27:HV28)</f>
        <v>31693.591822788669</v>
      </c>
      <c r="IC18" s="31">
        <f>SUM(HX27:HX28)</f>
        <v>34487.199196877154</v>
      </c>
      <c r="IE18" t="s">
        <v>201</v>
      </c>
      <c r="IF18" s="31">
        <f t="shared" si="86"/>
        <v>31236.668552717474</v>
      </c>
      <c r="IG18" s="31">
        <f t="shared" si="87"/>
        <v>30829.068023032396</v>
      </c>
      <c r="IH18" s="31">
        <f t="shared" si="88"/>
        <v>33546.472609012228</v>
      </c>
      <c r="IJ18" t="s">
        <v>201</v>
      </c>
      <c r="IK18" s="31">
        <f t="shared" si="89"/>
        <v>28922.110425614876</v>
      </c>
      <c r="IL18" s="31">
        <f t="shared" si="90"/>
        <v>28544.712064160438</v>
      </c>
      <c r="IM18" s="31">
        <f t="shared" si="91"/>
        <v>31060.763843950623</v>
      </c>
    </row>
    <row r="19" spans="1:247" ht="16.5" customHeight="1" thickBot="1">
      <c r="A19" s="969"/>
      <c r="B19" s="366" t="s">
        <v>211</v>
      </c>
      <c r="C19" s="367">
        <v>41254</v>
      </c>
      <c r="D19" s="368">
        <v>41184</v>
      </c>
      <c r="E19" s="369">
        <v>38954</v>
      </c>
      <c r="F19" s="370">
        <v>121392</v>
      </c>
      <c r="G19" s="407">
        <v>1042715.8002521525</v>
      </c>
      <c r="H19" s="344"/>
      <c r="I19" s="373"/>
      <c r="J19" s="373"/>
      <c r="K19" s="373"/>
      <c r="L19" s="373"/>
      <c r="M19" s="546"/>
      <c r="O19" s="219">
        <v>2013</v>
      </c>
      <c r="P19" s="173">
        <f>M127</f>
        <v>2.8204394465260352E-2</v>
      </c>
      <c r="Q19" s="98">
        <f>Q18*(1+P19)</f>
        <v>4.3546327437601704</v>
      </c>
      <c r="R19" s="698">
        <f t="shared" si="105"/>
        <v>1033.1366184571004</v>
      </c>
      <c r="S19" s="96">
        <f t="shared" si="106"/>
        <v>27.216454648501063</v>
      </c>
      <c r="T19" s="96">
        <f t="shared" ref="T19:T25" si="121">S19/0.0194</f>
        <v>1402.9100334278899</v>
      </c>
      <c r="U19" s="698">
        <f t="shared" ref="U19:U25" si="122">T19*$U$16</f>
        <v>911.8915217281284</v>
      </c>
      <c r="V19" s="25">
        <f t="shared" si="107"/>
        <v>1006212.5081440595</v>
      </c>
      <c r="W19">
        <f t="shared" si="108"/>
        <v>5.000876165475975</v>
      </c>
      <c r="X19" s="446">
        <f t="shared" ref="X19:X25" si="123">W19/$S$16/$T$16*$U$16</f>
        <v>1047.2195578477397</v>
      </c>
      <c r="AA19" s="842" t="s">
        <v>197</v>
      </c>
      <c r="AB19" s="840">
        <v>25218</v>
      </c>
      <c r="AC19" s="840">
        <v>14625</v>
      </c>
      <c r="AD19" s="841">
        <v>0.57999999999999996</v>
      </c>
      <c r="AE19" s="842">
        <v>43.87</v>
      </c>
      <c r="AF19" s="849">
        <v>16013</v>
      </c>
      <c r="AH19" s="133">
        <f t="shared" si="98"/>
        <v>0.79085520745131244</v>
      </c>
      <c r="AI19" s="133">
        <f t="shared" si="99"/>
        <v>0.82334065191690597</v>
      </c>
      <c r="AK19" s="31">
        <f t="shared" si="92"/>
        <v>403.815834</v>
      </c>
      <c r="AL19" s="133">
        <f t="shared" si="6"/>
        <v>8.2186754844503176E-2</v>
      </c>
      <c r="AN19" t="s">
        <v>202</v>
      </c>
      <c r="AO19" t="s">
        <v>158</v>
      </c>
      <c r="AP19" s="160">
        <f>AL10</f>
        <v>1.08846776419679E-4</v>
      </c>
      <c r="AQ19" s="31">
        <f t="shared" si="42"/>
        <v>0.14687602868434735</v>
      </c>
      <c r="AR19">
        <v>8</v>
      </c>
      <c r="AS19">
        <f t="shared" si="43"/>
        <v>0.08</v>
      </c>
      <c r="AT19">
        <v>0.86499999999999999</v>
      </c>
      <c r="AU19">
        <f t="shared" si="44"/>
        <v>6.9199999999999998E-2</v>
      </c>
      <c r="AV19">
        <v>44.3</v>
      </c>
      <c r="AW19">
        <f t="shared" si="45"/>
        <v>3.0655599999999996</v>
      </c>
      <c r="AX19">
        <v>70.9769741921898</v>
      </c>
      <c r="AY19">
        <v>7.3169105356480999E-3</v>
      </c>
      <c r="AZ19">
        <v>6.0998104818480998E-4</v>
      </c>
      <c r="BA19" s="31">
        <f t="shared" si="46"/>
        <v>0.45025727849358782</v>
      </c>
      <c r="BB19" s="31">
        <f t="shared" si="47"/>
        <v>31.957899235484998</v>
      </c>
      <c r="BC19" s="31">
        <f t="shared" si="48"/>
        <v>3.2944922247619733E-3</v>
      </c>
      <c r="BD19" s="31">
        <f t="shared" si="49"/>
        <v>2.7464840668835861E-4</v>
      </c>
      <c r="BE19" s="697">
        <f t="shared" si="50"/>
        <v>32.122926845550751</v>
      </c>
      <c r="BF19">
        <v>2.72</v>
      </c>
      <c r="BG19">
        <f t="shared" si="51"/>
        <v>31960.223841713985</v>
      </c>
      <c r="BH19" s="446">
        <f t="shared" si="52"/>
        <v>31.960223841713987</v>
      </c>
      <c r="BI19">
        <v>271.3</v>
      </c>
      <c r="BJ19" s="446">
        <f t="shared" si="53"/>
        <v>39.84746658206344</v>
      </c>
      <c r="BL19"/>
      <c r="BM19" s="697">
        <f>SUM(BM13:BM18)</f>
        <v>339943.74539936375</v>
      </c>
      <c r="BN19" s="697">
        <f t="shared" ref="BN19:BO19" si="124">SUM(BN13:BN18)</f>
        <v>340184.27952876082</v>
      </c>
      <c r="BO19" s="697">
        <f t="shared" si="124"/>
        <v>309416.67930796801</v>
      </c>
      <c r="BR19" s="779" t="s">
        <v>197</v>
      </c>
      <c r="BS19" s="780">
        <v>23912</v>
      </c>
      <c r="BT19" s="780">
        <v>13591</v>
      </c>
      <c r="BU19" s="781">
        <v>0.56999999999999995</v>
      </c>
      <c r="BV19" s="779">
        <v>37.85</v>
      </c>
      <c r="BW19" s="780">
        <v>13817</v>
      </c>
      <c r="BY19" s="133">
        <f t="shared" si="100"/>
        <v>0.78894057870599488</v>
      </c>
      <c r="BZ19" s="133">
        <f t="shared" si="101"/>
        <v>0.81315065214789994</v>
      </c>
      <c r="CB19" s="31">
        <f t="shared" si="93"/>
        <v>330.39210400000002</v>
      </c>
      <c r="CC19" s="133">
        <f>CB19/$DS$36</f>
        <v>7.9281905580458611E-2</v>
      </c>
      <c r="CE19" t="s">
        <v>202</v>
      </c>
      <c r="CF19" t="s">
        <v>158</v>
      </c>
      <c r="CG19" s="160">
        <f>CC10</f>
        <v>2.3695873834379304E-4</v>
      </c>
      <c r="CH19" s="31">
        <f t="shared" si="54"/>
        <v>0.31481400851928226</v>
      </c>
      <c r="CI19">
        <v>8</v>
      </c>
      <c r="CJ19">
        <f t="shared" si="55"/>
        <v>0.08</v>
      </c>
      <c r="CK19">
        <v>0.86499999999999999</v>
      </c>
      <c r="CL19">
        <f t="shared" si="56"/>
        <v>6.9199999999999998E-2</v>
      </c>
      <c r="CM19">
        <v>44.3</v>
      </c>
      <c r="CN19">
        <f t="shared" si="57"/>
        <v>3.0655599999999996</v>
      </c>
      <c r="CO19">
        <v>70.9769741921898</v>
      </c>
      <c r="CP19">
        <v>7.3169105356480999E-3</v>
      </c>
      <c r="CQ19">
        <v>6.0998104818480998E-4</v>
      </c>
      <c r="CR19" s="31">
        <f t="shared" si="16"/>
        <v>0.96508123195637086</v>
      </c>
      <c r="CS19" s="31">
        <f t="shared" si="17"/>
        <v>68.498545693934076</v>
      </c>
      <c r="CT19" s="31">
        <f t="shared" si="18"/>
        <v>7.0614130338578175E-3</v>
      </c>
      <c r="CU19" s="31">
        <f t="shared" si="19"/>
        <v>5.8868126145223483E-4</v>
      </c>
      <c r="CV19" s="697">
        <f t="shared" si="20"/>
        <v>68.852265793166936</v>
      </c>
      <c r="CW19">
        <v>2.72</v>
      </c>
      <c r="CX19">
        <f t="shared" si="21"/>
        <v>68503.528253795826</v>
      </c>
      <c r="CY19" s="446">
        <f t="shared" si="58"/>
        <v>68.503528253795821</v>
      </c>
      <c r="CZ19">
        <v>271.3</v>
      </c>
      <c r="DA19" s="446">
        <f t="shared" si="22"/>
        <v>85.40904051128129</v>
      </c>
      <c r="DD19" s="697">
        <f>SUM(DD13:DD18)</f>
        <v>340041.47984635545</v>
      </c>
      <c r="DE19" s="697">
        <f t="shared" ref="DE19:DF19" si="125">SUM(DE13:DE18)</f>
        <v>339406.83498118061</v>
      </c>
      <c r="DF19" s="697">
        <f t="shared" si="125"/>
        <v>305915.83173803263</v>
      </c>
      <c r="DI19" s="677" t="s">
        <v>197</v>
      </c>
      <c r="DJ19" s="668">
        <v>22949</v>
      </c>
      <c r="DK19" s="668">
        <v>12126</v>
      </c>
      <c r="DL19" s="669">
        <v>0.53</v>
      </c>
      <c r="DM19" s="670">
        <v>38.15</v>
      </c>
      <c r="DN19" s="678">
        <v>13925</v>
      </c>
      <c r="DP19" s="133">
        <f t="shared" si="103"/>
        <v>0.77896201758256678</v>
      </c>
      <c r="DQ19" s="133">
        <f t="shared" si="104"/>
        <v>0.79598267034265457</v>
      </c>
      <c r="DS19" s="31">
        <f t="shared" si="94"/>
        <v>319.56482499999998</v>
      </c>
      <c r="DT19" s="133">
        <f>DS19/$DS$36</f>
        <v>7.6683758406301913E-2</v>
      </c>
      <c r="DV19" t="s">
        <v>202</v>
      </c>
      <c r="DW19" t="s">
        <v>158</v>
      </c>
      <c r="DX19" s="160">
        <f>DT10</f>
        <v>1.4824558894126482E-4</v>
      </c>
      <c r="DY19" s="31">
        <f t="shared" si="23"/>
        <v>0.18008650152000186</v>
      </c>
      <c r="DZ19">
        <v>8</v>
      </c>
      <c r="EA19">
        <f t="shared" si="109"/>
        <v>0.08</v>
      </c>
      <c r="EB19">
        <v>0.86499999999999999</v>
      </c>
      <c r="EC19">
        <f t="shared" si="110"/>
        <v>6.9199999999999998E-2</v>
      </c>
      <c r="ED19">
        <v>44.3</v>
      </c>
      <c r="EE19">
        <f t="shared" si="111"/>
        <v>3.0655599999999996</v>
      </c>
      <c r="EF19">
        <v>72.416541095973002</v>
      </c>
      <c r="EG19">
        <f>7.87852632644844/1000</f>
        <v>7.8785263264484397E-3</v>
      </c>
      <c r="EH19">
        <f>0.93521034397128/1000</f>
        <v>9.3521034397127997E-4</v>
      </c>
      <c r="EI19" s="31">
        <f t="shared" si="24"/>
        <v>0.55206597559965687</v>
      </c>
      <c r="EJ19" s="31">
        <f t="shared" si="25"/>
        <v>39.978708409700978</v>
      </c>
      <c r="EK19" s="31">
        <f t="shared" si="26"/>
        <v>4.3494663226983383E-3</v>
      </c>
      <c r="EL19" s="31">
        <f t="shared" si="27"/>
        <v>5.1629781093539531E-4</v>
      </c>
      <c r="EM19" s="697">
        <f t="shared" si="62"/>
        <v>40.237312386634407</v>
      </c>
      <c r="EN19">
        <v>2.72</v>
      </c>
      <c r="EO19">
        <f t="shared" si="28"/>
        <v>39186.822730752407</v>
      </c>
      <c r="EP19" s="446">
        <f t="shared" si="112"/>
        <v>39.186822730752404</v>
      </c>
      <c r="EQ19">
        <v>271.3</v>
      </c>
      <c r="ER19" s="446">
        <f t="shared" si="29"/>
        <v>48.85746786237651</v>
      </c>
      <c r="EU19" s="697">
        <f>SUM(EU13:EU18)</f>
        <v>314219.62422918755</v>
      </c>
      <c r="EV19" s="697">
        <f t="shared" ref="EV19:EW19" si="126">SUM(EV13:EV18)</f>
        <v>311994.43983959634</v>
      </c>
      <c r="EW19" s="697">
        <f t="shared" si="126"/>
        <v>282883.58655835706</v>
      </c>
      <c r="EY19" s="128" t="s">
        <v>197</v>
      </c>
      <c r="EZ19" s="129">
        <v>22222</v>
      </c>
      <c r="FA19" s="129">
        <v>11391</v>
      </c>
      <c r="FB19" s="130">
        <v>0.51</v>
      </c>
      <c r="FC19" s="131">
        <v>39.15</v>
      </c>
      <c r="FD19" s="132">
        <v>14288</v>
      </c>
      <c r="FF19" s="133">
        <f t="shared" si="95"/>
        <v>0.76789108123984939</v>
      </c>
      <c r="FG19" s="133">
        <f t="shared" si="95"/>
        <v>0.77258545849158977</v>
      </c>
      <c r="FI19" s="31">
        <f t="shared" si="2"/>
        <v>317.50793599999997</v>
      </c>
      <c r="FJ19" s="133">
        <f t="shared" si="12"/>
        <v>7.4747703332163865E-2</v>
      </c>
      <c r="FL19" t="s">
        <v>202</v>
      </c>
      <c r="FM19" t="s">
        <v>158</v>
      </c>
      <c r="FN19" s="160">
        <f>FJ10</f>
        <v>2.0403494186185144E-4</v>
      </c>
      <c r="FO19" s="31">
        <f t="shared" si="30"/>
        <v>0.27603396588342649</v>
      </c>
      <c r="FP19">
        <v>8</v>
      </c>
      <c r="FQ19">
        <f t="shared" si="113"/>
        <v>0.08</v>
      </c>
      <c r="FR19">
        <v>0.86499999999999999</v>
      </c>
      <c r="FS19">
        <f t="shared" si="114"/>
        <v>6.9199999999999998E-2</v>
      </c>
      <c r="FT19">
        <v>44.3</v>
      </c>
      <c r="FU19">
        <f t="shared" si="115"/>
        <v>3.0655599999999996</v>
      </c>
      <c r="FV19">
        <v>73.367636682232202</v>
      </c>
      <c r="FW19">
        <f>0.06636778941357/1000</f>
        <v>6.6367789413569991E-5</v>
      </c>
      <c r="FX19">
        <f>2.52657658902305/1000</f>
        <v>2.5265765890230499E-3</v>
      </c>
      <c r="FY19" s="31">
        <f t="shared" si="31"/>
        <v>0.84619868445359681</v>
      </c>
      <c r="FZ19" s="31">
        <f t="shared" si="67"/>
        <v>62.083597641974343</v>
      </c>
      <c r="GA19" s="31">
        <f t="shared" si="32"/>
        <v>5.6160336091856275E-5</v>
      </c>
      <c r="GB19" s="31">
        <f t="shared" si="32"/>
        <v>2.1379857858025608E-3</v>
      </c>
      <c r="GC19" s="697">
        <f t="shared" si="33"/>
        <v>62.651736364622593</v>
      </c>
      <c r="GD19">
        <v>2.72</v>
      </c>
      <c r="GE19">
        <f t="shared" si="34"/>
        <v>60064.99097623361</v>
      </c>
      <c r="GF19" s="446">
        <f t="shared" si="116"/>
        <v>60.064990976233609</v>
      </c>
      <c r="GG19">
        <v>271.3</v>
      </c>
      <c r="GH19" s="446">
        <f t="shared" si="35"/>
        <v>74.888014944173619</v>
      </c>
      <c r="GK19" s="697">
        <f>SUM(GK13:GK18)</f>
        <v>351387.74283085548</v>
      </c>
      <c r="GL19" s="697">
        <f t="shared" ref="GL19" si="127">SUM(GL13:GL18)</f>
        <v>349950.67540065269</v>
      </c>
      <c r="GM19" s="697">
        <f t="shared" ref="GM19" si="128">SUM(GM13:GM18)</f>
        <v>313037.37046740728</v>
      </c>
      <c r="GO19" s="677" t="s">
        <v>197</v>
      </c>
      <c r="GP19" s="668">
        <v>21140</v>
      </c>
      <c r="GQ19" s="668">
        <v>11077</v>
      </c>
      <c r="GR19" s="669">
        <v>0.52</v>
      </c>
      <c r="GS19" s="670">
        <v>39.590000000000003</v>
      </c>
      <c r="GT19" s="678">
        <v>14450</v>
      </c>
      <c r="GV19" s="133">
        <f t="shared" si="96"/>
        <v>0.75341245233258491</v>
      </c>
      <c r="GW19" s="133">
        <f t="shared" si="97"/>
        <v>0.75859471305300641</v>
      </c>
      <c r="GY19" s="31">
        <f t="shared" si="3"/>
        <v>305.47300000000001</v>
      </c>
      <c r="GZ19" s="133">
        <f t="shared" si="15"/>
        <v>7.1914439266129379E-2</v>
      </c>
      <c r="HB19" t="s">
        <v>202</v>
      </c>
      <c r="HC19" t="s">
        <v>158</v>
      </c>
      <c r="HD19" s="160">
        <f>GZ10</f>
        <v>1.6235172042486156E-4</v>
      </c>
      <c r="HE19" s="31">
        <f t="shared" si="36"/>
        <v>0.21723324589636009</v>
      </c>
      <c r="HF19">
        <v>8</v>
      </c>
      <c r="HG19">
        <f t="shared" si="117"/>
        <v>0.08</v>
      </c>
      <c r="HH19">
        <v>0.86499999999999999</v>
      </c>
      <c r="HI19">
        <f t="shared" si="118"/>
        <v>6.9199999999999998E-2</v>
      </c>
      <c r="HJ19">
        <v>44.3</v>
      </c>
      <c r="HK19">
        <f t="shared" si="119"/>
        <v>3.0655599999999996</v>
      </c>
      <c r="HL19">
        <v>73.367636682232202</v>
      </c>
      <c r="HM19">
        <f>0.06636778941357/1000</f>
        <v>6.6367789413569991E-5</v>
      </c>
      <c r="HN19">
        <f>2.52657658902305/1000</f>
        <v>2.5265765890230499E-3</v>
      </c>
      <c r="HO19" s="31">
        <f t="shared" si="37"/>
        <v>0.66594154929004556</v>
      </c>
      <c r="HP19" s="31">
        <f t="shared" si="72"/>
        <v>48.858557639914892</v>
      </c>
      <c r="HQ19" s="31">
        <f t="shared" si="38"/>
        <v>4.4197068505028287E-5</v>
      </c>
      <c r="HR19" s="31">
        <f t="shared" si="38"/>
        <v>1.6825523280939686E-3</v>
      </c>
      <c r="HS19" s="697">
        <f t="shared" si="39"/>
        <v>49.305671524777935</v>
      </c>
      <c r="HT19">
        <v>2.72</v>
      </c>
      <c r="HU19">
        <f t="shared" si="40"/>
        <v>47269.954307047956</v>
      </c>
      <c r="HV19" s="446">
        <f t="shared" si="120"/>
        <v>47.269954307047954</v>
      </c>
      <c r="HW19">
        <v>271.3</v>
      </c>
      <c r="HX19" s="446">
        <f t="shared" si="41"/>
        <v>58.9353796116825</v>
      </c>
      <c r="IA19" s="697">
        <f>SUM(IA13:IA18)</f>
        <v>345502.25418353896</v>
      </c>
      <c r="IB19" s="697">
        <f t="shared" ref="IB19" si="129">SUM(IB13:IB18)</f>
        <v>342849.86239102727</v>
      </c>
      <c r="IC19" s="697">
        <f t="shared" ref="IC19" si="130">SUM(IC13:IC18)</f>
        <v>309715.36567476875</v>
      </c>
      <c r="IF19" s="697">
        <f>SUM(IF13:IF18)</f>
        <v>336077.79629056074</v>
      </c>
      <c r="IG19" s="697">
        <f t="shared" ref="IG19" si="131">SUM(IG13:IG18)</f>
        <v>333497.75526989362</v>
      </c>
      <c r="IH19" s="697">
        <f t="shared" ref="IH19" si="132">SUM(IH13:IH18)</f>
        <v>301267.08672067651</v>
      </c>
      <c r="IK19" s="697">
        <f>SUM(IK13:IK18)</f>
        <v>311175.28168884345</v>
      </c>
      <c r="IL19" s="697">
        <f t="shared" ref="IL19" si="133">SUM(IL13:IL18)</f>
        <v>308786.41518163524</v>
      </c>
      <c r="IM19" s="697">
        <f t="shared" ref="IM19" si="134">SUM(IM13:IM18)</f>
        <v>278943.95764495432</v>
      </c>
    </row>
    <row r="20" spans="1:247" ht="16.5" customHeight="1" thickBot="1">
      <c r="A20" s="969"/>
      <c r="B20" s="366" t="s">
        <v>213</v>
      </c>
      <c r="C20" s="367">
        <v>39454</v>
      </c>
      <c r="D20" s="368">
        <v>39405</v>
      </c>
      <c r="E20" s="369">
        <v>37215</v>
      </c>
      <c r="F20" s="370">
        <v>116074</v>
      </c>
      <c r="G20" s="407">
        <v>1158789.8002521526</v>
      </c>
      <c r="H20" s="344"/>
      <c r="I20" s="373"/>
      <c r="J20" s="373"/>
      <c r="K20" s="373"/>
      <c r="L20" s="373"/>
      <c r="M20" s="546"/>
      <c r="O20" s="219">
        <v>2014</v>
      </c>
      <c r="P20" s="173">
        <f>M140</f>
        <v>2.9891451882241293E-2</v>
      </c>
      <c r="Q20" s="98">
        <f t="shared" ref="Q20:Q25" si="135">Q19*(1+P20)</f>
        <v>4.48479903888511</v>
      </c>
      <c r="R20" s="698">
        <f t="shared" si="105"/>
        <v>1064.0185719754925</v>
      </c>
      <c r="S20" s="96">
        <f t="shared" si="106"/>
        <v>28.029993993031937</v>
      </c>
      <c r="T20" s="96">
        <f t="shared" si="121"/>
        <v>1444.8450511872131</v>
      </c>
      <c r="U20" s="698">
        <f t="shared" si="122"/>
        <v>939.14928327168855</v>
      </c>
      <c r="V20" s="25">
        <f t="shared" si="107"/>
        <v>1036289.6609145569</v>
      </c>
      <c r="W20">
        <f t="shared" si="108"/>
        <v>5.150359614745347</v>
      </c>
      <c r="X20" s="446">
        <f t="shared" si="123"/>
        <v>1078.5224708712874</v>
      </c>
      <c r="AA20" s="843" t="s">
        <v>199</v>
      </c>
      <c r="AB20" s="845">
        <v>5739</v>
      </c>
      <c r="AC20" s="845">
        <v>3379</v>
      </c>
      <c r="AD20" s="844">
        <v>0.59</v>
      </c>
      <c r="AE20" s="843">
        <v>46.2</v>
      </c>
      <c r="AF20" s="850">
        <v>16861</v>
      </c>
      <c r="AH20" s="133">
        <f>AB20/AB34</f>
        <v>0.90179132620993085</v>
      </c>
      <c r="AI20" s="133">
        <f t="shared" si="99"/>
        <v>0.95183098591549298</v>
      </c>
      <c r="AK20" s="31">
        <f t="shared" si="92"/>
        <v>96.765279000000007</v>
      </c>
      <c r="AL20" s="133">
        <f t="shared" si="6"/>
        <v>1.9694186292439814E-2</v>
      </c>
      <c r="AO20" t="s">
        <v>25</v>
      </c>
      <c r="AP20" s="160">
        <f>AL17</f>
        <v>6.4427867603114378E-3</v>
      </c>
      <c r="AQ20" s="31">
        <f t="shared" si="42"/>
        <v>8.6937892341986807</v>
      </c>
      <c r="AR20">
        <v>10.5</v>
      </c>
      <c r="AS20">
        <f t="shared" si="43"/>
        <v>0.105</v>
      </c>
      <c r="AT20">
        <v>0.75</v>
      </c>
      <c r="AU20">
        <f t="shared" si="44"/>
        <v>7.8750000000000001E-2</v>
      </c>
      <c r="AV20">
        <v>43</v>
      </c>
      <c r="AW20">
        <f t="shared" si="45"/>
        <v>3.38625</v>
      </c>
      <c r="AX20">
        <v>74.054734089485606</v>
      </c>
      <c r="AY20">
        <v>1.1457692289250001E-4</v>
      </c>
      <c r="AZ20">
        <v>2.5659043229536902E-3</v>
      </c>
      <c r="BA20" s="31">
        <f t="shared" si="46"/>
        <v>29.439343794305284</v>
      </c>
      <c r="BB20" s="31">
        <f t="shared" si="47"/>
        <v>2180.1227764562259</v>
      </c>
      <c r="BC20" s="31">
        <f t="shared" si="48"/>
        <v>3.373069423925915E-3</v>
      </c>
      <c r="BD20" s="31">
        <f t="shared" si="49"/>
        <v>7.5538539506727814E-2</v>
      </c>
      <c r="BE20" s="697">
        <f t="shared" si="50"/>
        <v>2200.2349353693789</v>
      </c>
      <c r="BF20">
        <v>2.34</v>
      </c>
      <c r="BG20">
        <f t="shared" si="51"/>
        <v>2136064.0148426159</v>
      </c>
      <c r="BH20" s="446">
        <f t="shared" si="52"/>
        <v>2136.064014842616</v>
      </c>
      <c r="BI20">
        <v>239.5</v>
      </c>
      <c r="BJ20" s="446">
        <f t="shared" si="53"/>
        <v>2082.1625215905838</v>
      </c>
      <c r="BL20"/>
      <c r="BM20"/>
      <c r="BN20"/>
      <c r="BO20"/>
      <c r="BR20" s="782" t="s">
        <v>199</v>
      </c>
      <c r="BS20" s="784">
        <v>5599</v>
      </c>
      <c r="BT20" s="784">
        <v>3053</v>
      </c>
      <c r="BU20" s="783">
        <v>0.55000000000000004</v>
      </c>
      <c r="BV20" s="782">
        <v>39.04</v>
      </c>
      <c r="BW20" s="784">
        <v>14251</v>
      </c>
      <c r="BY20" s="133">
        <f t="shared" si="100"/>
        <v>0.89987142397942788</v>
      </c>
      <c r="BZ20" s="133">
        <f t="shared" si="101"/>
        <v>0.96006289308176096</v>
      </c>
      <c r="CB20" s="31">
        <f t="shared" si="93"/>
        <v>79.791348999999997</v>
      </c>
      <c r="CC20" s="133">
        <f t="shared" si="0"/>
        <v>1.9146977548698985E-2</v>
      </c>
      <c r="CF20" t="s">
        <v>25</v>
      </c>
      <c r="CG20" s="160">
        <f>CC17</f>
        <v>4.9225209547672198E-3</v>
      </c>
      <c r="CH20" s="31">
        <f t="shared" si="54"/>
        <v>6.5398666646429904</v>
      </c>
      <c r="CI20">
        <v>10.5</v>
      </c>
      <c r="CJ20">
        <f t="shared" si="55"/>
        <v>0.105</v>
      </c>
      <c r="CK20">
        <v>0.75</v>
      </c>
      <c r="CL20">
        <f t="shared" si="56"/>
        <v>7.8750000000000001E-2</v>
      </c>
      <c r="CM20">
        <v>43</v>
      </c>
      <c r="CN20">
        <f t="shared" si="57"/>
        <v>3.38625</v>
      </c>
      <c r="CO20">
        <v>74.054734089485606</v>
      </c>
      <c r="CP20">
        <v>1.1457692289250001E-4</v>
      </c>
      <c r="CQ20">
        <v>2.5659043229536902E-3</v>
      </c>
      <c r="CR20" s="31">
        <f t="shared" si="16"/>
        <v>22.145623493147326</v>
      </c>
      <c r="CS20" s="31">
        <f t="shared" si="17"/>
        <v>1639.9882590308905</v>
      </c>
      <c r="CT20" s="31">
        <f t="shared" si="18"/>
        <v>2.5373773953806778E-3</v>
      </c>
      <c r="CU20" s="31">
        <f t="shared" si="19"/>
        <v>5.6823551055571526E-2</v>
      </c>
      <c r="CV20" s="697">
        <f t="shared" si="20"/>
        <v>1655.1175466276877</v>
      </c>
      <c r="CW20">
        <v>2.34</v>
      </c>
      <c r="CX20">
        <f t="shared" si="21"/>
        <v>1606845.2395027825</v>
      </c>
      <c r="CY20" s="446">
        <f t="shared" si="58"/>
        <v>1606.8452395027825</v>
      </c>
      <c r="CZ20">
        <v>239.5</v>
      </c>
      <c r="DA20" s="446">
        <f t="shared" si="22"/>
        <v>1566.2980661819961</v>
      </c>
      <c r="DI20" s="679" t="s">
        <v>199</v>
      </c>
      <c r="DJ20" s="673">
        <v>5446</v>
      </c>
      <c r="DK20" s="673">
        <v>2797</v>
      </c>
      <c r="DL20" s="672">
        <v>0.51</v>
      </c>
      <c r="DM20" s="671">
        <v>39.17</v>
      </c>
      <c r="DN20" s="680">
        <v>14297</v>
      </c>
      <c r="DP20" s="133">
        <f t="shared" si="103"/>
        <v>0.89675613370657004</v>
      </c>
      <c r="DQ20" s="133">
        <f t="shared" si="104"/>
        <v>0.95853324194653877</v>
      </c>
      <c r="DS20" s="31">
        <f>DN20*DJ20/1000000</f>
        <v>77.861462000000003</v>
      </c>
      <c r="DT20" s="133">
        <f>DS20/$DS$36</f>
        <v>1.8683875927738472E-2</v>
      </c>
      <c r="DW20" t="s">
        <v>25</v>
      </c>
      <c r="DX20" s="160">
        <f>DT17</f>
        <v>6.6202539587496955E-3</v>
      </c>
      <c r="DY20" s="31">
        <f t="shared" si="23"/>
        <v>8.042184479954642</v>
      </c>
      <c r="DZ20">
        <v>10.5</v>
      </c>
      <c r="EA20">
        <f t="shared" si="109"/>
        <v>0.105</v>
      </c>
      <c r="EB20">
        <v>0.75</v>
      </c>
      <c r="EC20">
        <f t="shared" si="110"/>
        <v>7.8750000000000001E-2</v>
      </c>
      <c r="ED20">
        <v>43</v>
      </c>
      <c r="EE20">
        <f t="shared" si="111"/>
        <v>3.38625</v>
      </c>
      <c r="EF20">
        <v>73.367636682232202</v>
      </c>
      <c r="EG20">
        <f>0.06636778941357/1000</f>
        <v>6.6367789413569991E-5</v>
      </c>
      <c r="EH20">
        <f>2.52657658902305/1000</f>
        <v>2.5265765890230499E-3</v>
      </c>
      <c r="EI20" s="31">
        <f t="shared" si="24"/>
        <v>27.232847195246407</v>
      </c>
      <c r="EJ20" s="31">
        <f t="shared" si="25"/>
        <v>1998.0096388435848</v>
      </c>
      <c r="EK20" s="31">
        <f t="shared" si="26"/>
        <v>1.8073838677860436E-3</v>
      </c>
      <c r="EL20" s="31">
        <f t="shared" si="27"/>
        <v>6.8805874175951603E-2</v>
      </c>
      <c r="EM20" s="697">
        <f t="shared" si="62"/>
        <v>2016.2938022485098</v>
      </c>
      <c r="EN20">
        <v>2.34</v>
      </c>
      <c r="EO20">
        <f t="shared" si="28"/>
        <v>1975964.7267248551</v>
      </c>
      <c r="EP20" s="446">
        <f t="shared" si="112"/>
        <v>1975.9647267248552</v>
      </c>
      <c r="EQ20">
        <v>239.5</v>
      </c>
      <c r="ER20" s="446">
        <f t="shared" si="29"/>
        <v>1926.1031829491367</v>
      </c>
      <c r="EY20" s="146" t="s">
        <v>199</v>
      </c>
      <c r="EZ20" s="169">
        <v>5250</v>
      </c>
      <c r="FA20" s="169">
        <v>2769</v>
      </c>
      <c r="FB20" s="148">
        <v>0.53</v>
      </c>
      <c r="FC20" s="147">
        <v>40.729999999999997</v>
      </c>
      <c r="FD20" s="149">
        <v>14865</v>
      </c>
      <c r="FF20" s="133">
        <f t="shared" si="95"/>
        <v>0.89179548156956001</v>
      </c>
      <c r="FG20" s="133">
        <f t="shared" si="95"/>
        <v>0.94601981551076186</v>
      </c>
      <c r="FI20" s="31">
        <f t="shared" si="2"/>
        <v>78.041250000000005</v>
      </c>
      <c r="FJ20" s="133">
        <f t="shared" si="12"/>
        <v>1.8372467397700678E-2</v>
      </c>
      <c r="FM20" t="s">
        <v>25</v>
      </c>
      <c r="FN20" s="160">
        <f>FJ17</f>
        <v>8.3307762096524827E-3</v>
      </c>
      <c r="FO20" s="31">
        <f t="shared" si="30"/>
        <v>11.270506782091662</v>
      </c>
      <c r="FP20">
        <v>10.5</v>
      </c>
      <c r="FQ20">
        <f t="shared" si="113"/>
        <v>0.105</v>
      </c>
      <c r="FR20">
        <v>0.75</v>
      </c>
      <c r="FS20">
        <f t="shared" si="114"/>
        <v>7.8750000000000001E-2</v>
      </c>
      <c r="FT20">
        <v>43</v>
      </c>
      <c r="FU20">
        <f t="shared" si="115"/>
        <v>3.38625</v>
      </c>
      <c r="FV20">
        <v>72.416541095972974</v>
      </c>
      <c r="FW20">
        <f>7.87852632644844/1000</f>
        <v>7.8785263264484397E-3</v>
      </c>
      <c r="FX20">
        <f>0.93521034397128/1000</f>
        <v>9.3521034397127997E-4</v>
      </c>
      <c r="FY20" s="31">
        <f t="shared" si="31"/>
        <v>38.164753590857892</v>
      </c>
      <c r="FZ20" s="31">
        <f t="shared" si="67"/>
        <v>2763.7594468300426</v>
      </c>
      <c r="GA20" s="31">
        <f t="shared" si="32"/>
        <v>0.30068201590799154</v>
      </c>
      <c r="GB20" s="31">
        <f t="shared" si="32"/>
        <v>3.5692072333285349E-2</v>
      </c>
      <c r="GC20" s="697">
        <f t="shared" si="33"/>
        <v>2781.6369424437871</v>
      </c>
      <c r="GD20">
        <v>2.34</v>
      </c>
      <c r="GE20">
        <f t="shared" si="34"/>
        <v>2769163.5163599211</v>
      </c>
      <c r="GF20" s="446">
        <f t="shared" si="116"/>
        <v>2769.1635163599212</v>
      </c>
      <c r="GG20">
        <v>239.5</v>
      </c>
      <c r="GH20" s="446">
        <f t="shared" si="35"/>
        <v>2699.2863743109529</v>
      </c>
      <c r="GO20" s="679" t="s">
        <v>199</v>
      </c>
      <c r="GP20" s="673">
        <v>5103</v>
      </c>
      <c r="GQ20" s="673">
        <v>2638</v>
      </c>
      <c r="GR20" s="672">
        <v>0.52</v>
      </c>
      <c r="GS20" s="671">
        <v>42.36</v>
      </c>
      <c r="GT20" s="680">
        <v>15461</v>
      </c>
      <c r="GV20" s="133">
        <f t="shared" si="96"/>
        <v>0.88778705636743216</v>
      </c>
      <c r="GW20" s="133">
        <f t="shared" si="97"/>
        <v>0.95063063063063058</v>
      </c>
      <c r="GY20" s="31">
        <f t="shared" si="3"/>
        <v>78.897482999999994</v>
      </c>
      <c r="GZ20" s="133">
        <f t="shared" si="15"/>
        <v>1.8574041730215027E-2</v>
      </c>
      <c r="HC20" t="s">
        <v>25</v>
      </c>
      <c r="HD20" s="160">
        <f>GZ17</f>
        <v>8.9130672169853535E-3</v>
      </c>
      <c r="HE20" s="31">
        <f t="shared" si="36"/>
        <v>11.926048688435488</v>
      </c>
      <c r="HF20">
        <v>10.5</v>
      </c>
      <c r="HG20">
        <f t="shared" si="117"/>
        <v>0.105</v>
      </c>
      <c r="HH20">
        <v>0.75</v>
      </c>
      <c r="HI20">
        <f t="shared" si="118"/>
        <v>7.8750000000000001E-2</v>
      </c>
      <c r="HJ20">
        <v>43</v>
      </c>
      <c r="HK20">
        <f t="shared" si="119"/>
        <v>3.38625</v>
      </c>
      <c r="HL20">
        <v>72.416541095972974</v>
      </c>
      <c r="HM20">
        <f>7.87852632644844/1000</f>
        <v>7.8785263264484397E-3</v>
      </c>
      <c r="HN20">
        <f>0.93521034397128/1000</f>
        <v>9.3521034397127997E-4</v>
      </c>
      <c r="HO20" s="31">
        <f t="shared" si="37"/>
        <v>40.38458237121467</v>
      </c>
      <c r="HP20" s="31">
        <f t="shared" si="72"/>
        <v>2924.5117689287727</v>
      </c>
      <c r="HQ20" s="31">
        <f t="shared" si="38"/>
        <v>0.31817099539424032</v>
      </c>
      <c r="HR20" s="31">
        <f t="shared" si="38"/>
        <v>3.7768079170520164E-2</v>
      </c>
      <c r="HS20" s="697">
        <f t="shared" si="39"/>
        <v>2943.4290977799992</v>
      </c>
      <c r="HT20">
        <v>2.34</v>
      </c>
      <c r="HU20">
        <f t="shared" si="40"/>
        <v>2930230.162748599</v>
      </c>
      <c r="HV20" s="446">
        <f t="shared" si="120"/>
        <v>2930.230162748599</v>
      </c>
      <c r="HW20">
        <v>239.5</v>
      </c>
      <c r="HX20" s="446">
        <f t="shared" si="41"/>
        <v>2856.2886608802996</v>
      </c>
    </row>
    <row r="21" spans="1:247" ht="16.5" customHeight="1" thickBot="1">
      <c r="A21" s="969"/>
      <c r="B21" s="366" t="s">
        <v>216</v>
      </c>
      <c r="C21" s="367">
        <v>39646</v>
      </c>
      <c r="D21" s="368">
        <v>41051</v>
      </c>
      <c r="E21" s="369">
        <v>37101</v>
      </c>
      <c r="F21" s="370">
        <v>117798</v>
      </c>
      <c r="G21" s="407">
        <v>1276587.8002521526</v>
      </c>
      <c r="H21" s="344"/>
      <c r="I21" s="373"/>
      <c r="J21" s="373"/>
      <c r="K21" s="373"/>
      <c r="L21" s="373"/>
      <c r="M21" s="546"/>
      <c r="O21" s="219">
        <v>2015</v>
      </c>
      <c r="P21" s="173">
        <f>M153</f>
        <v>4.227000115618762E-2</v>
      </c>
      <c r="Q21" s="98">
        <f t="shared" si="135"/>
        <v>4.6743714994440531</v>
      </c>
      <c r="R21" s="698">
        <f t="shared" si="105"/>
        <v>1108.9946382431017</v>
      </c>
      <c r="S21" s="96">
        <f t="shared" si="106"/>
        <v>29.214821871525331</v>
      </c>
      <c r="T21" s="96">
        <f t="shared" si="121"/>
        <v>1505.9186531714088</v>
      </c>
      <c r="U21" s="698">
        <f t="shared" si="122"/>
        <v>978.84712456141574</v>
      </c>
      <c r="V21" s="25">
        <f t="shared" si="107"/>
        <v>1080093.6260795605</v>
      </c>
      <c r="W21">
        <f t="shared" si="108"/>
        <v>5.3680653216154148</v>
      </c>
      <c r="X21" s="446">
        <f t="shared" si="123"/>
        <v>1124.1116169619909</v>
      </c>
      <c r="AA21" s="842" t="s">
        <v>201</v>
      </c>
      <c r="AB21" s="840">
        <v>7470</v>
      </c>
      <c r="AC21" s="840">
        <v>3978</v>
      </c>
      <c r="AD21" s="841">
        <v>0.53</v>
      </c>
      <c r="AE21" s="842">
        <v>93.22</v>
      </c>
      <c r="AF21" s="849">
        <v>34024</v>
      </c>
      <c r="AH21" s="133">
        <f>AB21/AB35</f>
        <v>0.99507126681763691</v>
      </c>
      <c r="AI21" s="133">
        <f t="shared" si="99"/>
        <v>0.99649298597194391</v>
      </c>
      <c r="AK21" s="31">
        <f t="shared" si="92"/>
        <v>254.15928</v>
      </c>
      <c r="AL21" s="133">
        <f t="shared" si="6"/>
        <v>5.17278538335261E-2</v>
      </c>
      <c r="AN21" t="s">
        <v>209</v>
      </c>
      <c r="AO21" t="s">
        <v>158</v>
      </c>
      <c r="AP21" s="160">
        <f>AL12</f>
        <v>1.3105559379364763E-2</v>
      </c>
      <c r="AQ21" s="31">
        <f t="shared" si="42"/>
        <v>17.68442372520262</v>
      </c>
      <c r="AR21">
        <v>12</v>
      </c>
      <c r="AS21">
        <f t="shared" si="43"/>
        <v>0.12</v>
      </c>
      <c r="AT21">
        <v>0.75</v>
      </c>
      <c r="AU21">
        <f t="shared" si="44"/>
        <v>0.09</v>
      </c>
      <c r="AV21">
        <v>44.3</v>
      </c>
      <c r="AW21">
        <f t="shared" si="45"/>
        <v>3.9869999999999997</v>
      </c>
      <c r="AX21">
        <v>70.9769741921898</v>
      </c>
      <c r="AY21">
        <v>7.3169105356480999E-3</v>
      </c>
      <c r="AZ21">
        <v>6.0998104818480998E-4</v>
      </c>
      <c r="BA21" s="31">
        <f t="shared" si="46"/>
        <v>70.507797392382841</v>
      </c>
      <c r="BB21" s="31">
        <f t="shared" si="47"/>
        <v>5004.4301158673043</v>
      </c>
      <c r="BC21" s="31">
        <f t="shared" si="48"/>
        <v>0.51589924558566769</v>
      </c>
      <c r="BD21" s="31">
        <f t="shared" si="49"/>
        <v>4.3008420158607896E-2</v>
      </c>
      <c r="BE21" s="697">
        <f t="shared" si="50"/>
        <v>5030.2725260857342</v>
      </c>
      <c r="BF21">
        <v>2.34</v>
      </c>
      <c r="BG21">
        <f t="shared" si="51"/>
        <v>4965786.1820368953</v>
      </c>
      <c r="BH21" s="446">
        <f t="shared" si="52"/>
        <v>4965.7861820368953</v>
      </c>
      <c r="BI21">
        <v>271.3</v>
      </c>
      <c r="BJ21" s="446">
        <f t="shared" si="53"/>
        <v>4797.7841566474717</v>
      </c>
      <c r="BL21" t="s">
        <v>169</v>
      </c>
      <c r="BM21" s="31">
        <f>BM13</f>
        <v>221880.71801834306</v>
      </c>
      <c r="BN21" s="31">
        <f t="shared" ref="BN21:BO21" si="136">BN13</f>
        <v>224725.89697640287</v>
      </c>
      <c r="BO21" s="31">
        <f t="shared" si="136"/>
        <v>196960.04722069486</v>
      </c>
      <c r="BR21" s="779" t="s">
        <v>201</v>
      </c>
      <c r="BS21" s="780">
        <v>7166</v>
      </c>
      <c r="BT21" s="780">
        <v>3559</v>
      </c>
      <c r="BU21" s="781">
        <v>0.5</v>
      </c>
      <c r="BV21" s="779">
        <v>67.099999999999994</v>
      </c>
      <c r="BW21" s="780">
        <v>24490</v>
      </c>
      <c r="BY21" s="133">
        <f>BS21/BS35</f>
        <v>0.99527777777777782</v>
      </c>
      <c r="BZ21" s="133">
        <f t="shared" si="101"/>
        <v>0.99691876750700281</v>
      </c>
      <c r="CB21" s="31">
        <f>BW21*BS21/1000000</f>
        <v>175.49534</v>
      </c>
      <c r="CC21" s="133">
        <f t="shared" si="0"/>
        <v>4.2112401619896093E-2</v>
      </c>
      <c r="CE21" t="s">
        <v>209</v>
      </c>
      <c r="CF21" t="s">
        <v>158</v>
      </c>
      <c r="CG21" s="160">
        <f>CC12</f>
        <v>1.3868167817311457E-2</v>
      </c>
      <c r="CH21" s="31">
        <f t="shared" si="54"/>
        <v>18.424699303773476</v>
      </c>
      <c r="CI21">
        <v>12</v>
      </c>
      <c r="CJ21">
        <f t="shared" si="55"/>
        <v>0.12</v>
      </c>
      <c r="CK21">
        <v>0.75</v>
      </c>
      <c r="CL21">
        <f t="shared" si="56"/>
        <v>0.09</v>
      </c>
      <c r="CM21">
        <v>44.3</v>
      </c>
      <c r="CN21">
        <f t="shared" si="57"/>
        <v>3.9869999999999997</v>
      </c>
      <c r="CO21">
        <v>70.9769741921898</v>
      </c>
      <c r="CP21">
        <v>7.3169105356480999E-3</v>
      </c>
      <c r="CQ21">
        <v>6.0998104818480998E-4</v>
      </c>
      <c r="CR21" s="31">
        <f t="shared" si="16"/>
        <v>73.459276124144836</v>
      </c>
      <c r="CS21" s="31">
        <f t="shared" si="17"/>
        <v>5213.9171456403728</v>
      </c>
      <c r="CT21" s="31">
        <f t="shared" si="18"/>
        <v>0.5374949514138383</v>
      </c>
      <c r="CU21" s="31">
        <f t="shared" si="19"/>
        <v>4.4808766249103252E-2</v>
      </c>
      <c r="CV21" s="697">
        <f t="shared" si="20"/>
        <v>5240.8413273359729</v>
      </c>
      <c r="CW21">
        <v>2.34</v>
      </c>
      <c r="CX21">
        <f t="shared" si="21"/>
        <v>5173655.5644995924</v>
      </c>
      <c r="CY21" s="446">
        <f t="shared" si="58"/>
        <v>5173.6555644995924</v>
      </c>
      <c r="CZ21">
        <v>271.3</v>
      </c>
      <c r="DA21" s="446">
        <f t="shared" si="22"/>
        <v>4998.6209211137448</v>
      </c>
      <c r="DC21" t="s">
        <v>169</v>
      </c>
      <c r="DD21" s="31">
        <f>DD13</f>
        <v>235315.40277824379</v>
      </c>
      <c r="DE21" s="31">
        <f t="shared" ref="DE21:DF21" si="137">DE13</f>
        <v>236964.95229887066</v>
      </c>
      <c r="DF21" s="31">
        <f t="shared" si="137"/>
        <v>207744.28850662956</v>
      </c>
      <c r="DI21" s="677" t="s">
        <v>201</v>
      </c>
      <c r="DJ21" s="668">
        <v>7007</v>
      </c>
      <c r="DK21" s="668">
        <v>3443</v>
      </c>
      <c r="DL21" s="669">
        <v>0.49</v>
      </c>
      <c r="DM21" s="670">
        <v>64.42</v>
      </c>
      <c r="DN21" s="678">
        <v>23513</v>
      </c>
      <c r="DP21" s="133">
        <f>DJ21/DJ35</f>
        <v>0.99531250000000004</v>
      </c>
      <c r="DQ21" s="133">
        <f t="shared" si="104"/>
        <v>0.99681528662420382</v>
      </c>
      <c r="DS21" s="31">
        <f t="shared" si="94"/>
        <v>164.75559100000001</v>
      </c>
      <c r="DT21" s="133">
        <f t="shared" si="1"/>
        <v>3.9535258413786592E-2</v>
      </c>
      <c r="DV21" t="s">
        <v>209</v>
      </c>
      <c r="DW21" t="s">
        <v>158</v>
      </c>
      <c r="DX21" s="160">
        <f>DT12</f>
        <v>1.4732857964463981E-2</v>
      </c>
      <c r="DY21" s="31">
        <f t="shared" si="23"/>
        <v>17.897253248207019</v>
      </c>
      <c r="DZ21">
        <v>12</v>
      </c>
      <c r="EA21">
        <f t="shared" si="109"/>
        <v>0.12</v>
      </c>
      <c r="EB21">
        <v>0.75</v>
      </c>
      <c r="EC21">
        <f t="shared" si="110"/>
        <v>0.09</v>
      </c>
      <c r="ED21">
        <v>44.3</v>
      </c>
      <c r="EE21">
        <f t="shared" si="111"/>
        <v>3.9869999999999997</v>
      </c>
      <c r="EF21">
        <v>72.416541095973002</v>
      </c>
      <c r="EG21">
        <f>7.87852632644844/1000</f>
        <v>7.8785263264484397E-3</v>
      </c>
      <c r="EH21">
        <f>0.93521034397128/1000</f>
        <v>9.3521034397127997E-4</v>
      </c>
      <c r="EI21" s="31">
        <f t="shared" si="24"/>
        <v>71.356348700601373</v>
      </c>
      <c r="EJ21" s="31">
        <f t="shared" si="25"/>
        <v>5167.3799581356789</v>
      </c>
      <c r="EK21" s="31">
        <f t="shared" si="26"/>
        <v>0.56218287179692283</v>
      </c>
      <c r="EL21" s="31">
        <f t="shared" si="27"/>
        <v>6.6733195412824006E-2</v>
      </c>
      <c r="EM21" s="697">
        <f t="shared" si="62"/>
        <v>5200.8053753303911</v>
      </c>
      <c r="EN21">
        <v>2.34</v>
      </c>
      <c r="EO21">
        <f t="shared" si="28"/>
        <v>5025548.7120965309</v>
      </c>
      <c r="EP21" s="446">
        <f t="shared" si="112"/>
        <v>5025.5487120965308</v>
      </c>
      <c r="EQ21">
        <v>271.3</v>
      </c>
      <c r="ER21" s="446">
        <f t="shared" si="29"/>
        <v>4855.5248062385645</v>
      </c>
      <c r="ET21" t="s">
        <v>169</v>
      </c>
      <c r="EU21" s="31">
        <f>EU13</f>
        <v>218748.33750437558</v>
      </c>
      <c r="EV21" s="31">
        <f t="shared" ref="EV21:EW21" si="138">EV13</f>
        <v>217845.84638304246</v>
      </c>
      <c r="EW21" s="31">
        <f t="shared" si="138"/>
        <v>191263.33526185903</v>
      </c>
      <c r="EY21" s="128" t="s">
        <v>201</v>
      </c>
      <c r="EZ21" s="129">
        <v>6919</v>
      </c>
      <c r="FA21" s="129">
        <v>3391</v>
      </c>
      <c r="FB21" s="130">
        <v>0.49</v>
      </c>
      <c r="FC21" s="131">
        <v>67.87</v>
      </c>
      <c r="FD21" s="132">
        <v>24772</v>
      </c>
      <c r="FF21" s="133">
        <f t="shared" si="95"/>
        <v>0.99396638414020977</v>
      </c>
      <c r="FG21" s="133">
        <f t="shared" si="95"/>
        <v>0.99793996468510893</v>
      </c>
      <c r="FI21" s="31">
        <f t="shared" si="2"/>
        <v>171.397468</v>
      </c>
      <c r="FJ21" s="133">
        <f t="shared" si="12"/>
        <v>4.0350383840320928E-2</v>
      </c>
      <c r="FL21" t="s">
        <v>209</v>
      </c>
      <c r="FM21" t="s">
        <v>158</v>
      </c>
      <c r="FN21" s="160">
        <f>FJ12</f>
        <v>1.5713350297990199E-2</v>
      </c>
      <c r="FO21" s="31">
        <f t="shared" si="30"/>
        <v>21.258213718151023</v>
      </c>
      <c r="FP21">
        <v>12</v>
      </c>
      <c r="FQ21">
        <f t="shared" si="113"/>
        <v>0.12</v>
      </c>
      <c r="FR21">
        <v>0.75</v>
      </c>
      <c r="FS21">
        <f t="shared" si="114"/>
        <v>0.09</v>
      </c>
      <c r="FT21">
        <v>44.3</v>
      </c>
      <c r="FU21">
        <f t="shared" si="115"/>
        <v>3.9869999999999997</v>
      </c>
      <c r="FV21">
        <v>72.513754762763227</v>
      </c>
      <c r="FW21">
        <f>6.43681969225972/1000</f>
        <v>6.4368196922597199E-3</v>
      </c>
      <c r="FX21">
        <f>1.22219082236233/1000</f>
        <v>1.2221908223623299E-3</v>
      </c>
      <c r="FY21" s="31">
        <f t="shared" si="31"/>
        <v>84.756498094268125</v>
      </c>
      <c r="FZ21" s="31">
        <f t="shared" si="67"/>
        <v>6146.011917358368</v>
      </c>
      <c r="GA21" s="31">
        <f t="shared" si="32"/>
        <v>0.54556229598015848</v>
      </c>
      <c r="GB21" s="31">
        <f t="shared" si="32"/>
        <v>0.1035886141063848</v>
      </c>
      <c r="GC21" s="697">
        <f t="shared" si="33"/>
        <v>6188.7386443840041</v>
      </c>
      <c r="GD21">
        <v>2.34</v>
      </c>
      <c r="GE21">
        <f t="shared" si="34"/>
        <v>5969306.4120568065</v>
      </c>
      <c r="GF21" s="446">
        <f t="shared" si="116"/>
        <v>5969.3064120568069</v>
      </c>
      <c r="GG21">
        <v>271.3</v>
      </c>
      <c r="GH21" s="446">
        <f t="shared" si="35"/>
        <v>5767.3533817343732</v>
      </c>
      <c r="GJ21" t="s">
        <v>169</v>
      </c>
      <c r="GK21" s="31">
        <f>GK13</f>
        <v>242474.11516524735</v>
      </c>
      <c r="GL21" s="31">
        <f t="shared" ref="GL21:GM21" si="139">GL13</f>
        <v>242484.6847124933</v>
      </c>
      <c r="GM21" s="31">
        <f t="shared" si="139"/>
        <v>207450.76978100301</v>
      </c>
      <c r="GO21" s="677" t="s">
        <v>201</v>
      </c>
      <c r="GP21" s="668">
        <v>6696</v>
      </c>
      <c r="GQ21" s="668">
        <v>3224</v>
      </c>
      <c r="GR21" s="669">
        <v>0.48</v>
      </c>
      <c r="GS21" s="670">
        <v>69.7</v>
      </c>
      <c r="GT21" s="678">
        <v>25441</v>
      </c>
      <c r="GV21" s="133">
        <f t="shared" si="96"/>
        <v>0.99420935412026723</v>
      </c>
      <c r="GW21" s="133">
        <f t="shared" si="97"/>
        <v>0.99721620785648002</v>
      </c>
      <c r="GY21" s="31">
        <f t="shared" si="3"/>
        <v>170.352936</v>
      </c>
      <c r="GZ21" s="133">
        <f t="shared" si="15"/>
        <v>4.0104480166099216E-2</v>
      </c>
      <c r="HB21" t="s">
        <v>209</v>
      </c>
      <c r="HC21" t="s">
        <v>158</v>
      </c>
      <c r="HD21" s="160">
        <f>GZ12</f>
        <v>1.5617636549427567E-2</v>
      </c>
      <c r="HE21" s="31">
        <f t="shared" si="36"/>
        <v>20.897036828334382</v>
      </c>
      <c r="HF21">
        <v>12</v>
      </c>
      <c r="HG21">
        <f t="shared" si="117"/>
        <v>0.12</v>
      </c>
      <c r="HH21">
        <v>0.75</v>
      </c>
      <c r="HI21">
        <f t="shared" si="118"/>
        <v>0.09</v>
      </c>
      <c r="HJ21">
        <v>44.3</v>
      </c>
      <c r="HK21">
        <f t="shared" si="119"/>
        <v>3.9869999999999997</v>
      </c>
      <c r="HL21">
        <v>72.513754762763227</v>
      </c>
      <c r="HM21">
        <f>6.43681969225972/1000</f>
        <v>6.4368196922597199E-3</v>
      </c>
      <c r="HN21">
        <f>1.22219082236233/1000</f>
        <v>1.2221908223623299E-3</v>
      </c>
      <c r="HO21" s="31">
        <f t="shared" si="37"/>
        <v>83.316485834569178</v>
      </c>
      <c r="HP21" s="31">
        <f t="shared" si="72"/>
        <v>6041.5912215031858</v>
      </c>
      <c r="HQ21" s="31">
        <f t="shared" si="38"/>
        <v>0.53629319670983289</v>
      </c>
      <c r="HR21" s="31">
        <f t="shared" si="38"/>
        <v>0.10182864433849151</v>
      </c>
      <c r="HS21" s="697">
        <f t="shared" si="39"/>
        <v>6083.5920217607609</v>
      </c>
      <c r="HT21">
        <v>2.34</v>
      </c>
      <c r="HU21">
        <f t="shared" si="40"/>
        <v>5867887.9413962951</v>
      </c>
      <c r="HV21" s="446">
        <f t="shared" si="120"/>
        <v>5867.887941396295</v>
      </c>
      <c r="HW21">
        <v>271.3</v>
      </c>
      <c r="HX21" s="446">
        <f t="shared" si="41"/>
        <v>5669.3660915271184</v>
      </c>
      <c r="HZ21" t="s">
        <v>169</v>
      </c>
      <c r="IA21" s="31">
        <f>IA13</f>
        <v>239772.08032304575</v>
      </c>
      <c r="IB21" s="31">
        <f t="shared" ref="IB21:IC21" si="140">IB13</f>
        <v>238515.00702180347</v>
      </c>
      <c r="IC21" s="31">
        <f t="shared" si="140"/>
        <v>206874.0839898343</v>
      </c>
      <c r="IE21" t="s">
        <v>169</v>
      </c>
      <c r="IF21" s="31">
        <f>IF13</f>
        <v>233231.68341519832</v>
      </c>
      <c r="IG21" s="31">
        <f>IG13</f>
        <v>232008.90000426062</v>
      </c>
      <c r="IH21" s="31">
        <f t="shared" ref="IH21" si="141">IH13</f>
        <v>201231.06409603378</v>
      </c>
      <c r="IJ21" t="s">
        <v>169</v>
      </c>
      <c r="IK21" s="31">
        <f>IK13</f>
        <v>215949.80562994696</v>
      </c>
      <c r="IL21" s="31">
        <f>IL13</f>
        <v>214817.62737674866</v>
      </c>
      <c r="IM21" s="31">
        <f t="shared" ref="IM21" si="142">IM13</f>
        <v>186320.35125727751</v>
      </c>
    </row>
    <row r="22" spans="1:247" ht="16.5" customHeight="1" thickBot="1">
      <c r="A22" s="970"/>
      <c r="B22" s="374" t="s">
        <v>217</v>
      </c>
      <c r="C22" s="375">
        <v>40180</v>
      </c>
      <c r="D22" s="376">
        <v>42745</v>
      </c>
      <c r="E22" s="377">
        <v>36800</v>
      </c>
      <c r="F22" s="411">
        <v>119725</v>
      </c>
      <c r="G22" s="407">
        <v>1396312.8002521526</v>
      </c>
      <c r="H22" s="344"/>
      <c r="I22" s="373"/>
      <c r="J22" s="373"/>
      <c r="K22" s="373"/>
      <c r="L22" s="373"/>
      <c r="M22" s="546"/>
      <c r="O22" s="219">
        <v>2016</v>
      </c>
      <c r="P22" s="173">
        <f>M166</f>
        <v>7.2047840846281241E-2</v>
      </c>
      <c r="Q22" s="98">
        <f t="shared" si="135"/>
        <v>5.0111498732923909</v>
      </c>
      <c r="R22" s="698">
        <f t="shared" si="105"/>
        <v>1188.8953074386197</v>
      </c>
      <c r="S22" s="96">
        <f t="shared" si="106"/>
        <v>31.319686708077441</v>
      </c>
      <c r="T22" s="96">
        <f t="shared" si="121"/>
        <v>1614.4168406225485</v>
      </c>
      <c r="U22" s="698">
        <f t="shared" si="122"/>
        <v>1049.3709464046565</v>
      </c>
      <c r="V22" s="25">
        <f t="shared" si="107"/>
        <v>1157912.0397504235</v>
      </c>
      <c r="W22">
        <f t="shared" si="108"/>
        <v>5.7548228375596047</v>
      </c>
      <c r="X22" s="446">
        <f t="shared" si="123"/>
        <v>1205.1014318343246</v>
      </c>
      <c r="AA22" s="966" t="s">
        <v>466</v>
      </c>
      <c r="AB22" s="967"/>
      <c r="AC22" s="967"/>
      <c r="AD22" s="967"/>
      <c r="AE22" s="967"/>
      <c r="AF22" s="968"/>
      <c r="AG22" s="32">
        <f>SUM(AF16:AF21)</f>
        <v>153254</v>
      </c>
      <c r="AK22" s="31">
        <f t="shared" si="92"/>
        <v>0</v>
      </c>
      <c r="AL22" s="133">
        <f t="shared" si="6"/>
        <v>0</v>
      </c>
      <c r="AO22" t="s">
        <v>25</v>
      </c>
      <c r="AP22" s="160">
        <f>AL19</f>
        <v>8.2186754844503176E-2</v>
      </c>
      <c r="AQ22" s="31">
        <f t="shared" si="42"/>
        <v>110.90143924402196</v>
      </c>
      <c r="AR22">
        <v>13</v>
      </c>
      <c r="AS22">
        <f t="shared" si="43"/>
        <v>0.13</v>
      </c>
      <c r="AT22">
        <v>0.86499999999999999</v>
      </c>
      <c r="AU22">
        <f t="shared" si="44"/>
        <v>0.11245000000000001</v>
      </c>
      <c r="AV22">
        <v>43</v>
      </c>
      <c r="AW22">
        <f t="shared" si="45"/>
        <v>4.83535</v>
      </c>
      <c r="AX22">
        <v>74.054734089485606</v>
      </c>
      <c r="AY22">
        <v>1.1457692289250001E-4</v>
      </c>
      <c r="AZ22">
        <v>2.5659043229536902E-3</v>
      </c>
      <c r="BA22" s="31">
        <f t="shared" si="46"/>
        <v>536.24727424858156</v>
      </c>
      <c r="BB22" s="31">
        <f t="shared" si="47"/>
        <v>39711.649300690173</v>
      </c>
      <c r="BC22" s="31">
        <f t="shared" si="48"/>
        <v>6.1441562592893031E-2</v>
      </c>
      <c r="BD22" s="31">
        <f t="shared" si="49"/>
        <v>1.3759591991665685</v>
      </c>
      <c r="BE22" s="697">
        <f t="shared" si="50"/>
        <v>40077.998852221914</v>
      </c>
      <c r="BF22">
        <v>2.72</v>
      </c>
      <c r="BG22">
        <f t="shared" si="51"/>
        <v>39214748.91668617</v>
      </c>
      <c r="BH22" s="446">
        <f t="shared" si="52"/>
        <v>39214.748916686171</v>
      </c>
      <c r="BI22">
        <v>239.5</v>
      </c>
      <c r="BJ22" s="446">
        <f t="shared" si="53"/>
        <v>26560.894698943259</v>
      </c>
      <c r="BL22" s="25" t="s">
        <v>480</v>
      </c>
      <c r="BM22" s="31">
        <f>BM14+BM16</f>
        <v>14955.122298494509</v>
      </c>
      <c r="BN22" s="31">
        <f t="shared" ref="BN22:BO22" si="143">BN14+BN16</f>
        <v>14587.820856021957</v>
      </c>
      <c r="BO22" s="31">
        <f t="shared" si="143"/>
        <v>19362.08388932074</v>
      </c>
      <c r="BR22" s="1013" t="s">
        <v>466</v>
      </c>
      <c r="BS22" s="1013"/>
      <c r="BT22" s="1013"/>
      <c r="BU22" s="1013"/>
      <c r="BV22" s="1013"/>
      <c r="BW22" s="1013"/>
      <c r="BX22" s="32">
        <f>SUM(BW16:BW21)</f>
        <v>114908</v>
      </c>
      <c r="CB22" s="31">
        <f t="shared" si="93"/>
        <v>0</v>
      </c>
      <c r="CC22" s="133">
        <f t="shared" si="0"/>
        <v>0</v>
      </c>
      <c r="CF22" t="s">
        <v>25</v>
      </c>
      <c r="CG22" s="160">
        <f>CC19</f>
        <v>7.9281905580458611E-2</v>
      </c>
      <c r="CH22" s="31">
        <f t="shared" si="54"/>
        <v>105.3308043133629</v>
      </c>
      <c r="CI22">
        <v>13</v>
      </c>
      <c r="CJ22">
        <f t="shared" si="55"/>
        <v>0.13</v>
      </c>
      <c r="CK22">
        <v>0.86499999999999999</v>
      </c>
      <c r="CL22">
        <f t="shared" si="56"/>
        <v>0.11245000000000001</v>
      </c>
      <c r="CM22">
        <v>43</v>
      </c>
      <c r="CN22">
        <f t="shared" si="57"/>
        <v>4.83535</v>
      </c>
      <c r="CO22">
        <v>74.054734089485606</v>
      </c>
      <c r="CP22">
        <v>1.1457692289250001E-4</v>
      </c>
      <c r="CQ22">
        <v>2.5659043229536902E-3</v>
      </c>
      <c r="CR22" s="31">
        <f t="shared" si="16"/>
        <v>509.3113046366193</v>
      </c>
      <c r="CS22" s="31">
        <f>$CR22*CO22</f>
        <v>37716.913233633837</v>
      </c>
      <c r="CT22" s="31">
        <f t="shared" si="18"/>
        <v>5.8355322079628513E-2</v>
      </c>
      <c r="CU22" s="31">
        <f t="shared" si="19"/>
        <v>1.3068440782962853</v>
      </c>
      <c r="CV22" s="697">
        <f t="shared" si="20"/>
        <v>38064.86086340058</v>
      </c>
      <c r="CW22">
        <v>2.72</v>
      </c>
      <c r="CX22">
        <f t="shared" si="21"/>
        <v>37244972.405205123</v>
      </c>
      <c r="CY22" s="446">
        <f t="shared" si="58"/>
        <v>37244.972405205124</v>
      </c>
      <c r="CZ22">
        <v>239.5</v>
      </c>
      <c r="DA22" s="446">
        <f t="shared" si="22"/>
        <v>25226.727633050414</v>
      </c>
      <c r="DC22" s="25" t="s">
        <v>480</v>
      </c>
      <c r="DD22" s="31">
        <f>DD14+DD16</f>
        <v>11693.29670929022</v>
      </c>
      <c r="DE22" s="31">
        <f t="shared" ref="DE22:DF22" si="144">DE14+DE16</f>
        <v>11407.293471647856</v>
      </c>
      <c r="DF22" s="31">
        <f t="shared" si="144"/>
        <v>15160.686924513242</v>
      </c>
      <c r="DI22" s="693" t="s">
        <v>466</v>
      </c>
      <c r="DJ22" s="694"/>
      <c r="DK22" s="694"/>
      <c r="DL22" s="694"/>
      <c r="DM22" s="694"/>
      <c r="DN22" s="695"/>
      <c r="DO22" s="32">
        <f>SUM(DN16:DN21)</f>
        <v>130789</v>
      </c>
      <c r="DS22" s="31">
        <f t="shared" si="94"/>
        <v>0</v>
      </c>
      <c r="DT22" s="133">
        <f t="shared" si="1"/>
        <v>0</v>
      </c>
      <c r="DW22" t="s">
        <v>25</v>
      </c>
      <c r="DX22" s="160">
        <f>DT19</f>
        <v>7.6683758406301913E-2</v>
      </c>
      <c r="DY22" s="31">
        <f t="shared" si="23"/>
        <v>93.154271054010096</v>
      </c>
      <c r="DZ22">
        <v>13</v>
      </c>
      <c r="EA22">
        <f t="shared" si="109"/>
        <v>0.13</v>
      </c>
      <c r="EB22">
        <v>0.86499999999999999</v>
      </c>
      <c r="EC22">
        <f t="shared" si="110"/>
        <v>0.11245000000000001</v>
      </c>
      <c r="ED22">
        <v>43</v>
      </c>
      <c r="EE22">
        <f t="shared" si="111"/>
        <v>4.83535</v>
      </c>
      <c r="EF22">
        <v>73.367636682232202</v>
      </c>
      <c r="EG22">
        <f>0.06636778941357/1000</f>
        <v>6.6367789413569991E-5</v>
      </c>
      <c r="EH22">
        <f>2.52657658902305/1000</f>
        <v>2.5265765890230499E-3</v>
      </c>
      <c r="EI22" s="31">
        <f t="shared" si="24"/>
        <v>450.43350454100772</v>
      </c>
      <c r="EJ22" s="31">
        <f t="shared" si="25"/>
        <v>33047.241710669245</v>
      </c>
      <c r="EK22" s="31">
        <f t="shared" si="26"/>
        <v>2.9894275974193921E-2</v>
      </c>
      <c r="EL22" s="31">
        <f t="shared" si="27"/>
        <v>1.1380547474849179</v>
      </c>
      <c r="EM22" s="697">
        <f t="shared" si="62"/>
        <v>33349.663258480025</v>
      </c>
      <c r="EN22">
        <v>2.72</v>
      </c>
      <c r="EO22">
        <f t="shared" si="28"/>
        <v>32939350.244697969</v>
      </c>
      <c r="EP22" s="446">
        <f t="shared" si="112"/>
        <v>32939.350244697969</v>
      </c>
      <c r="EQ22">
        <v>239.5</v>
      </c>
      <c r="ER22" s="446">
        <f t="shared" si="29"/>
        <v>22310.447917435416</v>
      </c>
      <c r="ET22" s="25" t="s">
        <v>480</v>
      </c>
      <c r="EU22" s="31">
        <f>EU14+EU16</f>
        <v>14249.07499839491</v>
      </c>
      <c r="EV22" s="31">
        <f t="shared" ref="EV22:EW22" si="145">EV14+EV16</f>
        <v>14055.520620562351</v>
      </c>
      <c r="EW22" s="31">
        <f t="shared" si="145"/>
        <v>18688.264494639345</v>
      </c>
      <c r="EY22" s="926" t="s">
        <v>218</v>
      </c>
      <c r="EZ22" s="927"/>
      <c r="FA22" s="927"/>
      <c r="FB22" s="927"/>
      <c r="FC22" s="927"/>
      <c r="FD22" s="928"/>
      <c r="FI22" s="31">
        <f t="shared" si="2"/>
        <v>0</v>
      </c>
      <c r="FJ22" s="133">
        <f t="shared" si="12"/>
        <v>0</v>
      </c>
      <c r="FM22" t="s">
        <v>25</v>
      </c>
      <c r="FN22" s="160">
        <f>FJ19</f>
        <v>7.4747703332163865E-2</v>
      </c>
      <c r="FO22" s="31">
        <f t="shared" si="30"/>
        <v>101.12437018471665</v>
      </c>
      <c r="FP22">
        <v>13</v>
      </c>
      <c r="FQ22">
        <f t="shared" si="113"/>
        <v>0.13</v>
      </c>
      <c r="FR22">
        <v>0.86499999999999999</v>
      </c>
      <c r="FS22">
        <f t="shared" si="114"/>
        <v>0.11245000000000001</v>
      </c>
      <c r="FT22">
        <v>43</v>
      </c>
      <c r="FU22">
        <f t="shared" si="115"/>
        <v>4.83535</v>
      </c>
      <c r="FV22">
        <v>73.367561400348293</v>
      </c>
      <c r="FW22">
        <f>0.36897495946676/1000</f>
        <v>3.6897495946676E-4</v>
      </c>
      <c r="FX22">
        <f>2.09444904821954/1000</f>
        <v>2.0944490482195399E-3</v>
      </c>
      <c r="FY22" s="31">
        <f t="shared" si="31"/>
        <v>488.97172337266966</v>
      </c>
      <c r="FZ22" s="31">
        <f t="shared" si="67"/>
        <v>35874.662937578461</v>
      </c>
      <c r="GA22" s="31">
        <f t="shared" si="32"/>
        <v>0.18041832181182257</v>
      </c>
      <c r="GB22" s="31">
        <f t="shared" si="32"/>
        <v>1.0241263606241562</v>
      </c>
      <c r="GC22" s="697">
        <f t="shared" si="33"/>
        <v>36151.108136154595</v>
      </c>
      <c r="GD22">
        <v>2.72</v>
      </c>
      <c r="GE22">
        <f t="shared" si="34"/>
        <v>35757577.297315814</v>
      </c>
      <c r="GF22" s="446">
        <f t="shared" si="116"/>
        <v>35757.577297315816</v>
      </c>
      <c r="GG22">
        <v>239.5</v>
      </c>
      <c r="GH22" s="446">
        <f t="shared" si="35"/>
        <v>24219.286659239639</v>
      </c>
      <c r="GJ22" s="25" t="s">
        <v>480</v>
      </c>
      <c r="GK22" s="31">
        <f>GK14+GK16</f>
        <v>18194.119507371812</v>
      </c>
      <c r="GL22" s="31">
        <f t="shared" ref="GL22:GM22" si="146">GL14+GL16</f>
        <v>17986.908083022568</v>
      </c>
      <c r="GM22" s="31">
        <f t="shared" si="146"/>
        <v>23814.229211886148</v>
      </c>
      <c r="GO22" s="1010" t="s">
        <v>218</v>
      </c>
      <c r="GP22" s="1011"/>
      <c r="GQ22" s="1011"/>
      <c r="GR22" s="1011"/>
      <c r="GS22" s="1011"/>
      <c r="GT22" s="1012"/>
      <c r="GY22" s="31">
        <f t="shared" si="3"/>
        <v>0</v>
      </c>
      <c r="GZ22" s="133">
        <f t="shared" si="15"/>
        <v>0</v>
      </c>
      <c r="HC22" t="s">
        <v>25</v>
      </c>
      <c r="HD22" s="160">
        <f>GZ19</f>
        <v>7.1914439266129379E-2</v>
      </c>
      <c r="HE22" s="31">
        <f t="shared" si="36"/>
        <v>96.224462714136081</v>
      </c>
      <c r="HF22">
        <v>13</v>
      </c>
      <c r="HG22">
        <f t="shared" si="117"/>
        <v>0.13</v>
      </c>
      <c r="HH22">
        <v>0.86499999999999999</v>
      </c>
      <c r="HI22">
        <f t="shared" si="118"/>
        <v>0.11245000000000001</v>
      </c>
      <c r="HJ22">
        <v>43</v>
      </c>
      <c r="HK22">
        <f t="shared" si="119"/>
        <v>4.83535</v>
      </c>
      <c r="HL22">
        <v>73.367561400348293</v>
      </c>
      <c r="HM22">
        <f>0.36897495946676/1000</f>
        <v>3.6897495946676E-4</v>
      </c>
      <c r="HN22">
        <f>2.09444904821954/1000</f>
        <v>2.0944490482195399E-3</v>
      </c>
      <c r="HO22" s="31">
        <f t="shared" si="37"/>
        <v>465.27895578479792</v>
      </c>
      <c r="HP22" s="31">
        <f t="shared" si="72"/>
        <v>34136.382356831098</v>
      </c>
      <c r="HQ22" s="31">
        <f t="shared" si="38"/>
        <v>0.17167628385143222</v>
      </c>
      <c r="HR22" s="31">
        <f t="shared" si="38"/>
        <v>0.97450306610005133</v>
      </c>
      <c r="HS22" s="697">
        <f t="shared" si="39"/>
        <v>34399.432605295449</v>
      </c>
      <c r="HT22">
        <v>2.72</v>
      </c>
      <c r="HU22">
        <f t="shared" si="40"/>
        <v>34024970.01571852</v>
      </c>
      <c r="HV22" s="446">
        <f t="shared" si="120"/>
        <v>34024.970015718522</v>
      </c>
      <c r="HW22">
        <v>239.5</v>
      </c>
      <c r="HX22" s="446">
        <f t="shared" si="41"/>
        <v>23045.758820035589</v>
      </c>
      <c r="HZ22" s="25" t="s">
        <v>480</v>
      </c>
      <c r="IA22" s="31">
        <f>IA14+IA16</f>
        <v>17884.42535145174</v>
      </c>
      <c r="IB22" s="31">
        <f t="shared" ref="IB22:IC22" si="147">IB14+IB16</f>
        <v>17682.68120696762</v>
      </c>
      <c r="IC22" s="31">
        <f t="shared" si="147"/>
        <v>23327.108992543363</v>
      </c>
      <c r="IE22" s="25" t="s">
        <v>480</v>
      </c>
      <c r="IF22" s="31">
        <f>IF14+IF16</f>
        <v>17396.581895659609</v>
      </c>
      <c r="IG22" s="31">
        <f t="shared" ref="IG22:IH22" si="148">IG14+IG16</f>
        <v>17200.340838845172</v>
      </c>
      <c r="IH22" s="31">
        <f t="shared" si="148"/>
        <v>22690.802416238501</v>
      </c>
      <c r="IJ22" s="25" t="s">
        <v>480</v>
      </c>
      <c r="IK22" s="31">
        <f>IK14+IK16</f>
        <v>16107.539181567041</v>
      </c>
      <c r="IL22" s="31">
        <f t="shared" ref="IL22:IM22" si="149">IL14+IL16</f>
        <v>15925.839090673937</v>
      </c>
      <c r="IM22" s="31">
        <f t="shared" si="149"/>
        <v>21009.47135321721</v>
      </c>
    </row>
    <row r="23" spans="1:247" ht="16.5" customHeight="1" thickBot="1">
      <c r="A23" s="379" t="s">
        <v>220</v>
      </c>
      <c r="B23" s="380"/>
      <c r="C23" s="381">
        <v>39154.089654148054</v>
      </c>
      <c r="D23" s="381">
        <v>39736.608881551052</v>
      </c>
      <c r="E23" s="381">
        <v>37468.701485313599</v>
      </c>
      <c r="F23" s="382">
        <v>116359.40002101271</v>
      </c>
      <c r="G23" s="382"/>
      <c r="H23" s="383"/>
      <c r="I23" s="384"/>
      <c r="J23" s="384"/>
      <c r="K23" s="384"/>
      <c r="L23" s="384"/>
      <c r="M23" s="547"/>
      <c r="O23" s="219">
        <v>2017</v>
      </c>
      <c r="P23" s="173">
        <f>M179</f>
        <v>8.0027290299421239E-2</v>
      </c>
      <c r="Q23" s="98">
        <f>Q22*(1+P23)</f>
        <v>5.4121786189362693</v>
      </c>
      <c r="R23" s="698">
        <f t="shared" si="105"/>
        <v>1284.0393773426299</v>
      </c>
      <c r="S23" s="96">
        <f t="shared" si="106"/>
        <v>33.826116368351684</v>
      </c>
      <c r="T23" s="96">
        <f t="shared" si="121"/>
        <v>1743.6142457913238</v>
      </c>
      <c r="U23" s="698">
        <f t="shared" si="122"/>
        <v>1133.3492597643606</v>
      </c>
      <c r="V23" s="25">
        <f t="shared" si="107"/>
        <v>1250576.6026967256</v>
      </c>
      <c r="W23">
        <f t="shared" si="108"/>
        <v>6.2153657154027258</v>
      </c>
      <c r="X23" s="446">
        <f t="shared" si="123"/>
        <v>1301.5424339599779</v>
      </c>
      <c r="AA23" s="842" t="s">
        <v>252</v>
      </c>
      <c r="AB23" s="840">
        <v>17323</v>
      </c>
      <c r="AC23" s="840">
        <v>1993</v>
      </c>
      <c r="AD23" s="841">
        <v>0.12</v>
      </c>
      <c r="AE23" s="842">
        <v>37.75</v>
      </c>
      <c r="AF23" s="849">
        <v>13779</v>
      </c>
      <c r="AH23" s="133">
        <f t="shared" ref="AH23:AH28" si="150">AB23/$DJ$30</f>
        <v>6.4250876249466835E-2</v>
      </c>
      <c r="AI23" s="133">
        <f t="shared" ref="AI23:AI28" si="151">AC23/$DJ$30</f>
        <v>7.3920219572353174E-3</v>
      </c>
      <c r="AK23" s="31">
        <f>AF23*AB23/1000000</f>
        <v>238.69361699999999</v>
      </c>
      <c r="AL23" s="133">
        <f t="shared" si="6"/>
        <v>4.8580199515719673E-2</v>
      </c>
      <c r="AN23" t="s">
        <v>215</v>
      </c>
      <c r="AO23" t="s">
        <v>158</v>
      </c>
      <c r="AP23" s="160">
        <f>AL11</f>
        <v>5.4715752360508565E-6</v>
      </c>
      <c r="AQ23" s="31">
        <f t="shared" si="42"/>
        <v>7.383252566159371E-3</v>
      </c>
      <c r="AR23">
        <v>25</v>
      </c>
      <c r="AS23">
        <f t="shared" si="43"/>
        <v>0.25</v>
      </c>
      <c r="AT23">
        <v>0.75</v>
      </c>
      <c r="AU23">
        <f t="shared" si="44"/>
        <v>0.1875</v>
      </c>
      <c r="AV23">
        <v>44.3</v>
      </c>
      <c r="AW23">
        <f t="shared" si="45"/>
        <v>8.3062499999999986</v>
      </c>
      <c r="AX23">
        <v>71.051104664576499</v>
      </c>
      <c r="AY23">
        <v>1.53682172957139E-2</v>
      </c>
      <c r="AZ23">
        <v>8.2329735512008E-4</v>
      </c>
      <c r="BA23" s="31">
        <f t="shared" si="46"/>
        <v>6.1327141627661265E-2</v>
      </c>
      <c r="BB23" s="31">
        <f t="shared" si="47"/>
        <v>4.3573611585662668</v>
      </c>
      <c r="BC23" s="31">
        <f t="shared" si="48"/>
        <v>9.4248883865891977E-4</v>
      </c>
      <c r="BD23" s="31">
        <f t="shared" si="49"/>
        <v>5.0490473499128076E-5</v>
      </c>
      <c r="BE23" s="697">
        <f t="shared" si="50"/>
        <v>4.3971308215259857</v>
      </c>
      <c r="BF23">
        <v>2.34</v>
      </c>
      <c r="BG23">
        <f t="shared" si="51"/>
        <v>4319.2027512032319</v>
      </c>
      <c r="BH23" s="446">
        <f t="shared" si="52"/>
        <v>4.3192027512032318</v>
      </c>
      <c r="BI23">
        <v>801.2</v>
      </c>
      <c r="BJ23" s="446">
        <f t="shared" si="53"/>
        <v>5.9154619560068893</v>
      </c>
      <c r="BL23" t="s">
        <v>479</v>
      </c>
      <c r="BM23" s="31">
        <f>BM15+BM17+BM18</f>
        <v>103107.90508252612</v>
      </c>
      <c r="BN23" s="31">
        <f>BN15+BN17+BN18</f>
        <v>100870.56169633602</v>
      </c>
      <c r="BO23" s="31">
        <f>BO15+BO17+BO18</f>
        <v>93094.54819795239</v>
      </c>
      <c r="BR23" s="779" t="s">
        <v>252</v>
      </c>
      <c r="BS23" s="780">
        <v>10484</v>
      </c>
      <c r="BT23" s="780">
        <v>1383</v>
      </c>
      <c r="BU23" s="781">
        <v>0.13</v>
      </c>
      <c r="BV23" s="779">
        <v>32.9</v>
      </c>
      <c r="BW23" s="780">
        <v>12010</v>
      </c>
      <c r="BY23" s="133">
        <f t="shared" ref="BY23:BZ28" si="152">BS23/$DJ$30</f>
        <v>3.8885076868868572E-2</v>
      </c>
      <c r="BZ23" s="133">
        <f t="shared" si="152"/>
        <v>5.1295365613930975E-3</v>
      </c>
      <c r="CB23" s="31">
        <f>BW23*BS23/1000000</f>
        <v>125.91284</v>
      </c>
      <c r="CC23" s="133">
        <f t="shared" si="0"/>
        <v>3.0214432401348766E-2</v>
      </c>
      <c r="CE23" t="s">
        <v>215</v>
      </c>
      <c r="CF23" t="s">
        <v>158</v>
      </c>
      <c r="CG23" s="160">
        <f>CC11</f>
        <v>8.0639591708623635E-6</v>
      </c>
      <c r="CH23" s="31">
        <f t="shared" si="54"/>
        <v>1.071345724094714E-2</v>
      </c>
      <c r="CI23">
        <v>25</v>
      </c>
      <c r="CJ23">
        <f t="shared" si="55"/>
        <v>0.25</v>
      </c>
      <c r="CK23">
        <v>0.75</v>
      </c>
      <c r="CL23">
        <f t="shared" si="56"/>
        <v>0.1875</v>
      </c>
      <c r="CM23">
        <v>44.3</v>
      </c>
      <c r="CN23">
        <f t="shared" si="57"/>
        <v>8.3062499999999986</v>
      </c>
      <c r="CO23">
        <v>71.051104664576499</v>
      </c>
      <c r="CP23">
        <v>1.53682172957139E-2</v>
      </c>
      <c r="CQ23">
        <v>8.2329735512008E-4</v>
      </c>
      <c r="CR23" s="31">
        <f t="shared" si="16"/>
        <v>8.898865420761716E-2</v>
      </c>
      <c r="CS23" s="31">
        <f t="shared" si="17"/>
        <v>6.3227421840652127</v>
      </c>
      <c r="CT23" s="31">
        <f t="shared" si="18"/>
        <v>1.3675969747158055E-3</v>
      </c>
      <c r="CU23" s="31">
        <f t="shared" si="19"/>
        <v>7.3264123644826591E-5</v>
      </c>
      <c r="CV23" s="697">
        <f t="shared" si="20"/>
        <v>6.3804498921231341</v>
      </c>
      <c r="CW23">
        <v>2.34</v>
      </c>
      <c r="CX23">
        <f t="shared" si="21"/>
        <v>6267.3724859540771</v>
      </c>
      <c r="CY23" s="446">
        <f t="shared" si="58"/>
        <v>6.2673724859540769</v>
      </c>
      <c r="CZ23">
        <v>801.2</v>
      </c>
      <c r="DA23" s="446">
        <f t="shared" si="22"/>
        <v>8.5836219414468484</v>
      </c>
      <c r="DC23" t="s">
        <v>479</v>
      </c>
      <c r="DD23" s="31">
        <f>DD15+DD17+DD18</f>
        <v>93032.780358821503</v>
      </c>
      <c r="DE23" s="31">
        <f t="shared" ref="DE23:DF23" si="153">DE15+DE17+DE18</f>
        <v>91034.589210662118</v>
      </c>
      <c r="DF23" s="31">
        <f t="shared" si="153"/>
        <v>83010.856306889851</v>
      </c>
      <c r="DI23" s="677" t="s">
        <v>252</v>
      </c>
      <c r="DJ23" s="668">
        <v>6271</v>
      </c>
      <c r="DK23" s="670">
        <v>827</v>
      </c>
      <c r="DL23" s="669">
        <v>0.13</v>
      </c>
      <c r="DM23" s="670">
        <v>32.21</v>
      </c>
      <c r="DN23" s="678">
        <v>11755</v>
      </c>
      <c r="DP23" s="133">
        <f t="shared" ref="DP23:DQ28" si="154">DJ23/$DJ$30</f>
        <v>2.3259091667748456E-2</v>
      </c>
      <c r="DQ23" s="133">
        <f t="shared" si="154"/>
        <v>3.0673367579696974E-3</v>
      </c>
      <c r="DS23" s="31">
        <f>DN23*DJ23/1000000</f>
        <v>73.715604999999996</v>
      </c>
      <c r="DT23" s="133">
        <f t="shared" si="1"/>
        <v>1.768902332913011E-2</v>
      </c>
      <c r="DV23" t="s">
        <v>215</v>
      </c>
      <c r="DW23" t="s">
        <v>158</v>
      </c>
      <c r="DX23" s="160">
        <f>DT11</f>
        <v>1.2111416374699157E-5</v>
      </c>
      <c r="DY23" s="31">
        <f t="shared" si="23"/>
        <v>1.471276561379369E-2</v>
      </c>
      <c r="DZ23">
        <v>25</v>
      </c>
      <c r="EA23">
        <f t="shared" si="109"/>
        <v>0.25</v>
      </c>
      <c r="EB23">
        <v>0.75</v>
      </c>
      <c r="EC23">
        <f t="shared" si="110"/>
        <v>0.1875</v>
      </c>
      <c r="ED23">
        <v>44.3</v>
      </c>
      <c r="EE23">
        <f t="shared" si="111"/>
        <v>8.3062499999999986</v>
      </c>
      <c r="EF23">
        <v>72.512080209241503</v>
      </c>
      <c r="EG23">
        <f>15.8206501432308/1000</f>
        <v>1.5820650143230801E-2</v>
      </c>
      <c r="EH23">
        <f>0.84755262174617/1000</f>
        <v>8.4755262174616996E-4</v>
      </c>
      <c r="EI23" s="31">
        <f t="shared" si="24"/>
        <v>0.12220790937957382</v>
      </c>
      <c r="EJ23" s="31">
        <f t="shared" si="25"/>
        <v>8.8615497271353743</v>
      </c>
      <c r="EK23" s="31">
        <f t="shared" si="26"/>
        <v>1.9334085790298913E-3</v>
      </c>
      <c r="EL23" s="31">
        <f t="shared" si="27"/>
        <v>1.0357763399277615E-4</v>
      </c>
      <c r="EM23" s="697">
        <f t="shared" si="62"/>
        <v>8.943133240356298</v>
      </c>
      <c r="EN23">
        <v>2.34</v>
      </c>
      <c r="EO23">
        <f t="shared" si="28"/>
        <v>8606.9678840693086</v>
      </c>
      <c r="EP23" s="446">
        <f t="shared" si="112"/>
        <v>8.6069678840693093</v>
      </c>
      <c r="EQ23">
        <v>801.2</v>
      </c>
      <c r="ER23" s="446">
        <f t="shared" si="29"/>
        <v>11.787867809771507</v>
      </c>
      <c r="ET23" t="s">
        <v>479</v>
      </c>
      <c r="EU23" s="31">
        <f>EU15+EU17+EU18</f>
        <v>81222.211726417096</v>
      </c>
      <c r="EV23" s="31">
        <f t="shared" ref="EV23:EW23" si="155">EV15+EV17+EV18</f>
        <v>80093.072835991523</v>
      </c>
      <c r="EW23" s="31">
        <f t="shared" si="155"/>
        <v>72931.986801858686</v>
      </c>
      <c r="EY23" s="128" t="s">
        <v>169</v>
      </c>
      <c r="EZ23" s="129">
        <v>269825</v>
      </c>
      <c r="FA23" s="129">
        <v>126330</v>
      </c>
      <c r="FB23" s="130">
        <v>0.47</v>
      </c>
      <c r="FC23" s="131">
        <v>35.020000000000003</v>
      </c>
      <c r="FD23" s="132">
        <v>12781</v>
      </c>
      <c r="FE23" s="133">
        <f t="shared" ref="FE23:FE28" si="156">EZ23/$EZ$29</f>
        <v>0.85715874074780007</v>
      </c>
      <c r="FF23" s="133">
        <f>(EZ23-EZ16-EZ9)/EZ23</f>
        <v>7.0334476049291203E-2</v>
      </c>
      <c r="FG23" s="133">
        <f>(FA23-FA16-FA9)/FA23</f>
        <v>2.2496635795139712E-2</v>
      </c>
      <c r="FI23" s="31">
        <f>FD23*(EZ23-EZ16-EZ9)/1000000</f>
        <v>242.557818</v>
      </c>
      <c r="FJ23" s="133">
        <f t="shared" si="12"/>
        <v>5.7102950084249225E-2</v>
      </c>
      <c r="FL23" t="s">
        <v>215</v>
      </c>
      <c r="FM23" t="s">
        <v>158</v>
      </c>
      <c r="FN23" s="160">
        <f>FJ11</f>
        <v>4.12978389741252E-5</v>
      </c>
      <c r="FO23" s="31">
        <f t="shared" si="30"/>
        <v>5.587085315103231E-2</v>
      </c>
      <c r="FP23">
        <v>25</v>
      </c>
      <c r="FQ23">
        <f t="shared" si="113"/>
        <v>0.25</v>
      </c>
      <c r="FR23">
        <v>0.75</v>
      </c>
      <c r="FS23">
        <f t="shared" si="114"/>
        <v>0.1875</v>
      </c>
      <c r="FT23">
        <v>44.3</v>
      </c>
      <c r="FU23">
        <f t="shared" si="115"/>
        <v>8.3062499999999986</v>
      </c>
      <c r="FV23">
        <v>72.512080209241503</v>
      </c>
      <c r="FW23">
        <f>15.8206501432308/1000</f>
        <v>1.5820650143230801E-2</v>
      </c>
      <c r="FX23">
        <f>0.84755262174617/1000</f>
        <v>8.4755262174616996E-4</v>
      </c>
      <c r="FY23" s="31">
        <f t="shared" si="31"/>
        <v>0.46407727398576204</v>
      </c>
      <c r="FZ23" s="31">
        <f t="shared" si="67"/>
        <v>33.651208514541722</v>
      </c>
      <c r="GA23" s="31">
        <f t="shared" si="32"/>
        <v>7.3420041911530058E-3</v>
      </c>
      <c r="GB23" s="31">
        <f t="shared" si="32"/>
        <v>3.9332991025944826E-4</v>
      </c>
      <c r="GC23" s="697">
        <f t="shared" si="33"/>
        <v>33.961017058112759</v>
      </c>
      <c r="GD23">
        <v>2.34</v>
      </c>
      <c r="GE23">
        <f t="shared" si="34"/>
        <v>32684.449093353898</v>
      </c>
      <c r="GF23" s="446">
        <f t="shared" si="116"/>
        <v>32.684449093353898</v>
      </c>
      <c r="GG23">
        <v>801.2</v>
      </c>
      <c r="GH23" s="446">
        <f t="shared" si="35"/>
        <v>44.763727544607093</v>
      </c>
      <c r="GJ23" t="s">
        <v>479</v>
      </c>
      <c r="GK23" s="31">
        <f>GK15+GK17+GK18</f>
        <v>90719.508158236305</v>
      </c>
      <c r="GL23" s="31">
        <f t="shared" ref="GL23:GM23" si="157">GL15+GL17+GL18</f>
        <v>89479.082605136849</v>
      </c>
      <c r="GM23" s="31">
        <f t="shared" si="157"/>
        <v>81772.371474518179</v>
      </c>
      <c r="GO23" s="677" t="s">
        <v>169</v>
      </c>
      <c r="GP23" s="668">
        <v>267383</v>
      </c>
      <c r="GQ23" s="668">
        <v>130814</v>
      </c>
      <c r="GR23" s="669">
        <v>0.49</v>
      </c>
      <c r="GS23" s="670">
        <v>34.880000000000003</v>
      </c>
      <c r="GT23" s="678">
        <v>12730</v>
      </c>
      <c r="GU23" s="133">
        <f t="shared" ref="GU23:GU28" si="158">GP23/$EZ$29</f>
        <v>0.84940118809364973</v>
      </c>
      <c r="GV23" s="133">
        <f>(GP23-GP16-GP9)/GP23</f>
        <v>5.5530830307087588E-2</v>
      </c>
      <c r="GW23" s="133">
        <f>(GQ23-GQ16-GQ9)/GQ23</f>
        <v>-3.0287278120078892E-2</v>
      </c>
      <c r="GY23" s="31">
        <f>GT23*(GP23-GP16-GP9)/1000000</f>
        <v>189.01504</v>
      </c>
      <c r="GZ23" s="133">
        <f t="shared" si="15"/>
        <v>4.4497911810421918E-2</v>
      </c>
      <c r="HB23" t="s">
        <v>215</v>
      </c>
      <c r="HC23" t="s">
        <v>158</v>
      </c>
      <c r="HD23" s="160">
        <f>GZ11</f>
        <v>4.5074916698132824E-5</v>
      </c>
      <c r="HE23" s="31">
        <f t="shared" si="36"/>
        <v>6.0312083156366617E-2</v>
      </c>
      <c r="HF23">
        <v>25</v>
      </c>
      <c r="HG23">
        <f t="shared" si="117"/>
        <v>0.25</v>
      </c>
      <c r="HH23">
        <v>0.75</v>
      </c>
      <c r="HI23">
        <f t="shared" si="118"/>
        <v>0.1875</v>
      </c>
      <c r="HJ23">
        <v>44.3</v>
      </c>
      <c r="HK23">
        <f t="shared" si="119"/>
        <v>8.3062499999999986</v>
      </c>
      <c r="HL23">
        <v>72.512080209241503</v>
      </c>
      <c r="HM23">
        <f>15.8206501432308/1000</f>
        <v>1.5820650143230801E-2</v>
      </c>
      <c r="HN23">
        <f>0.84755262174617/1000</f>
        <v>8.4755262174616996E-4</v>
      </c>
      <c r="HO23" s="31">
        <f t="shared" si="37"/>
        <v>0.50096724071757015</v>
      </c>
      <c r="HP23" s="31">
        <f t="shared" si="72"/>
        <v>36.326176741114843</v>
      </c>
      <c r="HQ23" s="31">
        <f t="shared" si="38"/>
        <v>7.9256274486123653E-3</v>
      </c>
      <c r="HR23" s="31">
        <f t="shared" si="38"/>
        <v>4.2459609827912124E-4</v>
      </c>
      <c r="HS23" s="697">
        <f t="shared" si="39"/>
        <v>36.660612275719956</v>
      </c>
      <c r="HT23">
        <v>2.34</v>
      </c>
      <c r="HU23">
        <f t="shared" si="40"/>
        <v>35282.568646474472</v>
      </c>
      <c r="HV23" s="446">
        <f t="shared" si="120"/>
        <v>35.282568646474473</v>
      </c>
      <c r="HW23">
        <v>801.2</v>
      </c>
      <c r="HX23" s="446">
        <f t="shared" si="41"/>
        <v>48.322041024880939</v>
      </c>
      <c r="HZ23" t="s">
        <v>479</v>
      </c>
      <c r="IA23" s="31">
        <f>IA15+IA17+IA18</f>
        <v>87845.748509041441</v>
      </c>
      <c r="IB23" s="31">
        <f t="shared" ref="IB23:IC23" si="159">IB15+IB17+IB18</f>
        <v>86652.174162256197</v>
      </c>
      <c r="IC23" s="31">
        <f t="shared" si="159"/>
        <v>79514.17269239109</v>
      </c>
      <c r="IE23" t="s">
        <v>479</v>
      </c>
      <c r="IF23" s="31">
        <f>IF15+IF17+IF18</f>
        <v>85449.530979702788</v>
      </c>
      <c r="IG23" s="31">
        <f t="shared" ref="IG23:IH23" si="160">IG15+IG17+IG18</f>
        <v>84288.514426787791</v>
      </c>
      <c r="IH23" s="31">
        <f t="shared" si="160"/>
        <v>77345.220208404236</v>
      </c>
      <c r="IJ23" t="s">
        <v>479</v>
      </c>
      <c r="IK23" s="31">
        <f>IK15+IK17+IK18</f>
        <v>79117.936877329455</v>
      </c>
      <c r="IL23" s="31">
        <f t="shared" ref="IL23:IM23" si="161">IL15+IL17+IL18</f>
        <v>78042.94871421266</v>
      </c>
      <c r="IM23" s="31">
        <f t="shared" si="161"/>
        <v>71614.135034459585</v>
      </c>
    </row>
    <row r="24" spans="1:247" ht="16.5" customHeight="1" thickBot="1">
      <c r="A24" s="969">
        <v>2006</v>
      </c>
      <c r="B24" s="548" t="s">
        <v>191</v>
      </c>
      <c r="C24" s="359">
        <v>37989</v>
      </c>
      <c r="D24" s="360">
        <v>38437</v>
      </c>
      <c r="E24" s="361">
        <v>34682</v>
      </c>
      <c r="F24" s="362">
        <v>111108</v>
      </c>
      <c r="G24" s="406">
        <v>111108</v>
      </c>
      <c r="H24" s="1023" t="s">
        <v>221</v>
      </c>
      <c r="I24" s="385">
        <v>2.7729682934747323E-2</v>
      </c>
      <c r="J24" s="549">
        <v>7.1027113828670246E-2</v>
      </c>
      <c r="K24" s="550">
        <v>6.2644656554256883E-2</v>
      </c>
      <c r="L24" s="386">
        <v>6.2644656554256883E-2</v>
      </c>
      <c r="M24" s="551">
        <v>6.2644656554256883E-2</v>
      </c>
      <c r="O24" s="219">
        <v>2018</v>
      </c>
      <c r="P24" s="173">
        <f>M192</f>
        <v>2.8042488962377606E-2</v>
      </c>
      <c r="Q24" s="98">
        <f t="shared" si="135"/>
        <v>5.563949578120206</v>
      </c>
      <c r="R24" s="698">
        <f t="shared" si="105"/>
        <v>1320.0470374090189</v>
      </c>
      <c r="S24" s="96">
        <f t="shared" si="106"/>
        <v>34.774684863251288</v>
      </c>
      <c r="T24" s="96">
        <f t="shared" si="121"/>
        <v>1792.5095290335714</v>
      </c>
      <c r="U24" s="698">
        <f t="shared" si="122"/>
        <v>1165.1311938718216</v>
      </c>
      <c r="V24" s="25">
        <f t="shared" si="107"/>
        <v>1285645.8832744563</v>
      </c>
      <c r="W24">
        <f t="shared" si="108"/>
        <v>6.3896600398740464</v>
      </c>
      <c r="X24" s="446">
        <f t="shared" si="123"/>
        <v>1338.0409232983668</v>
      </c>
      <c r="AA24" s="843" t="s">
        <v>467</v>
      </c>
      <c r="AB24" s="845">
        <v>11264</v>
      </c>
      <c r="AC24" s="845">
        <v>3394</v>
      </c>
      <c r="AD24" s="844">
        <v>0.3</v>
      </c>
      <c r="AE24" s="843">
        <v>33.840000000000003</v>
      </c>
      <c r="AF24" s="850">
        <v>12352</v>
      </c>
      <c r="AH24" s="133">
        <f t="shared" si="150"/>
        <v>4.1778090981584852E-2</v>
      </c>
      <c r="AI24" s="133">
        <f t="shared" si="151"/>
        <v>1.258832038276802E-2</v>
      </c>
      <c r="AK24" s="31">
        <f t="shared" ref="AK24:AK25" si="162">AF24*AB24/1000000</f>
        <v>139.13292799999999</v>
      </c>
      <c r="AL24" s="133">
        <f>AK24/$AK$36</f>
        <v>2.8317076453059319E-2</v>
      </c>
      <c r="AO24" t="s">
        <v>25</v>
      </c>
      <c r="AP24" s="160">
        <f>AL18</f>
        <v>1.5940934999050221E-2</v>
      </c>
      <c r="AQ24" s="31">
        <f t="shared" si="42"/>
        <v>21.510432400389519</v>
      </c>
      <c r="AR24">
        <v>21.22</v>
      </c>
      <c r="AS24">
        <f t="shared" si="43"/>
        <v>0.2122</v>
      </c>
      <c r="AT24">
        <v>0.86499999999999999</v>
      </c>
      <c r="AU24">
        <f t="shared" si="44"/>
        <v>0.18355299999999999</v>
      </c>
      <c r="AV24">
        <v>43</v>
      </c>
      <c r="AW24">
        <f t="shared" si="45"/>
        <v>7.892779</v>
      </c>
      <c r="AX24">
        <v>74.054734089485507</v>
      </c>
      <c r="AY24">
        <v>1.4363980931045299E-3</v>
      </c>
      <c r="AZ24">
        <v>3.0837733297494202E-3</v>
      </c>
      <c r="BA24" s="31">
        <f t="shared" si="46"/>
        <v>169.77708913071399</v>
      </c>
      <c r="BB24" s="31">
        <f t="shared" si="47"/>
        <v>12572.797190061905</v>
      </c>
      <c r="BC24" s="31">
        <f t="shared" si="48"/>
        <v>0.2438674870801954</v>
      </c>
      <c r="BD24" s="31">
        <f t="shared" si="49"/>
        <v>0.52355405946378597</v>
      </c>
      <c r="BE24" s="697">
        <f t="shared" si="50"/>
        <v>12718.367305458054</v>
      </c>
      <c r="BF24">
        <v>2.72</v>
      </c>
      <c r="BG24">
        <f t="shared" si="51"/>
        <v>12415477.414586425</v>
      </c>
      <c r="BH24" s="446">
        <f t="shared" si="52"/>
        <v>12415.477414586425</v>
      </c>
      <c r="BI24">
        <v>801.2</v>
      </c>
      <c r="BJ24" s="446">
        <f t="shared" si="53"/>
        <v>17234.158439192084</v>
      </c>
      <c r="BL24"/>
      <c r="BM24" s="697">
        <f>SUM(BM21:BM23)</f>
        <v>339943.74539936369</v>
      </c>
      <c r="BN24" s="697">
        <f t="shared" ref="BN24" si="163">SUM(BN21:BN23)</f>
        <v>340184.27952876082</v>
      </c>
      <c r="BO24" s="697">
        <f>SUM(BO21:BO23)</f>
        <v>309416.67930796801</v>
      </c>
      <c r="BR24" s="782" t="s">
        <v>467</v>
      </c>
      <c r="BS24" s="784">
        <v>8545</v>
      </c>
      <c r="BT24" s="784">
        <v>2660</v>
      </c>
      <c r="BU24" s="783">
        <v>0.31</v>
      </c>
      <c r="BV24" s="782">
        <v>33.200000000000003</v>
      </c>
      <c r="BW24" s="784">
        <v>12120</v>
      </c>
      <c r="BY24" s="133">
        <f t="shared" si="152"/>
        <v>3.1693340504052071E-2</v>
      </c>
      <c r="BZ24" s="133">
        <f t="shared" si="152"/>
        <v>9.8659199228529563E-3</v>
      </c>
      <c r="CB24" s="31">
        <f t="shared" si="93"/>
        <v>103.5654</v>
      </c>
      <c r="CC24" s="133">
        <f>CB24/$DS$36</f>
        <v>2.4851871956971548E-2</v>
      </c>
      <c r="CF24" t="s">
        <v>25</v>
      </c>
      <c r="CG24" s="160">
        <f>CC18</f>
        <v>1.2683066013002835E-2</v>
      </c>
      <c r="CH24" s="31">
        <f t="shared" si="54"/>
        <v>16.850219914975682</v>
      </c>
      <c r="CI24">
        <v>21.22</v>
      </c>
      <c r="CJ24">
        <f t="shared" si="55"/>
        <v>0.2122</v>
      </c>
      <c r="CK24">
        <v>0.86499999999999999</v>
      </c>
      <c r="CL24">
        <f t="shared" si="56"/>
        <v>0.18355299999999999</v>
      </c>
      <c r="CM24">
        <v>43</v>
      </c>
      <c r="CN24">
        <f t="shared" si="57"/>
        <v>7.892779</v>
      </c>
      <c r="CO24">
        <v>74.054734089485507</v>
      </c>
      <c r="CP24">
        <v>1.4363980931045299E-3</v>
      </c>
      <c r="CQ24">
        <v>3.0837733297494202E-3</v>
      </c>
      <c r="CR24" s="31">
        <f t="shared" si="16"/>
        <v>132.99506189030186</v>
      </c>
      <c r="CS24" s="31">
        <f t="shared" si="17"/>
        <v>9848.9139435009711</v>
      </c>
      <c r="CT24" s="31">
        <f t="shared" si="18"/>
        <v>0.19103385329154851</v>
      </c>
      <c r="CU24" s="31">
        <f t="shared" si="19"/>
        <v>0.41012662484568635</v>
      </c>
      <c r="CV24" s="697">
        <f t="shared" si="20"/>
        <v>9962.9464469772411</v>
      </c>
      <c r="CW24">
        <v>2.72</v>
      </c>
      <c r="CX24">
        <f t="shared" si="21"/>
        <v>9725677.331405323</v>
      </c>
      <c r="CY24" s="446">
        <f t="shared" si="58"/>
        <v>9725.6773314053225</v>
      </c>
      <c r="CZ24">
        <v>801.2</v>
      </c>
      <c r="DA24" s="446">
        <f t="shared" si="22"/>
        <v>13500.396195878518</v>
      </c>
      <c r="DD24" s="697">
        <f>SUM(DD21:DD23)</f>
        <v>340041.47984635551</v>
      </c>
      <c r="DE24" s="697">
        <f t="shared" ref="DE24" si="164">SUM(DE21:DE23)</f>
        <v>339406.83498118061</v>
      </c>
      <c r="DF24" s="697">
        <f>SUM(DF21:DF23)</f>
        <v>305915.83173803263</v>
      </c>
      <c r="DI24" s="679" t="s">
        <v>467</v>
      </c>
      <c r="DJ24" s="673">
        <v>6597</v>
      </c>
      <c r="DK24" s="673">
        <v>1949</v>
      </c>
      <c r="DL24" s="672">
        <v>0.3</v>
      </c>
      <c r="DM24" s="671">
        <v>33.68</v>
      </c>
      <c r="DN24" s="680">
        <v>12293</v>
      </c>
      <c r="DP24" s="133">
        <f t="shared" si="154"/>
        <v>2.4468223207165775E-2</v>
      </c>
      <c r="DQ24" s="133">
        <f t="shared" si="154"/>
        <v>7.2288262893385009E-3</v>
      </c>
      <c r="DS24" s="31">
        <f t="shared" si="94"/>
        <v>81.096920999999995</v>
      </c>
      <c r="DT24" s="133">
        <f t="shared" si="1"/>
        <v>1.9460266621831587E-2</v>
      </c>
      <c r="DW24" t="s">
        <v>25</v>
      </c>
      <c r="DX24" s="160">
        <f>DT18</f>
        <v>1.7159932342180346E-2</v>
      </c>
      <c r="DY24" s="31">
        <f t="shared" si="23"/>
        <v>20.845626530227229</v>
      </c>
      <c r="DZ24">
        <v>21.22</v>
      </c>
      <c r="EA24">
        <f t="shared" si="109"/>
        <v>0.2122</v>
      </c>
      <c r="EB24">
        <v>0.86499999999999999</v>
      </c>
      <c r="EC24">
        <f t="shared" si="110"/>
        <v>0.18355299999999999</v>
      </c>
      <c r="ED24">
        <v>43</v>
      </c>
      <c r="EE24">
        <f t="shared" si="111"/>
        <v>7.892779</v>
      </c>
      <c r="EF24">
        <v>73.367479939063315</v>
      </c>
      <c r="EG24">
        <f>2.07749454663654/1000</f>
        <v>2.0774945466365403E-3</v>
      </c>
      <c r="EH24">
        <f>2.35970659533889/1000</f>
        <v>2.3597065953388898E-3</v>
      </c>
      <c r="EI24" s="31">
        <f t="shared" si="24"/>
        <v>164.52992331962034</v>
      </c>
      <c r="EJ24" s="31">
        <f t="shared" si="25"/>
        <v>12071.145848527871</v>
      </c>
      <c r="EK24" s="31">
        <f t="shared" si="26"/>
        <v>0.34181001845503939</v>
      </c>
      <c r="EL24" s="31">
        <f t="shared" si="27"/>
        <v>0.3882423451879099</v>
      </c>
      <c r="EM24" s="697">
        <f t="shared" si="62"/>
        <v>12183.600750519408</v>
      </c>
      <c r="EN24">
        <v>2.72</v>
      </c>
      <c r="EO24">
        <f t="shared" si="28"/>
        <v>12031762.103222674</v>
      </c>
      <c r="EP24" s="446">
        <f t="shared" si="112"/>
        <v>12031.762103222674</v>
      </c>
      <c r="EQ24">
        <v>801.2</v>
      </c>
      <c r="ER24" s="446">
        <f t="shared" si="29"/>
        <v>16701.515976018058</v>
      </c>
      <c r="EU24" s="697">
        <f>SUM(EU21:EU23)</f>
        <v>314219.62422918761</v>
      </c>
      <c r="EV24" s="697">
        <f t="shared" ref="EV24:EW24" si="165">SUM(EV21:EV23)</f>
        <v>311994.43983959634</v>
      </c>
      <c r="EW24" s="697">
        <f t="shared" si="165"/>
        <v>282883.58655835706</v>
      </c>
      <c r="EY24" s="146" t="s">
        <v>190</v>
      </c>
      <c r="EZ24" s="169">
        <v>1386</v>
      </c>
      <c r="FA24" s="147">
        <v>759</v>
      </c>
      <c r="FB24" s="148">
        <v>0.55000000000000004</v>
      </c>
      <c r="FC24" s="147">
        <v>70.17</v>
      </c>
      <c r="FD24" s="149">
        <v>25613</v>
      </c>
      <c r="FE24" s="133">
        <f t="shared" si="156"/>
        <v>4.4029352901934623E-3</v>
      </c>
      <c r="FF24" s="133">
        <f>(EZ24-EZ17-EZ10)/EZ24</f>
        <v>-8.658008658008658E-3</v>
      </c>
      <c r="FG24" s="133">
        <f t="shared" ref="FF24:FG28" si="166">(FA24-FA17-FA10)/FA24</f>
        <v>0</v>
      </c>
      <c r="FI24" s="31">
        <f t="shared" ref="FI24:FI28" si="167">FD24*(EZ24-EZ17-EZ10)/1000000</f>
        <v>-0.30735600000000002</v>
      </c>
      <c r="FJ24" s="133">
        <f t="shared" si="12"/>
        <v>-7.2357735037402525E-5</v>
      </c>
      <c r="FM24" t="s">
        <v>25</v>
      </c>
      <c r="FN24" s="160">
        <f>FJ18</f>
        <v>1.9369703963901069E-2</v>
      </c>
      <c r="FO24" s="31">
        <f t="shared" si="30"/>
        <v>26.20480665886971</v>
      </c>
      <c r="FP24">
        <v>21.22</v>
      </c>
      <c r="FQ24">
        <f t="shared" si="113"/>
        <v>0.2122</v>
      </c>
      <c r="FR24">
        <v>0.86499999999999999</v>
      </c>
      <c r="FS24">
        <f t="shared" si="114"/>
        <v>0.18355299999999999</v>
      </c>
      <c r="FT24">
        <v>43</v>
      </c>
      <c r="FU24">
        <f t="shared" si="115"/>
        <v>7.892779</v>
      </c>
      <c r="FV24">
        <v>73.367479939063315</v>
      </c>
      <c r="FW24">
        <f>2.07749454663654/1000</f>
        <v>2.0774945466365403E-3</v>
      </c>
      <c r="FX24">
        <f>2.35970659533889/1000</f>
        <v>2.3597065953388898E-3</v>
      </c>
      <c r="FY24" s="31">
        <f t="shared" si="31"/>
        <v>206.82874769618701</v>
      </c>
      <c r="FZ24" s="31">
        <f t="shared" si="67"/>
        <v>15174.503997421589</v>
      </c>
      <c r="GA24" s="31">
        <f t="shared" si="32"/>
        <v>0.42968559542649343</v>
      </c>
      <c r="GB24" s="31">
        <f t="shared" si="32"/>
        <v>0.48805516004437571</v>
      </c>
      <c r="GC24" s="697">
        <f t="shared" si="33"/>
        <v>15315.86981150529</v>
      </c>
      <c r="GD24">
        <v>2.72</v>
      </c>
      <c r="GE24">
        <f t="shared" si="34"/>
        <v>15124995.126593057</v>
      </c>
      <c r="GF24" s="446">
        <f t="shared" si="116"/>
        <v>15124.995126593058</v>
      </c>
      <c r="GG24">
        <v>801.2</v>
      </c>
      <c r="GH24" s="446">
        <f t="shared" si="35"/>
        <v>20995.291095086413</v>
      </c>
      <c r="GK24" s="697">
        <f>SUM(GK21:GK23)</f>
        <v>351387.74283085542</v>
      </c>
      <c r="GL24" s="697">
        <f t="shared" ref="GL24" si="168">SUM(GL21:GL23)</f>
        <v>349950.67540065269</v>
      </c>
      <c r="GM24" s="697">
        <f t="shared" ref="GM24" si="169">SUM(GM21:GM23)</f>
        <v>313037.37046740734</v>
      </c>
      <c r="GO24" s="679" t="s">
        <v>190</v>
      </c>
      <c r="GP24" s="673">
        <v>1448</v>
      </c>
      <c r="GQ24" s="671">
        <v>775</v>
      </c>
      <c r="GR24" s="672">
        <v>0.54</v>
      </c>
      <c r="GS24" s="671">
        <v>72.069999999999993</v>
      </c>
      <c r="GT24" s="680">
        <v>26304</v>
      </c>
      <c r="GU24" s="133">
        <f t="shared" si="158"/>
        <v>4.5998919914863878E-3</v>
      </c>
      <c r="GV24" s="133">
        <f>(GP24-GP17-GP10)/GP24</f>
        <v>2.7624309392265192E-3</v>
      </c>
      <c r="GW24" s="133">
        <f t="shared" ref="GW24:GW28" si="170">(GQ24-GQ17-GQ10)/GQ24</f>
        <v>0</v>
      </c>
      <c r="GY24" s="31">
        <f t="shared" ref="GY24:GY25" si="171">GT24*(GP24-GP17-GP10)/1000000</f>
        <v>0.105216</v>
      </c>
      <c r="GZ24" s="133">
        <f t="shared" si="15"/>
        <v>2.4769945762227983E-5</v>
      </c>
      <c r="HC24" t="s">
        <v>25</v>
      </c>
      <c r="HD24" s="160">
        <f>GZ18</f>
        <v>1.8995180717202916E-2</v>
      </c>
      <c r="HE24" s="31">
        <f t="shared" si="36"/>
        <v>25.416329145065522</v>
      </c>
      <c r="HF24">
        <v>21.22</v>
      </c>
      <c r="HG24">
        <f t="shared" si="117"/>
        <v>0.2122</v>
      </c>
      <c r="HH24">
        <v>0.86499999999999999</v>
      </c>
      <c r="HI24">
        <f t="shared" si="118"/>
        <v>0.18355299999999999</v>
      </c>
      <c r="HJ24">
        <v>43</v>
      </c>
      <c r="HK24">
        <f t="shared" si="119"/>
        <v>7.892779</v>
      </c>
      <c r="HL24">
        <v>73.367479939063315</v>
      </c>
      <c r="HM24">
        <f>2.07749454663654/1000</f>
        <v>2.0774945466365403E-3</v>
      </c>
      <c r="HN24">
        <f>2.35970659533889/1000</f>
        <v>2.3597065953388898E-3</v>
      </c>
      <c r="HO24" s="31">
        <f t="shared" si="37"/>
        <v>200.60546893326111</v>
      </c>
      <c r="HP24" s="31">
        <f t="shared" si="72"/>
        <v>14717.917717627424</v>
      </c>
      <c r="HQ24" s="31">
        <f t="shared" si="38"/>
        <v>0.41675676773431586</v>
      </c>
      <c r="HR24" s="31">
        <f t="shared" si="38"/>
        <v>0.47337004810286698</v>
      </c>
      <c r="HS24" s="697">
        <f t="shared" si="39"/>
        <v>14855.029969871244</v>
      </c>
      <c r="HT24">
        <v>2.72</v>
      </c>
      <c r="HU24">
        <f t="shared" si="40"/>
        <v>14669898.521265497</v>
      </c>
      <c r="HV24" s="446">
        <f t="shared" si="120"/>
        <v>14669.898521265497</v>
      </c>
      <c r="HW24">
        <v>801.2</v>
      </c>
      <c r="HX24" s="446">
        <f t="shared" si="41"/>
        <v>20363.5629110265</v>
      </c>
      <c r="IA24" s="697">
        <f>SUM(IA21:IA23)</f>
        <v>345502.25418353896</v>
      </c>
      <c r="IB24" s="697">
        <f t="shared" ref="IB24" si="172">SUM(IB21:IB23)</f>
        <v>342849.86239102727</v>
      </c>
      <c r="IC24" s="697">
        <f t="shared" ref="IC24" si="173">SUM(IC21:IC23)</f>
        <v>309715.36567476875</v>
      </c>
      <c r="IF24" s="697">
        <f>SUM(IF21:IF23)</f>
        <v>336077.79629056074</v>
      </c>
      <c r="IG24" s="697">
        <f t="shared" ref="IG24" si="174">SUM(IG21:IG23)</f>
        <v>333497.75526989356</v>
      </c>
      <c r="IH24" s="697">
        <f t="shared" ref="IH24" si="175">SUM(IH21:IH23)</f>
        <v>301267.08672067651</v>
      </c>
      <c r="IK24" s="697">
        <f>SUM(IK21:IK23)</f>
        <v>311175.28168884345</v>
      </c>
      <c r="IL24" s="697">
        <f t="shared" ref="IL24" si="176">SUM(IL21:IL23)</f>
        <v>308786.4151816353</v>
      </c>
      <c r="IM24" s="697">
        <f t="shared" ref="IM24" si="177">SUM(IM21:IM23)</f>
        <v>278943.95764495432</v>
      </c>
    </row>
    <row r="25" spans="1:247" ht="16.5" customHeight="1" thickBot="1">
      <c r="A25" s="969"/>
      <c r="B25" s="366" t="s">
        <v>195</v>
      </c>
      <c r="C25" s="367">
        <v>40907</v>
      </c>
      <c r="D25" s="368">
        <v>40671</v>
      </c>
      <c r="E25" s="369">
        <v>37501</v>
      </c>
      <c r="F25" s="370">
        <v>119079</v>
      </c>
      <c r="G25" s="407">
        <v>230187</v>
      </c>
      <c r="H25" s="1023"/>
      <c r="I25" s="387">
        <v>2.7659146862282068E-2</v>
      </c>
      <c r="J25" s="388">
        <v>6.4039269095448867E-2</v>
      </c>
      <c r="K25" s="389">
        <v>6.2061931004768756E-2</v>
      </c>
      <c r="L25" s="390">
        <v>6.2061931004768756E-2</v>
      </c>
      <c r="M25" s="552">
        <v>6.2343124549252948E-2</v>
      </c>
      <c r="O25" s="219">
        <v>2019</v>
      </c>
      <c r="P25" s="173">
        <f>M205</f>
        <v>1.1087125087072547E-2</v>
      </c>
      <c r="Q25" s="98">
        <f t="shared" si="135"/>
        <v>5.6256377830709896</v>
      </c>
      <c r="R25" s="698">
        <f t="shared" si="105"/>
        <v>1334.6825640335924</v>
      </c>
      <c r="S25" s="96">
        <f t="shared" si="106"/>
        <v>35.160236144193682</v>
      </c>
      <c r="T25" s="96">
        <f t="shared" si="121"/>
        <v>1812.383306401736</v>
      </c>
      <c r="U25" s="698">
        <f t="shared" si="122"/>
        <v>1178.0491491611285</v>
      </c>
      <c r="V25">
        <f>1155600+96100+48200</f>
        <v>1299900</v>
      </c>
      <c r="W25">
        <f>V25/10^6*$W$16</f>
        <v>6.4605030000000001</v>
      </c>
      <c r="X25" s="446">
        <f t="shared" si="123"/>
        <v>1352.8759503865979</v>
      </c>
      <c r="AA25" s="842" t="s">
        <v>468</v>
      </c>
      <c r="AB25" s="840">
        <v>19260</v>
      </c>
      <c r="AC25" s="840">
        <v>4365</v>
      </c>
      <c r="AD25" s="841">
        <v>0.23</v>
      </c>
      <c r="AE25" s="842">
        <v>42.37</v>
      </c>
      <c r="AF25" s="849">
        <v>15466</v>
      </c>
      <c r="AH25" s="133">
        <f t="shared" si="150"/>
        <v>7.1435194629378931E-2</v>
      </c>
      <c r="AI25" s="133">
        <f t="shared" si="151"/>
        <v>1.6189752053854572E-2</v>
      </c>
      <c r="AK25" s="31">
        <f t="shared" si="162"/>
        <v>297.87515999999999</v>
      </c>
      <c r="AL25" s="133">
        <f t="shared" si="6"/>
        <v>6.062514316659301E-2</v>
      </c>
      <c r="AN25" t="str">
        <f>AA20</f>
        <v>Vörubifreiðar ≤12t</v>
      </c>
      <c r="AO25" t="s">
        <v>158</v>
      </c>
      <c r="AP25" s="160">
        <f>AL13</f>
        <v>6.7362674509948187E-4</v>
      </c>
      <c r="AQ25" s="31">
        <f t="shared" si="42"/>
        <v>0.90898071941326886</v>
      </c>
      <c r="AR25">
        <v>25</v>
      </c>
      <c r="AS25">
        <f t="shared" si="43"/>
        <v>0.25</v>
      </c>
      <c r="AT25">
        <v>0.75</v>
      </c>
      <c r="AU25">
        <f t="shared" si="44"/>
        <v>0.1875</v>
      </c>
      <c r="AV25">
        <v>44.3</v>
      </c>
      <c r="AW25">
        <f t="shared" si="45"/>
        <v>8.3062499999999986</v>
      </c>
      <c r="AX25">
        <v>71.051977446800905</v>
      </c>
      <c r="AY25">
        <v>6.0214126798913805E-3</v>
      </c>
      <c r="AZ25">
        <v>1.2119593011540399E-3</v>
      </c>
      <c r="BA25" s="31">
        <f t="shared" si="46"/>
        <v>7.5502211006264632</v>
      </c>
      <c r="BB25" s="31">
        <f t="shared" si="47"/>
        <v>536.45813936007175</v>
      </c>
      <c r="BC25" s="31">
        <f t="shared" si="48"/>
        <v>4.5462997071295641E-2</v>
      </c>
      <c r="BD25" s="31">
        <f t="shared" si="49"/>
        <v>9.1505606886737346E-3</v>
      </c>
      <c r="BE25" s="697">
        <f t="shared" si="50"/>
        <v>540.15600186056656</v>
      </c>
      <c r="BF25">
        <v>2.34</v>
      </c>
      <c r="BG25">
        <f t="shared" si="51"/>
        <v>531753.72085676226</v>
      </c>
      <c r="BH25" s="446">
        <f t="shared" si="52"/>
        <v>531.75372085676224</v>
      </c>
      <c r="BI25">
        <v>512.9</v>
      </c>
      <c r="BJ25" s="446">
        <f t="shared" si="53"/>
        <v>466.21621098706555</v>
      </c>
      <c r="BL25"/>
      <c r="BM25"/>
      <c r="BN25"/>
      <c r="BO25"/>
      <c r="BR25" s="779" t="s">
        <v>468</v>
      </c>
      <c r="BS25" s="780">
        <v>14364</v>
      </c>
      <c r="BT25" s="780">
        <v>2877</v>
      </c>
      <c r="BU25" s="781">
        <v>0.2</v>
      </c>
      <c r="BV25" s="779">
        <v>40.9</v>
      </c>
      <c r="BW25" s="780">
        <v>14930</v>
      </c>
      <c r="BY25" s="133">
        <f t="shared" si="152"/>
        <v>5.327596758340597E-2</v>
      </c>
      <c r="BZ25" s="133">
        <f t="shared" si="152"/>
        <v>1.0670771284980436E-2</v>
      </c>
      <c r="CB25" s="31">
        <f>BW25*BS25/1000000</f>
        <v>214.45452</v>
      </c>
      <c r="CC25" s="133">
        <f t="shared" si="0"/>
        <v>5.1461166293316048E-2</v>
      </c>
      <c r="CE25" t="str">
        <f>BR20</f>
        <v>Vörubifreiðar ≤12t</v>
      </c>
      <c r="CF25" t="s">
        <v>158</v>
      </c>
      <c r="CG25" s="160">
        <f>CC13</f>
        <v>1.0555793343766269E-3</v>
      </c>
      <c r="CH25" s="31">
        <f t="shared" si="54"/>
        <v>1.4024009576008378</v>
      </c>
      <c r="CI25">
        <v>25</v>
      </c>
      <c r="CJ25">
        <f t="shared" si="55"/>
        <v>0.25</v>
      </c>
      <c r="CK25">
        <v>0.75</v>
      </c>
      <c r="CL25">
        <f t="shared" si="56"/>
        <v>0.1875</v>
      </c>
      <c r="CM25">
        <v>44.3</v>
      </c>
      <c r="CN25">
        <f t="shared" si="57"/>
        <v>8.3062499999999986</v>
      </c>
      <c r="CO25">
        <v>71.051977446800905</v>
      </c>
      <c r="CP25">
        <v>6.0214126798913805E-3</v>
      </c>
      <c r="CQ25">
        <v>1.2119593011540399E-3</v>
      </c>
      <c r="CR25" s="31">
        <f t="shared" si="16"/>
        <v>11.648692954071958</v>
      </c>
      <c r="CS25" s="31">
        <f t="shared" si="17"/>
        <v>827.66266905742941</v>
      </c>
      <c r="CT25" s="31">
        <f t="shared" si="18"/>
        <v>7.0141587457810267E-2</v>
      </c>
      <c r="CU25" s="31">
        <f t="shared" si="19"/>
        <v>1.4117741771975039E-2</v>
      </c>
      <c r="CV25" s="697">
        <f t="shared" si="20"/>
        <v>833.36783507582152</v>
      </c>
      <c r="CW25">
        <v>2.34</v>
      </c>
      <c r="CX25">
        <f t="shared" si="21"/>
        <v>820404.56019649014</v>
      </c>
      <c r="CY25" s="446">
        <f t="shared" si="58"/>
        <v>820.40456019649014</v>
      </c>
      <c r="CZ25">
        <v>512.9</v>
      </c>
      <c r="DA25" s="446">
        <f t="shared" si="22"/>
        <v>719.29145115346967</v>
      </c>
      <c r="DI25" s="677" t="s">
        <v>468</v>
      </c>
      <c r="DJ25" s="668">
        <v>9658</v>
      </c>
      <c r="DK25" s="668">
        <v>1395</v>
      </c>
      <c r="DL25" s="669">
        <v>0.14000000000000001</v>
      </c>
      <c r="DM25" s="670">
        <v>45.12</v>
      </c>
      <c r="DN25" s="678">
        <v>16468</v>
      </c>
      <c r="DP25" s="133">
        <f t="shared" si="154"/>
        <v>3.5821449103351076E-2</v>
      </c>
      <c r="DQ25" s="133">
        <f t="shared" si="154"/>
        <v>5.1740444708195015E-3</v>
      </c>
      <c r="DS25" s="31">
        <f t="shared" si="94"/>
        <v>159.047944</v>
      </c>
      <c r="DT25" s="133">
        <f t="shared" si="1"/>
        <v>3.8165633882624714E-2</v>
      </c>
      <c r="DV25" t="str">
        <f>DI20</f>
        <v>Vörubifreiðar ≤12t</v>
      </c>
      <c r="DW25" t="s">
        <v>158</v>
      </c>
      <c r="DX25" s="160">
        <f>DT13</f>
        <v>9.1998387891580686E-4</v>
      </c>
      <c r="DY25" s="31">
        <f t="shared" si="23"/>
        <v>1.1175825155539034</v>
      </c>
      <c r="DZ25">
        <v>25</v>
      </c>
      <c r="EA25">
        <f t="shared" si="109"/>
        <v>0.25</v>
      </c>
      <c r="EB25">
        <v>0.75</v>
      </c>
      <c r="EC25">
        <f t="shared" si="110"/>
        <v>0.1875</v>
      </c>
      <c r="ED25">
        <v>44.3</v>
      </c>
      <c r="EE25">
        <f t="shared" si="111"/>
        <v>8.3062499999999986</v>
      </c>
      <c r="EF25">
        <v>72.513754762763227</v>
      </c>
      <c r="EG25">
        <f>6.43681969225972/1000</f>
        <v>6.4368196922597199E-3</v>
      </c>
      <c r="EH25">
        <f>1.22219082236233/1000</f>
        <v>1.2221908223623299E-3</v>
      </c>
      <c r="EI25" s="31">
        <f t="shared" si="24"/>
        <v>9.2829197698196086</v>
      </c>
      <c r="EJ25" s="31">
        <f t="shared" si="25"/>
        <v>673.13936767110556</v>
      </c>
      <c r="EK25" s="31">
        <f t="shared" si="26"/>
        <v>5.9752480776041922E-2</v>
      </c>
      <c r="EL25" s="31">
        <f t="shared" si="27"/>
        <v>1.1345499347399358E-2</v>
      </c>
      <c r="EM25" s="697">
        <f t="shared" si="62"/>
        <v>677.81899445989552</v>
      </c>
      <c r="EN25">
        <v>2.34</v>
      </c>
      <c r="EO25">
        <f t="shared" si="28"/>
        <v>653785.7715990335</v>
      </c>
      <c r="EP25" s="446">
        <f t="shared" si="112"/>
        <v>653.78577159903352</v>
      </c>
      <c r="EQ25">
        <v>512.9</v>
      </c>
      <c r="ER25" s="446">
        <f t="shared" si="29"/>
        <v>573.20807222759697</v>
      </c>
      <c r="EY25" s="128" t="s">
        <v>193</v>
      </c>
      <c r="EZ25" s="129">
        <v>1792</v>
      </c>
      <c r="FA25" s="131">
        <v>988</v>
      </c>
      <c r="FB25" s="130">
        <v>0.55000000000000004</v>
      </c>
      <c r="FC25" s="131">
        <v>127.43</v>
      </c>
      <c r="FD25" s="132">
        <v>46511</v>
      </c>
      <c r="FE25" s="133">
        <f t="shared" si="156"/>
        <v>5.6926840115632642E-3</v>
      </c>
      <c r="FF25" s="133">
        <f>(EZ25-EZ18-EZ11)/EZ25</f>
        <v>1.171875E-2</v>
      </c>
      <c r="FG25" s="133">
        <f t="shared" si="166"/>
        <v>1.0121457489878543E-3</v>
      </c>
      <c r="FI25" s="31">
        <f t="shared" si="167"/>
        <v>0.97673100000000002</v>
      </c>
      <c r="FJ25" s="133">
        <f t="shared" si="12"/>
        <v>2.2994196599649007E-4</v>
      </c>
      <c r="FL25" t="str">
        <f>EY20</f>
        <v>Vörubifreiðar ≤12t</v>
      </c>
      <c r="FM25" t="s">
        <v>158</v>
      </c>
      <c r="FN25" s="160">
        <f>FJ13</f>
        <v>1.1990726857023404E-3</v>
      </c>
      <c r="FO25" s="31">
        <f t="shared" si="30"/>
        <v>1.6221965992521641</v>
      </c>
      <c r="FP25">
        <v>25</v>
      </c>
      <c r="FQ25">
        <f t="shared" si="113"/>
        <v>0.25</v>
      </c>
      <c r="FR25">
        <v>0.75</v>
      </c>
      <c r="FS25">
        <f t="shared" si="114"/>
        <v>0.1875</v>
      </c>
      <c r="FT25">
        <v>44.3</v>
      </c>
      <c r="FU25">
        <f t="shared" si="115"/>
        <v>8.3062499999999986</v>
      </c>
      <c r="FV25">
        <v>72.513754762763227</v>
      </c>
      <c r="FW25">
        <f>6.43681969225972/1000</f>
        <v>6.4368196922597199E-3</v>
      </c>
      <c r="FX25">
        <f>1.22219082236233/1000</f>
        <v>1.2221908223623299E-3</v>
      </c>
      <c r="FY25" s="31">
        <f t="shared" si="31"/>
        <v>13.474370502538285</v>
      </c>
      <c r="FZ25" s="31">
        <f t="shared" si="67"/>
        <v>977.07719820367197</v>
      </c>
      <c r="GA25" s="31">
        <f t="shared" si="32"/>
        <v>8.6732093391541934E-2</v>
      </c>
      <c r="GB25" s="31">
        <f t="shared" si="32"/>
        <v>1.6468251965311986E-2</v>
      </c>
      <c r="GC25" s="697">
        <f t="shared" si="33"/>
        <v>983.86978358944282</v>
      </c>
      <c r="GD25">
        <v>2.34</v>
      </c>
      <c r="GE25">
        <f t="shared" si="34"/>
        <v>948985.01056251593</v>
      </c>
      <c r="GF25" s="446">
        <f t="shared" si="116"/>
        <v>948.98501056251598</v>
      </c>
      <c r="GG25">
        <v>512.9</v>
      </c>
      <c r="GH25" s="446">
        <f t="shared" si="35"/>
        <v>832.02463575643492</v>
      </c>
      <c r="GJ25" s="31"/>
      <c r="GK25" s="31"/>
      <c r="GL25" s="31"/>
      <c r="GM25" s="31"/>
      <c r="GO25" s="677" t="s">
        <v>193</v>
      </c>
      <c r="GP25" s="668">
        <v>1750</v>
      </c>
      <c r="GQ25" s="670">
        <v>951</v>
      </c>
      <c r="GR25" s="669">
        <v>0.54</v>
      </c>
      <c r="GS25" s="670">
        <v>128.04</v>
      </c>
      <c r="GT25" s="678">
        <v>46734</v>
      </c>
      <c r="GU25" s="133">
        <f t="shared" si="158"/>
        <v>5.55926173004225E-3</v>
      </c>
      <c r="GV25" s="133">
        <f>(GP25-GP18-GP11)/GP25</f>
        <v>1.2E-2</v>
      </c>
      <c r="GW25" s="133">
        <f t="shared" si="170"/>
        <v>1.0515247108307045E-3</v>
      </c>
      <c r="GY25" s="31">
        <f t="shared" si="171"/>
        <v>0.98141400000000001</v>
      </c>
      <c r="GZ25" s="133">
        <f t="shared" si="15"/>
        <v>2.3104443763582739E-4</v>
      </c>
      <c r="HB25" t="str">
        <f>GO20</f>
        <v>Vörubifreiðar ≤12t</v>
      </c>
      <c r="HC25" t="s">
        <v>158</v>
      </c>
      <c r="HD25" s="160">
        <f>GZ13</f>
        <v>9.2119592142013082E-4</v>
      </c>
      <c r="HE25" s="31">
        <f t="shared" si="36"/>
        <v>1.2325978412356815</v>
      </c>
      <c r="HF25">
        <v>25</v>
      </c>
      <c r="HG25">
        <f t="shared" si="117"/>
        <v>0.25</v>
      </c>
      <c r="HH25">
        <v>0.75</v>
      </c>
      <c r="HI25">
        <f t="shared" si="118"/>
        <v>0.1875</v>
      </c>
      <c r="HJ25">
        <v>44.3</v>
      </c>
      <c r="HK25">
        <f t="shared" si="119"/>
        <v>8.3062499999999986</v>
      </c>
      <c r="HL25">
        <v>72.513754762763227</v>
      </c>
      <c r="HM25">
        <f>6.43681969225972/1000</f>
        <v>6.4368196922597199E-3</v>
      </c>
      <c r="HN25">
        <f>1.22219082236233/1000</f>
        <v>1.2221908223623299E-3</v>
      </c>
      <c r="HO25" s="31">
        <f t="shared" si="37"/>
        <v>10.238265818763878</v>
      </c>
      <c r="HP25" s="31">
        <f t="shared" si="72"/>
        <v>742.41509677782517</v>
      </c>
      <c r="HQ25" s="31">
        <f t="shared" si="38"/>
        <v>6.5901871036808918E-2</v>
      </c>
      <c r="HR25" s="31">
        <f t="shared" si="38"/>
        <v>1.2513114520599156E-2</v>
      </c>
      <c r="HS25" s="697">
        <f t="shared" si="39"/>
        <v>747.57632451481459</v>
      </c>
      <c r="HT25">
        <v>2.34</v>
      </c>
      <c r="HU25">
        <f t="shared" si="40"/>
        <v>721069.73712287354</v>
      </c>
      <c r="HV25" s="446">
        <f t="shared" si="120"/>
        <v>721.06973712287356</v>
      </c>
      <c r="HW25">
        <v>512.9</v>
      </c>
      <c r="HX25" s="446">
        <f t="shared" si="41"/>
        <v>632.19943276978097</v>
      </c>
    </row>
    <row r="26" spans="1:247" ht="16.5" customHeight="1" thickBot="1">
      <c r="A26" s="969"/>
      <c r="B26" s="366" t="s">
        <v>15</v>
      </c>
      <c r="C26" s="367">
        <v>42550</v>
      </c>
      <c r="D26" s="368">
        <v>41844</v>
      </c>
      <c r="E26" s="369">
        <v>39087</v>
      </c>
      <c r="F26" s="370">
        <v>123481</v>
      </c>
      <c r="G26" s="407">
        <v>353668</v>
      </c>
      <c r="H26" s="1023"/>
      <c r="I26" s="387">
        <v>8.2311644706720255E-2</v>
      </c>
      <c r="J26" s="388">
        <v>8.1184996680681562E-2</v>
      </c>
      <c r="K26" s="389">
        <v>8.8449213399812709E-2</v>
      </c>
      <c r="L26" s="390">
        <v>8.8449213399812709E-2</v>
      </c>
      <c r="M26" s="552">
        <v>7.1314415927035579E-2</v>
      </c>
      <c r="O26" s="219">
        <v>2020</v>
      </c>
      <c r="P26" s="173">
        <f>M218</f>
        <v>-0.10207222614065981</v>
      </c>
      <c r="Q26" s="98">
        <f t="shared" ref="Q26" si="178">Q25*(1+P26)</f>
        <v>5.0514164110919273</v>
      </c>
      <c r="R26" s="698">
        <f t="shared" si="105"/>
        <v>1198.4485435315598</v>
      </c>
      <c r="S26" s="96">
        <f t="shared" si="106"/>
        <v>31.571352569324546</v>
      </c>
      <c r="T26" s="96">
        <f t="shared" ref="T26" si="179">S26/0.0194</f>
        <v>1627.3893076971415</v>
      </c>
      <c r="U26" s="698">
        <f>T26*$U$16</f>
        <v>1057.8030500031421</v>
      </c>
      <c r="V26">
        <f>V25*(1+P26)</f>
        <v>1167216.3132397563</v>
      </c>
      <c r="W26">
        <f>V26/10^6*$W$16</f>
        <v>5.8010650768015877</v>
      </c>
      <c r="X26" s="446">
        <f>W26/$S$16/$T$16*$U$16</f>
        <v>1214.7848904384769</v>
      </c>
      <c r="AA26" s="843" t="s">
        <v>469</v>
      </c>
      <c r="AB26" s="845">
        <v>1136</v>
      </c>
      <c r="AC26" s="843">
        <v>31</v>
      </c>
      <c r="AD26" s="844">
        <v>0.03</v>
      </c>
      <c r="AE26" s="843" t="s">
        <v>1</v>
      </c>
      <c r="AF26" s="851" t="s">
        <v>1</v>
      </c>
      <c r="AH26" s="133">
        <f t="shared" si="150"/>
        <v>4.2134154256996091E-3</v>
      </c>
      <c r="AI26" s="133">
        <f t="shared" si="151"/>
        <v>1.1497876601821115E-4</v>
      </c>
      <c r="AK26" s="31">
        <v>0</v>
      </c>
      <c r="AL26" s="133">
        <f t="shared" si="6"/>
        <v>0</v>
      </c>
      <c r="AO26" t="s">
        <v>25</v>
      </c>
      <c r="AP26" s="160">
        <f>AL20</f>
        <v>1.9694186292439814E-2</v>
      </c>
      <c r="AQ26" s="31">
        <f t="shared" si="42"/>
        <v>26.575007234484357</v>
      </c>
      <c r="AR26">
        <v>21.22</v>
      </c>
      <c r="AS26">
        <f t="shared" si="43"/>
        <v>0.2122</v>
      </c>
      <c r="AT26">
        <v>0.86499999999999999</v>
      </c>
      <c r="AU26">
        <f t="shared" si="44"/>
        <v>0.18355299999999999</v>
      </c>
      <c r="AV26">
        <v>43</v>
      </c>
      <c r="AW26">
        <f t="shared" si="45"/>
        <v>7.892779</v>
      </c>
      <c r="AX26">
        <v>74.054734089485805</v>
      </c>
      <c r="AY26">
        <v>1.0094332347649E-4</v>
      </c>
      <c r="AZ26">
        <v>2.0471581355555601E-3</v>
      </c>
      <c r="BA26" s="31">
        <f t="shared" si="46"/>
        <v>209.7506590251862</v>
      </c>
      <c r="BB26" s="31">
        <f t="shared" si="47"/>
        <v>15533.029279204569</v>
      </c>
      <c r="BC26" s="31">
        <f t="shared" si="48"/>
        <v>2.1172928623386329E-2</v>
      </c>
      <c r="BD26" s="31">
        <f t="shared" si="49"/>
        <v>0.42939276806155019</v>
      </c>
      <c r="BE26" s="697">
        <f t="shared" si="50"/>
        <v>15647.411204742335</v>
      </c>
      <c r="BF26">
        <v>2.72</v>
      </c>
      <c r="BG26">
        <f t="shared" si="51"/>
        <v>15338668.97562862</v>
      </c>
      <c r="BH26" s="446">
        <f t="shared" si="52"/>
        <v>15338.66897562862</v>
      </c>
      <c r="BI26">
        <v>630.9</v>
      </c>
      <c r="BJ26" s="446">
        <f t="shared" si="53"/>
        <v>16766.172064236183</v>
      </c>
      <c r="BL26"/>
      <c r="BM26" s="135">
        <f>(BM24-DD24)/DD24</f>
        <v>-2.8741919084688573E-4</v>
      </c>
      <c r="BN26" s="135">
        <f>(BN24-DE24)/DE24</f>
        <v>2.2905977943058027E-3</v>
      </c>
      <c r="BO26" s="135">
        <f>(BO24-DF24)/DF24</f>
        <v>1.1443826068254231E-2</v>
      </c>
      <c r="BR26" s="782" t="s">
        <v>469</v>
      </c>
      <c r="BS26" s="782">
        <v>678</v>
      </c>
      <c r="BT26" s="782">
        <v>11</v>
      </c>
      <c r="BU26" s="783">
        <v>0.02</v>
      </c>
      <c r="BV26" s="782" t="s">
        <v>1</v>
      </c>
      <c r="BW26" s="782" t="s">
        <v>1</v>
      </c>
      <c r="BY26" s="133">
        <f>BS26/$DJ$30</f>
        <v>2.5146968825918441E-3</v>
      </c>
      <c r="BZ26" s="133">
        <f>BT26/$DJ$30</f>
        <v>4.0798916974203957E-5</v>
      </c>
      <c r="CB26" s="31">
        <v>0</v>
      </c>
      <c r="CC26" s="133">
        <f>CB26/$DS$36</f>
        <v>0</v>
      </c>
      <c r="CF26" t="s">
        <v>25</v>
      </c>
      <c r="CG26" s="160">
        <f>CC20</f>
        <v>1.9146977548698985E-2</v>
      </c>
      <c r="CH26" s="31">
        <f t="shared" si="54"/>
        <v>25.437917146525525</v>
      </c>
      <c r="CI26">
        <v>21.22</v>
      </c>
      <c r="CJ26">
        <f t="shared" si="55"/>
        <v>0.2122</v>
      </c>
      <c r="CK26">
        <v>0.86499999999999999</v>
      </c>
      <c r="CL26">
        <f t="shared" si="56"/>
        <v>0.18355299999999999</v>
      </c>
      <c r="CM26">
        <v>43</v>
      </c>
      <c r="CN26">
        <f t="shared" si="57"/>
        <v>7.892779</v>
      </c>
      <c r="CO26">
        <v>74.054734089485805</v>
      </c>
      <c r="CP26">
        <v>1.0094332347649E-4</v>
      </c>
      <c r="CQ26">
        <v>2.0471581355555601E-3</v>
      </c>
      <c r="CR26" s="31">
        <f t="shared" si="16"/>
        <v>200.77585825783657</v>
      </c>
      <c r="CS26" s="31">
        <f t="shared" si="17"/>
        <v>14868.40279487238</v>
      </c>
      <c r="CT26" s="31">
        <f t="shared" si="18"/>
        <v>2.0266982406390705E-2</v>
      </c>
      <c r="CU26" s="31">
        <f t="shared" si="19"/>
        <v>0.41101993165568013</v>
      </c>
      <c r="CV26" s="697">
        <f t="shared" si="20"/>
        <v>14977.890552268515</v>
      </c>
      <c r="CW26">
        <v>2.72</v>
      </c>
      <c r="CX26">
        <f t="shared" si="21"/>
        <v>14682358.770300189</v>
      </c>
      <c r="CY26" s="446">
        <f t="shared" si="58"/>
        <v>14682.358770300189</v>
      </c>
      <c r="CZ26">
        <v>630.9</v>
      </c>
      <c r="DA26" s="446">
        <f t="shared" si="22"/>
        <v>16048.781927742953</v>
      </c>
      <c r="DD26" s="135">
        <f>(DD24-EU24)/EU24</f>
        <v>8.2177730561900794E-2</v>
      </c>
      <c r="DE26" s="135">
        <f t="shared" ref="DE26" si="180">(DE24-EV24)/EV24</f>
        <v>8.7861806626033559E-2</v>
      </c>
      <c r="DF26" s="135">
        <f>(DF24-EW24)/EW24</f>
        <v>8.1419517688857412E-2</v>
      </c>
      <c r="DI26" s="679" t="s">
        <v>469</v>
      </c>
      <c r="DJ26" s="671">
        <v>198</v>
      </c>
      <c r="DK26" s="671">
        <v>9</v>
      </c>
      <c r="DL26" s="672">
        <v>0.05</v>
      </c>
      <c r="DM26" s="671" t="s">
        <v>1</v>
      </c>
      <c r="DN26" s="681" t="s">
        <v>1</v>
      </c>
      <c r="DP26" s="133">
        <f t="shared" si="154"/>
        <v>7.3438050553567124E-4</v>
      </c>
      <c r="DQ26" s="133">
        <f t="shared" si="154"/>
        <v>3.3380932069803238E-5</v>
      </c>
      <c r="DS26" s="31">
        <v>0</v>
      </c>
      <c r="DT26" s="133">
        <f t="shared" si="1"/>
        <v>0</v>
      </c>
      <c r="DW26" t="s">
        <v>25</v>
      </c>
      <c r="DX26" s="160">
        <f>DT20</f>
        <v>1.8683875927738472E-2</v>
      </c>
      <c r="DY26" s="31">
        <f t="shared" si="23"/>
        <v>22.696890171843876</v>
      </c>
      <c r="DZ26">
        <v>21.22</v>
      </c>
      <c r="EA26">
        <f t="shared" si="109"/>
        <v>0.2122</v>
      </c>
      <c r="EB26">
        <v>0.86499999999999999</v>
      </c>
      <c r="EC26">
        <f t="shared" si="110"/>
        <v>0.18355299999999999</v>
      </c>
      <c r="ED26">
        <v>43</v>
      </c>
      <c r="EE26">
        <f t="shared" si="111"/>
        <v>7.892779</v>
      </c>
      <c r="EF26">
        <v>73.367561400348293</v>
      </c>
      <c r="EG26">
        <f>0.36897495946676/1000</f>
        <v>3.6897495946676E-4</v>
      </c>
      <c r="EH26">
        <f>2.09444904821954/1000</f>
        <v>2.0944490482195399E-3</v>
      </c>
      <c r="EI26" s="31">
        <f t="shared" si="24"/>
        <v>179.14153811363573</v>
      </c>
      <c r="EJ26" s="31">
        <f t="shared" si="25"/>
        <v>13143.177796905004</v>
      </c>
      <c r="EK26" s="31">
        <f t="shared" si="26"/>
        <v>6.6098741764291785E-2</v>
      </c>
      <c r="EL26" s="31">
        <f t="shared" si="27"/>
        <v>0.37520282399868876</v>
      </c>
      <c r="EM26" s="697">
        <f t="shared" si="62"/>
        <v>13244.457310034057</v>
      </c>
      <c r="EN26">
        <v>2.72</v>
      </c>
      <c r="EO26">
        <f t="shared" si="28"/>
        <v>13100281.856945535</v>
      </c>
      <c r="EP26" s="446">
        <f t="shared" si="112"/>
        <v>13100.281856945536</v>
      </c>
      <c r="EQ26">
        <v>630.9</v>
      </c>
      <c r="ER26" s="446">
        <f t="shared" si="29"/>
        <v>14319.468009416301</v>
      </c>
      <c r="EU26" s="135">
        <f>(EU24-GK24)/GK24</f>
        <v>-0.1057752279639393</v>
      </c>
      <c r="EV26" s="135">
        <f>(EV24-GL24)/GL24</f>
        <v>-0.10846167254171146</v>
      </c>
      <c r="EW26" s="135">
        <f>(EW24-GM24)/GM24</f>
        <v>-9.6326466913603914E-2</v>
      </c>
      <c r="EY26" s="146" t="s">
        <v>197</v>
      </c>
      <c r="EZ26" s="169">
        <v>28939</v>
      </c>
      <c r="FA26" s="169">
        <v>14744</v>
      </c>
      <c r="FB26" s="148">
        <v>0.51</v>
      </c>
      <c r="FC26" s="147">
        <v>36.94</v>
      </c>
      <c r="FD26" s="149">
        <v>13482</v>
      </c>
      <c r="FE26" s="133">
        <f t="shared" si="156"/>
        <v>9.1931128688967245E-2</v>
      </c>
      <c r="FF26" s="133">
        <f>(EZ26-EZ19-EZ12)/EZ26</f>
        <v>1.5480839006185425E-2</v>
      </c>
      <c r="FG26" s="133">
        <f t="shared" si="166"/>
        <v>9.4275637547476948E-3</v>
      </c>
      <c r="FI26" s="31">
        <f>FD26*(EZ26-EZ19-EZ12)/1000000</f>
        <v>6.039936</v>
      </c>
      <c r="FJ26" s="133">
        <f t="shared" si="12"/>
        <v>1.4219214485185546E-3</v>
      </c>
      <c r="FM26" t="s">
        <v>25</v>
      </c>
      <c r="FN26" s="160">
        <f>FJ20</f>
        <v>1.8372467397700678E-2</v>
      </c>
      <c r="FO26" s="31">
        <f t="shared" si="30"/>
        <v>24.85566929161109</v>
      </c>
      <c r="FP26">
        <v>21.22</v>
      </c>
      <c r="FQ26">
        <f t="shared" si="113"/>
        <v>0.2122</v>
      </c>
      <c r="FR26">
        <v>0.86499999999999999</v>
      </c>
      <c r="FS26">
        <f t="shared" si="114"/>
        <v>0.18355299999999999</v>
      </c>
      <c r="FT26">
        <v>43</v>
      </c>
      <c r="FU26">
        <f t="shared" si="115"/>
        <v>7.892779</v>
      </c>
      <c r="FV26">
        <v>73.367561400348293</v>
      </c>
      <c r="FW26">
        <f>0.36897495946676/1000</f>
        <v>3.6897495946676E-4</v>
      </c>
      <c r="FX26">
        <f>2.09444904821954/1000</f>
        <v>2.0944490482195399E-3</v>
      </c>
      <c r="FY26" s="31">
        <f t="shared" si="31"/>
        <v>196.18030461577288</v>
      </c>
      <c r="FZ26" s="31">
        <f t="shared" si="67"/>
        <v>14393.270544436749</v>
      </c>
      <c r="GA26" s="31">
        <f t="shared" si="32"/>
        <v>7.2385619943781426E-2</v>
      </c>
      <c r="GB26" s="31">
        <f t="shared" si="32"/>
        <v>0.41088965228192492</v>
      </c>
      <c r="GC26" s="697">
        <f t="shared" si="33"/>
        <v>14504.183099649885</v>
      </c>
      <c r="GD26">
        <v>2.72</v>
      </c>
      <c r="GE26">
        <f t="shared" si="34"/>
        <v>14346294.624409255</v>
      </c>
      <c r="GF26" s="446">
        <f t="shared" si="116"/>
        <v>14346.294624409255</v>
      </c>
      <c r="GG26">
        <v>630.9</v>
      </c>
      <c r="GH26" s="446">
        <f t="shared" si="35"/>
        <v>15681.441756077438</v>
      </c>
      <c r="GJ26" s="31"/>
      <c r="GK26" s="135">
        <f>(GK24-IA24)/IA24</f>
        <v>1.7034588272729346E-2</v>
      </c>
      <c r="GL26" s="135">
        <f>(GL24-IB24)/IB24</f>
        <v>2.0711144406197236E-2</v>
      </c>
      <c r="GM26" s="135">
        <f>(GM24-IC24)/IC24</f>
        <v>1.0725992833455402E-2</v>
      </c>
      <c r="GO26" s="679" t="s">
        <v>197</v>
      </c>
      <c r="GP26" s="673">
        <v>28059</v>
      </c>
      <c r="GQ26" s="673">
        <v>14602</v>
      </c>
      <c r="GR26" s="672">
        <v>0.52</v>
      </c>
      <c r="GS26" s="671">
        <v>36.840000000000003</v>
      </c>
      <c r="GT26" s="680">
        <v>13447</v>
      </c>
      <c r="GU26" s="133">
        <f t="shared" si="158"/>
        <v>8.9135614219003151E-2</v>
      </c>
      <c r="GV26" s="133">
        <f>(GP26-GP19-GP12)/GP26</f>
        <v>1.340033500837521E-2</v>
      </c>
      <c r="GW26" s="133">
        <f t="shared" si="170"/>
        <v>9.1083413231064243E-3</v>
      </c>
      <c r="GY26" s="31">
        <f>GT26*(GP26-GP19-GP12)/1000000</f>
        <v>5.0560720000000003</v>
      </c>
      <c r="GZ26" s="133">
        <f t="shared" si="15"/>
        <v>1.1903002319981711E-3</v>
      </c>
      <c r="HC26" t="s">
        <v>25</v>
      </c>
      <c r="HD26" s="160">
        <f>GZ20</f>
        <v>1.8574041730215027E-2</v>
      </c>
      <c r="HE26" s="31">
        <f t="shared" si="36"/>
        <v>24.852827946079309</v>
      </c>
      <c r="HF26">
        <v>21.22</v>
      </c>
      <c r="HG26">
        <f t="shared" si="117"/>
        <v>0.2122</v>
      </c>
      <c r="HH26">
        <v>0.86499999999999999</v>
      </c>
      <c r="HI26">
        <f t="shared" si="118"/>
        <v>0.18355299999999999</v>
      </c>
      <c r="HJ26">
        <v>43</v>
      </c>
      <c r="HK26">
        <f t="shared" si="119"/>
        <v>7.892779</v>
      </c>
      <c r="HL26">
        <v>73.367561400348293</v>
      </c>
      <c r="HM26">
        <f>0.36897495946676/1000</f>
        <v>3.6897495946676E-4</v>
      </c>
      <c r="HN26">
        <f>2.09444904821954/1000</f>
        <v>2.0944490482195399E-3</v>
      </c>
      <c r="HO26" s="31">
        <f t="shared" si="37"/>
        <v>196.1578785034279</v>
      </c>
      <c r="HP26" s="31">
        <f t="shared" si="72"/>
        <v>14391.625195262306</v>
      </c>
      <c r="HQ26" s="31">
        <f t="shared" si="38"/>
        <v>7.2377345269887941E-2</v>
      </c>
      <c r="HR26" s="31">
        <f t="shared" si="38"/>
        <v>0.41084268193226869</v>
      </c>
      <c r="HS26" s="697">
        <f t="shared" si="39"/>
        <v>14502.525071641914</v>
      </c>
      <c r="HT26">
        <v>2.72</v>
      </c>
      <c r="HU26">
        <f t="shared" si="40"/>
        <v>14344654.645229839</v>
      </c>
      <c r="HV26" s="446">
        <f t="shared" si="120"/>
        <v>14344.654645229839</v>
      </c>
      <c r="HW26">
        <v>630.9</v>
      </c>
      <c r="HX26" s="446">
        <f t="shared" si="41"/>
        <v>15679.649151181437</v>
      </c>
      <c r="IA26" s="135">
        <f>(IA24-IF24)/IF24</f>
        <v>2.8042488962377533E-2</v>
      </c>
      <c r="IB26" s="135">
        <f t="shared" ref="IB26:IC26" si="181">(IB24-IG24)/IG24</f>
        <v>2.8042488962377644E-2</v>
      </c>
      <c r="IC26" s="135">
        <f t="shared" si="181"/>
        <v>2.804248896237764E-2</v>
      </c>
      <c r="IF26" s="135">
        <f>(IF24-IK24)/IK24</f>
        <v>8.0027290299421378E-2</v>
      </c>
      <c r="IG26" s="135">
        <f t="shared" ref="IG26" si="182">(IG24-IL24)/IL24</f>
        <v>8.0027290299420989E-2</v>
      </c>
      <c r="IH26" s="135">
        <f t="shared" ref="IH26" si="183">(IH24-IM24)/IM24</f>
        <v>8.0027290299421114E-2</v>
      </c>
    </row>
    <row r="27" spans="1:247" ht="16.5" customHeight="1" thickBot="1">
      <c r="A27" s="969"/>
      <c r="B27" s="366" t="s">
        <v>16</v>
      </c>
      <c r="C27" s="367">
        <v>38387</v>
      </c>
      <c r="D27" s="368">
        <v>39569</v>
      </c>
      <c r="E27" s="369">
        <v>37569</v>
      </c>
      <c r="F27" s="370">
        <v>115525</v>
      </c>
      <c r="G27" s="407">
        <v>469193</v>
      </c>
      <c r="H27" s="1023"/>
      <c r="I27" s="387">
        <v>-5.8474685793451248E-2</v>
      </c>
      <c r="J27" s="388">
        <v>-1.2760188212776139E-3</v>
      </c>
      <c r="K27" s="389">
        <v>-2.8704408751996091E-2</v>
      </c>
      <c r="L27" s="390">
        <v>-2.8704408751996091E-2</v>
      </c>
      <c r="M27" s="552">
        <v>4.4823455965850467E-2</v>
      </c>
      <c r="O27" s="219">
        <v>2021</v>
      </c>
      <c r="P27" s="173">
        <f>M231</f>
        <v>9.3659019351192141E-2</v>
      </c>
      <c r="Q27" s="98">
        <f>Q26*(1+P27)</f>
        <v>5.5245271184893161</v>
      </c>
      <c r="R27" s="698">
        <f>Q27*365*0.65</f>
        <v>1310.6940588615903</v>
      </c>
      <c r="S27" s="96">
        <f>Q27/0.16</f>
        <v>34.528294490558224</v>
      </c>
      <c r="T27" s="96">
        <f>S27/0.0194</f>
        <v>1779.8089943586713</v>
      </c>
      <c r="U27" s="698">
        <f>T27*$U$16</f>
        <v>1156.8758463331365</v>
      </c>
      <c r="V27">
        <f>V26*(1+P27)</f>
        <v>1276536.6485085057</v>
      </c>
      <c r="W27">
        <f>V27/10^6*$W$16</f>
        <v>6.3443871430872729</v>
      </c>
      <c r="X27" s="446">
        <f>W27/$S$16/$T$16*$U$16</f>
        <v>1328.56045199959</v>
      </c>
      <c r="AA27" s="842" t="s">
        <v>470</v>
      </c>
      <c r="AB27" s="840">
        <v>1025</v>
      </c>
      <c r="AC27" s="842">
        <v>404</v>
      </c>
      <c r="AD27" s="841">
        <v>0.39</v>
      </c>
      <c r="AE27" s="842">
        <v>46.56</v>
      </c>
      <c r="AF27" s="849">
        <v>16993</v>
      </c>
      <c r="AH27" s="133">
        <f t="shared" si="150"/>
        <v>3.8017172635053686E-3</v>
      </c>
      <c r="AI27" s="133">
        <f t="shared" si="151"/>
        <v>1.4984329506889454E-3</v>
      </c>
      <c r="AK27" s="31">
        <f>AF27*AB27/1000000</f>
        <v>17.417825000000001</v>
      </c>
      <c r="AL27" s="133">
        <f t="shared" si="6"/>
        <v>3.5449687522640791E-3</v>
      </c>
      <c r="AN27" t="str">
        <f>AA21</f>
        <v>Vörubifreiðar &gt;12t</v>
      </c>
      <c r="AO27" t="s">
        <v>158</v>
      </c>
      <c r="AP27" s="160">
        <f>AL13</f>
        <v>6.7362674509948187E-4</v>
      </c>
      <c r="AQ27" s="31">
        <f t="shared" si="42"/>
        <v>0.90898071941326886</v>
      </c>
      <c r="AR27">
        <v>25</v>
      </c>
      <c r="AS27">
        <f t="shared" si="43"/>
        <v>0.25</v>
      </c>
      <c r="AT27">
        <v>0.75</v>
      </c>
      <c r="AU27">
        <f t="shared" si="44"/>
        <v>0.1875</v>
      </c>
      <c r="AV27">
        <v>44.3</v>
      </c>
      <c r="AW27">
        <f t="shared" si="45"/>
        <v>8.3062499999999986</v>
      </c>
      <c r="AX27">
        <v>71.051104664576499</v>
      </c>
      <c r="AY27">
        <v>1.53682172957139E-2</v>
      </c>
      <c r="AZ27">
        <v>8.2329735512008E-4</v>
      </c>
      <c r="BA27" s="31">
        <f t="shared" si="46"/>
        <v>7.5502211006264632</v>
      </c>
      <c r="BB27" s="31">
        <f t="shared" si="47"/>
        <v>536.45154966130485</v>
      </c>
      <c r="BC27" s="31">
        <f t="shared" si="48"/>
        <v>0.11603343850511165</v>
      </c>
      <c r="BD27" s="31">
        <f t="shared" si="49"/>
        <v>6.2160770627175867E-3</v>
      </c>
      <c r="BE27" s="697">
        <f t="shared" si="50"/>
        <v>541.34774636106818</v>
      </c>
      <c r="BF27">
        <v>2.34</v>
      </c>
      <c r="BG27">
        <f t="shared" si="51"/>
        <v>531753.72085676226</v>
      </c>
      <c r="BH27" s="446">
        <f t="shared" si="52"/>
        <v>531.75372085676224</v>
      </c>
      <c r="BI27">
        <v>512.9</v>
      </c>
      <c r="BJ27" s="446">
        <f t="shared" si="53"/>
        <v>466.21621098706555</v>
      </c>
      <c r="BL27"/>
      <c r="BM27"/>
      <c r="BN27"/>
      <c r="BO27"/>
      <c r="BR27" s="779" t="s">
        <v>470</v>
      </c>
      <c r="BS27" s="779">
        <v>866</v>
      </c>
      <c r="BT27" s="779">
        <v>286</v>
      </c>
      <c r="BU27" s="781">
        <v>0.33</v>
      </c>
      <c r="BV27" s="779">
        <v>47.14</v>
      </c>
      <c r="BW27" s="780">
        <v>17204</v>
      </c>
      <c r="BY27" s="133">
        <f t="shared" si="152"/>
        <v>3.2119874636055115E-3</v>
      </c>
      <c r="BZ27" s="133">
        <f t="shared" si="152"/>
        <v>1.0607718413293029E-3</v>
      </c>
      <c r="CB27" s="31">
        <f>BW27*BS27/1000000</f>
        <v>14.898664</v>
      </c>
      <c r="CC27" s="133">
        <f t="shared" si="0"/>
        <v>3.575129242565003E-3</v>
      </c>
      <c r="CE27" t="str">
        <f>BR21</f>
        <v>Vörubifreiðar &gt;12t</v>
      </c>
      <c r="CF27" t="s">
        <v>158</v>
      </c>
      <c r="CG27" s="160">
        <f>CC13</f>
        <v>1.0555793343766269E-3</v>
      </c>
      <c r="CH27" s="31">
        <f t="shared" si="54"/>
        <v>1.4024009576008378</v>
      </c>
      <c r="CI27">
        <v>25</v>
      </c>
      <c r="CJ27">
        <f t="shared" si="55"/>
        <v>0.25</v>
      </c>
      <c r="CK27">
        <v>0.75</v>
      </c>
      <c r="CL27">
        <f t="shared" si="56"/>
        <v>0.1875</v>
      </c>
      <c r="CM27">
        <v>44.3</v>
      </c>
      <c r="CN27">
        <f t="shared" si="57"/>
        <v>8.3062499999999986</v>
      </c>
      <c r="CO27">
        <v>71.051104664576499</v>
      </c>
      <c r="CP27">
        <v>1.53682172957139E-2</v>
      </c>
      <c r="CQ27">
        <v>8.2329735512008E-4</v>
      </c>
      <c r="CR27" s="31">
        <f t="shared" si="16"/>
        <v>11.648692954071958</v>
      </c>
      <c r="CS27" s="31">
        <f t="shared" si="17"/>
        <v>827.65250228528146</v>
      </c>
      <c r="CT27" s="31">
        <f t="shared" si="18"/>
        <v>0.1790196445292293</v>
      </c>
      <c r="CU27" s="31">
        <f t="shared" si="19"/>
        <v>9.5903380996933546E-3</v>
      </c>
      <c r="CV27" s="697">
        <f t="shared" si="20"/>
        <v>835.20649192851863</v>
      </c>
      <c r="CW27">
        <v>2.34</v>
      </c>
      <c r="CX27">
        <f t="shared" si="21"/>
        <v>820404.56019649014</v>
      </c>
      <c r="CY27" s="446">
        <f t="shared" si="58"/>
        <v>820.40456019649014</v>
      </c>
      <c r="CZ27">
        <v>512.9</v>
      </c>
      <c r="DA27" s="446">
        <f t="shared" si="22"/>
        <v>719.29145115346967</v>
      </c>
      <c r="DI27" s="677" t="s">
        <v>470</v>
      </c>
      <c r="DJ27" s="670">
        <v>689</v>
      </c>
      <c r="DK27" s="670">
        <v>204</v>
      </c>
      <c r="DL27" s="669">
        <v>0.3</v>
      </c>
      <c r="DM27" s="670">
        <v>47.04</v>
      </c>
      <c r="DN27" s="678">
        <v>17171</v>
      </c>
      <c r="DP27" s="133">
        <f t="shared" si="154"/>
        <v>2.555495799566048E-3</v>
      </c>
      <c r="DQ27" s="133">
        <f t="shared" si="154"/>
        <v>7.5663446024887336E-4</v>
      </c>
      <c r="DS27" s="31">
        <f>DN27*DJ27/1000000</f>
        <v>11.830819</v>
      </c>
      <c r="DT27" s="133">
        <f t="shared" si="1"/>
        <v>2.8389597195019396E-3</v>
      </c>
      <c r="DV27" t="str">
        <f>DI21</f>
        <v>Vörubifreiðar &gt;12t</v>
      </c>
      <c r="DW27" t="s">
        <v>158</v>
      </c>
      <c r="DX27" s="160">
        <f>DT13</f>
        <v>9.1998387891580686E-4</v>
      </c>
      <c r="DY27" s="31">
        <f t="shared" si="23"/>
        <v>1.1175825155539034</v>
      </c>
      <c r="DZ27">
        <v>25</v>
      </c>
      <c r="EA27">
        <f t="shared" si="109"/>
        <v>0.25</v>
      </c>
      <c r="EB27">
        <v>0.75</v>
      </c>
      <c r="EC27">
        <f t="shared" si="110"/>
        <v>0.1875</v>
      </c>
      <c r="ED27">
        <v>44.3</v>
      </c>
      <c r="EE27">
        <f t="shared" si="111"/>
        <v>8.3062499999999986</v>
      </c>
      <c r="EF27">
        <v>72.512080209241503</v>
      </c>
      <c r="EG27">
        <f>15.8206501432308/1000</f>
        <v>1.5820650143230801E-2</v>
      </c>
      <c r="EH27">
        <f>0.84755262174617/1000</f>
        <v>8.4755262174616996E-4</v>
      </c>
      <c r="EI27" s="31">
        <f t="shared" si="24"/>
        <v>9.2829197698196086</v>
      </c>
      <c r="EJ27" s="31">
        <f t="shared" si="25"/>
        <v>673.12382292511313</v>
      </c>
      <c r="EK27" s="31">
        <f t="shared" si="26"/>
        <v>0.14686182598599662</v>
      </c>
      <c r="EL27" s="31">
        <f t="shared" si="27"/>
        <v>7.8677629883699626E-3</v>
      </c>
      <c r="EM27" s="697">
        <f t="shared" si="62"/>
        <v>679.32091124463909</v>
      </c>
      <c r="EN27">
        <v>2.34</v>
      </c>
      <c r="EO27">
        <f t="shared" si="28"/>
        <v>653785.7715990335</v>
      </c>
      <c r="EP27" s="446">
        <f t="shared" si="112"/>
        <v>653.78577159903352</v>
      </c>
      <c r="EQ27">
        <v>512.9</v>
      </c>
      <c r="ER27" s="446">
        <f t="shared" si="29"/>
        <v>573.20807222759697</v>
      </c>
      <c r="EY27" s="128" t="s">
        <v>199</v>
      </c>
      <c r="EZ27" s="129">
        <v>5887</v>
      </c>
      <c r="FA27" s="129">
        <v>2927</v>
      </c>
      <c r="FB27" s="130">
        <v>0.5</v>
      </c>
      <c r="FC27" s="131">
        <v>39.71</v>
      </c>
      <c r="FD27" s="132">
        <v>14496</v>
      </c>
      <c r="FE27" s="133">
        <f t="shared" si="156"/>
        <v>1.870135645986213E-2</v>
      </c>
      <c r="FF27" s="133">
        <f t="shared" si="166"/>
        <v>3.3973161202649905E-4</v>
      </c>
      <c r="FG27" s="133">
        <f t="shared" si="166"/>
        <v>0</v>
      </c>
      <c r="FI27" s="31">
        <f t="shared" si="167"/>
        <v>2.8992E-2</v>
      </c>
      <c r="FJ27" s="133">
        <f t="shared" si="12"/>
        <v>6.8252952738985866E-6</v>
      </c>
      <c r="FL27" t="str">
        <f>EY21</f>
        <v>Vörubifreiðar &gt;12t</v>
      </c>
      <c r="FM27" t="s">
        <v>158</v>
      </c>
      <c r="FN27" s="160">
        <f>FJ13</f>
        <v>1.1990726857023404E-3</v>
      </c>
      <c r="FO27" s="31">
        <f t="shared" si="30"/>
        <v>1.6221965992521641</v>
      </c>
      <c r="FP27">
        <v>25</v>
      </c>
      <c r="FQ27">
        <f t="shared" si="113"/>
        <v>0.25</v>
      </c>
      <c r="FR27">
        <v>0.75</v>
      </c>
      <c r="FS27">
        <f t="shared" si="114"/>
        <v>0.1875</v>
      </c>
      <c r="FT27">
        <v>44.3</v>
      </c>
      <c r="FU27">
        <f t="shared" si="115"/>
        <v>8.3062499999999986</v>
      </c>
      <c r="FV27">
        <v>72.512080209241503</v>
      </c>
      <c r="FW27">
        <f>15.8206501432308/1000</f>
        <v>1.5820650143230801E-2</v>
      </c>
      <c r="FX27">
        <f>0.84755262174617/1000</f>
        <v>8.4755262174616996E-4</v>
      </c>
      <c r="FY27" s="31">
        <f t="shared" si="31"/>
        <v>13.474370502538285</v>
      </c>
      <c r="FZ27" s="31">
        <f t="shared" si="67"/>
        <v>977.05463464909383</v>
      </c>
      <c r="GA27" s="31">
        <f t="shared" ref="GA27:GA28" si="184">$FY27*FW27</f>
        <v>0.21317330162092721</v>
      </c>
      <c r="GB27" s="31">
        <f t="shared" ref="GB27:GB28" si="185">$FY27*FX27</f>
        <v>1.1420238045805581E-2</v>
      </c>
      <c r="GC27" s="697">
        <f t="shared" si="33"/>
        <v>986.04985017661829</v>
      </c>
      <c r="GD27">
        <v>2.34</v>
      </c>
      <c r="GE27">
        <f t="shared" si="34"/>
        <v>948985.01056251593</v>
      </c>
      <c r="GF27" s="446">
        <f t="shared" si="116"/>
        <v>948.98501056251598</v>
      </c>
      <c r="GG27">
        <v>512.9</v>
      </c>
      <c r="GH27" s="446">
        <f t="shared" si="35"/>
        <v>832.02463575643492</v>
      </c>
      <c r="GJ27" s="31"/>
      <c r="GK27" s="31"/>
      <c r="GL27" s="31"/>
      <c r="GM27" s="31"/>
      <c r="GO27" s="677" t="s">
        <v>199</v>
      </c>
      <c r="GP27" s="668">
        <v>5748</v>
      </c>
      <c r="GQ27" s="668">
        <v>2775</v>
      </c>
      <c r="GR27" s="669">
        <v>0.48</v>
      </c>
      <c r="GS27" s="670">
        <v>41.09</v>
      </c>
      <c r="GT27" s="678">
        <v>14999</v>
      </c>
      <c r="GU27" s="133">
        <f t="shared" si="158"/>
        <v>1.8259792242447347E-2</v>
      </c>
      <c r="GV27" s="133">
        <f t="shared" ref="GV27:GV28" si="186">(GP27-GP20-GP13)/GP27</f>
        <v>5.2192066805845506E-4</v>
      </c>
      <c r="GW27" s="133">
        <f t="shared" si="170"/>
        <v>0</v>
      </c>
      <c r="GY27" s="31">
        <f t="shared" ref="GY27:GY28" si="187">GT27*(GP27-GP20-GP13)/1000000</f>
        <v>4.4997000000000002E-2</v>
      </c>
      <c r="GZ27" s="133">
        <f t="shared" si="15"/>
        <v>1.0593191619743885E-5</v>
      </c>
      <c r="HB27" t="str">
        <f>GO21</f>
        <v>Vörubifreiðar &gt;12t</v>
      </c>
      <c r="HC27" t="s">
        <v>158</v>
      </c>
      <c r="HD27" s="160">
        <f>GZ13</f>
        <v>9.2119592142013082E-4</v>
      </c>
      <c r="HE27" s="31">
        <f t="shared" si="36"/>
        <v>1.2325978412356815</v>
      </c>
      <c r="HF27">
        <v>25</v>
      </c>
      <c r="HG27">
        <f t="shared" si="117"/>
        <v>0.25</v>
      </c>
      <c r="HH27">
        <v>0.75</v>
      </c>
      <c r="HI27">
        <f t="shared" si="118"/>
        <v>0.1875</v>
      </c>
      <c r="HJ27">
        <v>44.3</v>
      </c>
      <c r="HK27">
        <f t="shared" si="119"/>
        <v>8.3062499999999986</v>
      </c>
      <c r="HL27">
        <v>72.512080209241503</v>
      </c>
      <c r="HM27">
        <f>15.8206501432308/1000</f>
        <v>1.5820650143230801E-2</v>
      </c>
      <c r="HN27">
        <f>0.84755262174617/1000</f>
        <v>8.4755262174616996E-4</v>
      </c>
      <c r="HO27" s="31">
        <f t="shared" si="37"/>
        <v>10.238265818763878</v>
      </c>
      <c r="HP27" s="31">
        <f t="shared" si="72"/>
        <v>742.39795225374201</v>
      </c>
      <c r="HQ27" s="31">
        <f t="shared" ref="HQ27:HQ28" si="188">$HO27*HM27</f>
        <v>0.16197602159206176</v>
      </c>
      <c r="HR27" s="31">
        <f t="shared" ref="HR27:HR28" si="189">$HO27*HN27</f>
        <v>8.6774690368275221E-3</v>
      </c>
      <c r="HS27" s="697">
        <f t="shared" si="39"/>
        <v>749.23281015307907</v>
      </c>
      <c r="HT27">
        <v>2.34</v>
      </c>
      <c r="HU27">
        <f t="shared" si="40"/>
        <v>721069.73712287354</v>
      </c>
      <c r="HV27" s="446">
        <f t="shared" si="120"/>
        <v>721.06973712287356</v>
      </c>
      <c r="HW27">
        <v>512.9</v>
      </c>
      <c r="HX27" s="446">
        <f t="shared" si="41"/>
        <v>632.19943276978097</v>
      </c>
    </row>
    <row r="28" spans="1:247" ht="16.5" customHeight="1" thickBot="1">
      <c r="A28" s="969"/>
      <c r="B28" s="366" t="s">
        <v>17</v>
      </c>
      <c r="C28" s="367">
        <v>42024</v>
      </c>
      <c r="D28" s="368">
        <v>42513</v>
      </c>
      <c r="E28" s="369">
        <v>40787</v>
      </c>
      <c r="F28" s="408">
        <v>125324</v>
      </c>
      <c r="G28" s="407">
        <v>594517</v>
      </c>
      <c r="H28" s="1023"/>
      <c r="I28" s="387">
        <v>4.4619553058738722E-2</v>
      </c>
      <c r="J28" s="388">
        <v>3.0547273737935216E-2</v>
      </c>
      <c r="K28" s="389">
        <v>3.769085549630713E-2</v>
      </c>
      <c r="L28" s="390">
        <v>3.769085549630713E-2</v>
      </c>
      <c r="M28" s="552">
        <v>4.3311761643636926E-2</v>
      </c>
      <c r="O28" s="219">
        <v>2022</v>
      </c>
      <c r="P28" s="173">
        <f>M244</f>
        <v>1.5673284626551043E-2</v>
      </c>
      <c r="Q28" s="98">
        <f>Q27*(1+P28)</f>
        <v>5.6111146044444986</v>
      </c>
      <c r="R28" s="698">
        <f>Q28*365*0.65</f>
        <v>1331.2369399044574</v>
      </c>
      <c r="S28" s="96">
        <f>Q28/0.16</f>
        <v>35.069466277778119</v>
      </c>
      <c r="T28" s="96">
        <f>S28/0.0194</f>
        <v>1807.7044473081505</v>
      </c>
      <c r="U28" s="698">
        <f>T28*$U$16</f>
        <v>1175.007890750298</v>
      </c>
      <c r="V28">
        <f>V27*(1+P28)</f>
        <v>1296544.170736803</v>
      </c>
      <c r="W28">
        <f>V28/10^6*$W$16</f>
        <v>6.4438245285619109</v>
      </c>
      <c r="X28" s="446">
        <f>W28/$S$16/$T$16*$U$16</f>
        <v>1349.3833581073591</v>
      </c>
      <c r="AA28" s="843" t="s">
        <v>471</v>
      </c>
      <c r="AB28" s="845">
        <v>1393</v>
      </c>
      <c r="AC28" s="843">
        <v>861</v>
      </c>
      <c r="AD28" s="844">
        <v>0.62</v>
      </c>
      <c r="AE28" s="843">
        <v>43.72</v>
      </c>
      <c r="AF28" s="850">
        <v>15959</v>
      </c>
      <c r="AH28" s="133">
        <f t="shared" si="150"/>
        <v>5.1666264859151012E-3</v>
      </c>
      <c r="AI28" s="133">
        <f t="shared" si="151"/>
        <v>3.1934425013445096E-3</v>
      </c>
      <c r="AK28" s="31">
        <f>AF28*AB28/1000000</f>
        <v>22.230886999999999</v>
      </c>
      <c r="AL28" s="133">
        <f t="shared" si="6"/>
        <v>4.5245488314478834E-3</v>
      </c>
      <c r="AO28" t="s">
        <v>25</v>
      </c>
      <c r="AP28" s="160">
        <f>AL21</f>
        <v>5.17278538335261E-2</v>
      </c>
      <c r="AQ28" s="31">
        <f t="shared" si="42"/>
        <v>69.800705113570075</v>
      </c>
      <c r="AR28">
        <v>21.22</v>
      </c>
      <c r="AS28">
        <f t="shared" si="43"/>
        <v>0.2122</v>
      </c>
      <c r="AT28">
        <v>0.86499999999999999</v>
      </c>
      <c r="AU28">
        <f t="shared" si="44"/>
        <v>0.18355299999999999</v>
      </c>
      <c r="AV28">
        <v>43</v>
      </c>
      <c r="AW28">
        <f t="shared" si="45"/>
        <v>7.892779</v>
      </c>
      <c r="AX28">
        <v>74.054734089485507</v>
      </c>
      <c r="AY28">
        <v>1.4363980931045299E-3</v>
      </c>
      <c r="AZ28">
        <v>3.0837733297494202E-3</v>
      </c>
      <c r="BA28" s="31">
        <f t="shared" si="46"/>
        <v>550.92153950557849</v>
      </c>
      <c r="BB28" s="31">
        <f t="shared" si="47"/>
        <v>40798.348112255597</v>
      </c>
      <c r="BC28" s="31">
        <f t="shared" si="48"/>
        <v>0.79134264879602489</v>
      </c>
      <c r="BD28" s="31">
        <f t="shared" si="49"/>
        <v>1.6989171503117946</v>
      </c>
      <c r="BE28" s="697">
        <f t="shared" si="50"/>
        <v>41270.718751254513</v>
      </c>
      <c r="BF28">
        <v>2.72</v>
      </c>
      <c r="BG28">
        <f t="shared" si="51"/>
        <v>40287850.180270828</v>
      </c>
      <c r="BH28" s="446">
        <f t="shared" si="52"/>
        <v>40287.850180270827</v>
      </c>
      <c r="BI28">
        <v>630.9</v>
      </c>
      <c r="BJ28" s="446">
        <f t="shared" si="53"/>
        <v>44037.264856151356</v>
      </c>
      <c r="BR28" s="782" t="s">
        <v>471</v>
      </c>
      <c r="BS28" s="784">
        <v>1400</v>
      </c>
      <c r="BT28" s="782">
        <v>899</v>
      </c>
      <c r="BU28" s="783">
        <v>0.64</v>
      </c>
      <c r="BV28" s="782">
        <v>39.1</v>
      </c>
      <c r="BW28" s="784">
        <v>14273</v>
      </c>
      <c r="BY28" s="133">
        <f t="shared" si="152"/>
        <v>5.1925894330805038E-3</v>
      </c>
      <c r="BZ28" s="133">
        <f t="shared" si="152"/>
        <v>3.3343842145281233E-3</v>
      </c>
      <c r="CB28" s="31">
        <f>BW28*BS28/1000000</f>
        <v>19.982199999999999</v>
      </c>
      <c r="CC28" s="133">
        <f t="shared" si="0"/>
        <v>4.7949901783664898E-3</v>
      </c>
      <c r="CF28" t="s">
        <v>25</v>
      </c>
      <c r="CG28" s="160">
        <f>CC21</f>
        <v>4.2112401619896093E-2</v>
      </c>
      <c r="CH28" s="31">
        <f t="shared" si="54"/>
        <v>55.94887133091742</v>
      </c>
      <c r="CI28">
        <v>21.22</v>
      </c>
      <c r="CJ28">
        <f t="shared" si="55"/>
        <v>0.2122</v>
      </c>
      <c r="CK28">
        <v>0.86499999999999999</v>
      </c>
      <c r="CL28">
        <f t="shared" si="56"/>
        <v>0.18355299999999999</v>
      </c>
      <c r="CM28">
        <v>43</v>
      </c>
      <c r="CN28">
        <f t="shared" si="57"/>
        <v>7.892779</v>
      </c>
      <c r="CO28">
        <v>74.054734089485507</v>
      </c>
      <c r="CP28">
        <v>1.4363980931045299E-3</v>
      </c>
      <c r="CQ28">
        <v>3.0837733297494202E-3</v>
      </c>
      <c r="CR28" s="31">
        <f t="shared" si="16"/>
        <v>441.59207671436707</v>
      </c>
      <c r="CS28" s="31">
        <f t="shared" si="17"/>
        <v>32701.983817106138</v>
      </c>
      <c r="CT28" s="31">
        <f t="shared" si="18"/>
        <v>0.63430201692258614</v>
      </c>
      <c r="CU28" s="31">
        <f t="shared" si="19"/>
        <v>1.3617698688004252</v>
      </c>
      <c r="CV28" s="697">
        <f t="shared" si="20"/>
        <v>33080.613288812085</v>
      </c>
      <c r="CW28">
        <v>2.72</v>
      </c>
      <c r="CX28">
        <f t="shared" si="21"/>
        <v>32292793.35026424</v>
      </c>
      <c r="CY28" s="446">
        <f t="shared" si="58"/>
        <v>32292.793350264241</v>
      </c>
      <c r="CZ28">
        <v>630.9</v>
      </c>
      <c r="DA28" s="446">
        <f t="shared" si="22"/>
        <v>35298.142922675805</v>
      </c>
      <c r="DI28" s="679" t="s">
        <v>471</v>
      </c>
      <c r="DJ28" s="673">
        <v>1419</v>
      </c>
      <c r="DK28" s="671">
        <v>708</v>
      </c>
      <c r="DL28" s="672">
        <v>0.5</v>
      </c>
      <c r="DM28" s="671">
        <v>40.450000000000003</v>
      </c>
      <c r="DN28" s="680">
        <v>14764</v>
      </c>
      <c r="DP28" s="133">
        <f t="shared" si="154"/>
        <v>5.2630602896723104E-3</v>
      </c>
      <c r="DQ28" s="133">
        <f t="shared" si="154"/>
        <v>2.6259666561578546E-3</v>
      </c>
      <c r="DS28" s="31">
        <f>DN28*DJ28/1000000</f>
        <v>20.950116000000001</v>
      </c>
      <c r="DT28" s="133">
        <f>DS28/$DS$36</f>
        <v>5.027254279090323E-3</v>
      </c>
      <c r="DW28" t="s">
        <v>25</v>
      </c>
      <c r="DX28" s="160">
        <f>DT21</f>
        <v>3.9535258413786592E-2</v>
      </c>
      <c r="DY28" s="31">
        <f t="shared" si="23"/>
        <v>48.026834560648616</v>
      </c>
      <c r="DZ28">
        <v>21.22</v>
      </c>
      <c r="EA28">
        <f t="shared" si="109"/>
        <v>0.2122</v>
      </c>
      <c r="EB28">
        <v>0.86499999999999999</v>
      </c>
      <c r="EC28">
        <f t="shared" si="110"/>
        <v>0.18355299999999999</v>
      </c>
      <c r="ED28">
        <v>43</v>
      </c>
      <c r="EE28">
        <f t="shared" si="111"/>
        <v>7.892779</v>
      </c>
      <c r="EF28">
        <v>73.367479939063301</v>
      </c>
      <c r="EG28">
        <f>2.07749454663654/1000</f>
        <v>2.0774945466365403E-3</v>
      </c>
      <c r="EH28">
        <f>2.35970659533889/1000</f>
        <v>2.3597065953388898E-3</v>
      </c>
      <c r="EI28" s="31">
        <f t="shared" si="24"/>
        <v>379.06519125676164</v>
      </c>
      <c r="EJ28" s="31">
        <f t="shared" si="25"/>
        <v>27811.057815127653</v>
      </c>
      <c r="EK28" s="31">
        <f t="shared" si="26"/>
        <v>0.78750586765565944</v>
      </c>
      <c r="EL28" s="31">
        <f t="shared" si="27"/>
        <v>0.89448263187197807</v>
      </c>
      <c r="EM28" s="697">
        <f t="shared" si="62"/>
        <v>28070.145876868086</v>
      </c>
      <c r="EN28">
        <v>2.72</v>
      </c>
      <c r="EO28">
        <f t="shared" si="28"/>
        <v>27720320.479053412</v>
      </c>
      <c r="EP28" s="446">
        <f t="shared" si="112"/>
        <v>27720.320479053411</v>
      </c>
      <c r="EQ28">
        <v>630.9</v>
      </c>
      <c r="ER28" s="446">
        <f t="shared" si="29"/>
        <v>30300.129924313213</v>
      </c>
      <c r="EY28" s="199" t="s">
        <v>201</v>
      </c>
      <c r="EZ28" s="200">
        <v>6961</v>
      </c>
      <c r="FA28" s="200">
        <v>3398</v>
      </c>
      <c r="FB28" s="201">
        <v>0.49</v>
      </c>
      <c r="FC28" s="202">
        <v>67.81</v>
      </c>
      <c r="FD28" s="203">
        <v>24751</v>
      </c>
      <c r="FE28" s="133">
        <f t="shared" si="156"/>
        <v>2.2113154801613775E-2</v>
      </c>
      <c r="FF28" s="133">
        <f t="shared" si="166"/>
        <v>4.1660680936647029E-3</v>
      </c>
      <c r="FG28" s="133">
        <f t="shared" si="166"/>
        <v>2.0600353148911123E-3</v>
      </c>
      <c r="FI28" s="31">
        <f t="shared" si="167"/>
        <v>0.71777899999999994</v>
      </c>
      <c r="FJ28" s="133">
        <f t="shared" si="12"/>
        <v>1.6897949835829377E-4</v>
      </c>
      <c r="FM28" t="s">
        <v>25</v>
      </c>
      <c r="FN28" s="160">
        <f>FJ21</f>
        <v>4.0350383840320928E-2</v>
      </c>
      <c r="FO28" s="31">
        <f t="shared" si="30"/>
        <v>54.589063886438197</v>
      </c>
      <c r="FP28">
        <v>21.22</v>
      </c>
      <c r="FQ28">
        <f t="shared" si="113"/>
        <v>0.2122</v>
      </c>
      <c r="FR28">
        <v>0.86499999999999999</v>
      </c>
      <c r="FS28">
        <f t="shared" si="114"/>
        <v>0.18355299999999999</v>
      </c>
      <c r="FT28">
        <v>43</v>
      </c>
      <c r="FU28">
        <f t="shared" si="115"/>
        <v>7.892779</v>
      </c>
      <c r="FV28">
        <v>73.367479939063315</v>
      </c>
      <c r="FW28">
        <f>2.07749454663654/1000</f>
        <v>2.0774945466365403E-3</v>
      </c>
      <c r="FX28">
        <f>2.35970659533889/1000</f>
        <v>2.3597065953388898E-3</v>
      </c>
      <c r="FY28" s="31">
        <f t="shared" si="31"/>
        <v>430.85941707253778</v>
      </c>
      <c r="FZ28" s="31">
        <f t="shared" si="67"/>
        <v>31611.06963862593</v>
      </c>
      <c r="GA28" s="31">
        <f t="shared" si="184"/>
        <v>0.89510808933519592</v>
      </c>
      <c r="GB28" s="31">
        <f t="shared" si="185"/>
        <v>1.0167018081299368</v>
      </c>
      <c r="GC28" s="697">
        <f t="shared" si="33"/>
        <v>31905.558644281748</v>
      </c>
      <c r="GD28">
        <v>2.72</v>
      </c>
      <c r="GE28">
        <f t="shared" si="34"/>
        <v>31507934.250229947</v>
      </c>
      <c r="GF28" s="446">
        <f t="shared" si="116"/>
        <v>31507.934250229948</v>
      </c>
      <c r="GG28">
        <v>630.9</v>
      </c>
      <c r="GH28" s="446">
        <f t="shared" si="35"/>
        <v>34440.24040595386</v>
      </c>
      <c r="GJ28" s="31"/>
      <c r="GK28" s="31"/>
      <c r="GL28" s="31"/>
      <c r="GM28" s="31"/>
      <c r="GO28" s="699" t="s">
        <v>201</v>
      </c>
      <c r="GP28" s="700">
        <v>6735</v>
      </c>
      <c r="GQ28" s="700">
        <v>3233</v>
      </c>
      <c r="GR28" s="701">
        <v>0.48</v>
      </c>
      <c r="GS28" s="702">
        <v>69.61</v>
      </c>
      <c r="GT28" s="703">
        <v>25409</v>
      </c>
      <c r="GU28" s="133">
        <f t="shared" si="158"/>
        <v>2.1395215858191177E-2</v>
      </c>
      <c r="GV28" s="133">
        <f t="shared" si="186"/>
        <v>4.0089086859688193E-3</v>
      </c>
      <c r="GW28" s="133">
        <f t="shared" si="170"/>
        <v>2.1651716671821837E-3</v>
      </c>
      <c r="GY28" s="31">
        <f t="shared" si="187"/>
        <v>0.68604299999999996</v>
      </c>
      <c r="GZ28" s="133">
        <f t="shared" si="15"/>
        <v>1.6150821073369231E-4</v>
      </c>
      <c r="HC28" t="s">
        <v>25</v>
      </c>
      <c r="HD28" s="160">
        <f>GZ21</f>
        <v>4.0104480166099216E-2</v>
      </c>
      <c r="HE28" s="31">
        <f t="shared" si="36"/>
        <v>53.66143566984843</v>
      </c>
      <c r="HF28">
        <v>21.22</v>
      </c>
      <c r="HG28">
        <f t="shared" si="117"/>
        <v>0.2122</v>
      </c>
      <c r="HH28">
        <v>0.86499999999999999</v>
      </c>
      <c r="HI28">
        <f t="shared" si="118"/>
        <v>0.18355299999999999</v>
      </c>
      <c r="HJ28">
        <v>43</v>
      </c>
      <c r="HK28">
        <f t="shared" si="119"/>
        <v>7.892779</v>
      </c>
      <c r="HL28">
        <v>73.367479939063315</v>
      </c>
      <c r="HM28">
        <f>2.07749454663654/1000</f>
        <v>2.0774945466365403E-3</v>
      </c>
      <c r="HN28">
        <f>2.35970659533889/1000</f>
        <v>2.3597065953388898E-3</v>
      </c>
      <c r="HO28" s="31">
        <f t="shared" si="37"/>
        <v>423.53785256483064</v>
      </c>
      <c r="HP28" s="31">
        <f t="shared" si="72"/>
        <v>31073.904901484169</v>
      </c>
      <c r="HQ28" s="31">
        <f t="shared" si="188"/>
        <v>0.87989757899758669</v>
      </c>
      <c r="HR28" s="31">
        <f t="shared" si="189"/>
        <v>0.99942506407290121</v>
      </c>
      <c r="HS28" s="697">
        <f t="shared" si="39"/>
        <v>31363.389675675422</v>
      </c>
      <c r="HT28">
        <v>2.72</v>
      </c>
      <c r="HU28">
        <f t="shared" si="40"/>
        <v>30972522.085665796</v>
      </c>
      <c r="HV28" s="446">
        <f t="shared" si="120"/>
        <v>30972.522085665794</v>
      </c>
      <c r="HW28">
        <v>630.9</v>
      </c>
      <c r="HX28" s="446">
        <f t="shared" si="41"/>
        <v>33854.999764107371</v>
      </c>
    </row>
    <row r="29" spans="1:247" ht="16.5" customHeight="1" thickBot="1">
      <c r="A29" s="969"/>
      <c r="B29" s="366" t="s">
        <v>18</v>
      </c>
      <c r="C29" s="367">
        <v>39411</v>
      </c>
      <c r="D29" s="368">
        <v>41522</v>
      </c>
      <c r="E29" s="369">
        <v>40763</v>
      </c>
      <c r="F29" s="408">
        <v>121696</v>
      </c>
      <c r="G29" s="407">
        <v>716213</v>
      </c>
      <c r="H29" s="1023"/>
      <c r="I29" s="387">
        <v>8.6762899262899269E-3</v>
      </c>
      <c r="J29" s="388">
        <v>9.4598945048413857E-3</v>
      </c>
      <c r="K29" s="389">
        <v>7.5673527512378769E-3</v>
      </c>
      <c r="L29" s="390">
        <v>7.5673527512378769E-3</v>
      </c>
      <c r="M29" s="552">
        <v>3.7060434854939039E-2</v>
      </c>
      <c r="AA29" s="963" t="s">
        <v>218</v>
      </c>
      <c r="AB29" s="964"/>
      <c r="AC29" s="964"/>
      <c r="AD29" s="964"/>
      <c r="AE29" s="964"/>
      <c r="AF29" s="965"/>
      <c r="AK29" s="31">
        <f>AF29*AB29/1000000</f>
        <v>0</v>
      </c>
      <c r="AL29" s="133">
        <f t="shared" si="6"/>
        <v>0</v>
      </c>
      <c r="BR29" s="1014" t="s">
        <v>218</v>
      </c>
      <c r="BS29" s="1014"/>
      <c r="BT29" s="1014"/>
      <c r="BU29" s="1014"/>
      <c r="BV29" s="1014"/>
      <c r="BW29" s="1014"/>
      <c r="CB29" s="31">
        <f>BW29*BS29/1000000</f>
        <v>0</v>
      </c>
      <c r="CC29" s="133">
        <f t="shared" si="0"/>
        <v>0</v>
      </c>
      <c r="DI29" s="690" t="s">
        <v>218</v>
      </c>
      <c r="DJ29" s="691"/>
      <c r="DK29" s="691"/>
      <c r="DL29" s="691"/>
      <c r="DM29" s="691"/>
      <c r="DN29" s="692"/>
      <c r="DS29" s="31">
        <f>DN29*DJ29/1000000</f>
        <v>0</v>
      </c>
      <c r="DT29" s="133">
        <f t="shared" si="1"/>
        <v>0</v>
      </c>
      <c r="EZ29" s="32">
        <f>SUM(EZ23:EZ28)</f>
        <v>314790</v>
      </c>
      <c r="FI29" s="31">
        <f>FI9+FI16+FI23</f>
        <v>3482.7799809999997</v>
      </c>
      <c r="FJ29" s="133">
        <f t="shared" si="12"/>
        <v>0.81991589901862261</v>
      </c>
      <c r="GC29" s="446"/>
      <c r="GF29" s="446"/>
      <c r="GH29" s="446"/>
      <c r="GP29" s="32">
        <f>SUM(GP23:GP28)</f>
        <v>311123</v>
      </c>
      <c r="GY29" s="31">
        <f>GY9+GY16+GY23</f>
        <v>3450.0118620000003</v>
      </c>
      <c r="GZ29" s="133">
        <f t="shared" si="15"/>
        <v>0.81220162998767464</v>
      </c>
      <c r="HS29" s="446"/>
      <c r="HV29" s="446"/>
      <c r="HX29" s="446"/>
    </row>
    <row r="30" spans="1:247" ht="16.5" customHeight="1" thickBot="1">
      <c r="A30" s="969"/>
      <c r="B30" s="366" t="s">
        <v>19</v>
      </c>
      <c r="C30" s="367">
        <v>35789</v>
      </c>
      <c r="D30" s="368">
        <v>39723</v>
      </c>
      <c r="E30" s="369">
        <v>39963</v>
      </c>
      <c r="F30" s="370">
        <v>115475</v>
      </c>
      <c r="G30" s="407">
        <v>831688</v>
      </c>
      <c r="H30" s="1023"/>
      <c r="I30" s="387">
        <v>3.4573468620819239E-2</v>
      </c>
      <c r="J30" s="388">
        <v>3.1016315666585661E-2</v>
      </c>
      <c r="K30" s="389">
        <v>2.9310196741624051E-2</v>
      </c>
      <c r="L30" s="390">
        <v>2.9310196741624051E-2</v>
      </c>
      <c r="M30" s="552">
        <v>3.5977389651791203E-2</v>
      </c>
      <c r="Q30" s="135">
        <f t="shared" ref="Q30:X30" si="190">(Q25-Q18)/Q18</f>
        <v>0.32831075100692003</v>
      </c>
      <c r="R30" s="135">
        <f t="shared" si="190"/>
        <v>0.32831075100692009</v>
      </c>
      <c r="S30" s="135">
        <f t="shared" si="190"/>
        <v>0.32831075100691998</v>
      </c>
      <c r="T30" s="135">
        <f t="shared" si="190"/>
        <v>0.32831075100691992</v>
      </c>
      <c r="U30" s="135">
        <f t="shared" si="190"/>
        <v>0.32831075100691998</v>
      </c>
      <c r="V30" s="135">
        <f t="shared" si="190"/>
        <v>0.3283107510069197</v>
      </c>
      <c r="W30" s="135">
        <f t="shared" si="190"/>
        <v>0.3283107510069197</v>
      </c>
      <c r="X30" s="135">
        <f t="shared" si="190"/>
        <v>0.32831075100691964</v>
      </c>
      <c r="AA30" s="843" t="s">
        <v>169</v>
      </c>
      <c r="AB30" s="845">
        <v>287550</v>
      </c>
      <c r="AC30" s="845">
        <v>147943</v>
      </c>
      <c r="AD30" s="844">
        <v>0.51</v>
      </c>
      <c r="AE30" s="843">
        <v>38.25</v>
      </c>
      <c r="AF30" s="850">
        <v>13961</v>
      </c>
      <c r="AH30" s="133">
        <f>AB30/$AB$37</f>
        <v>0.85461067735809237</v>
      </c>
      <c r="AJ30" s="31">
        <f t="shared" ref="AJ30:AJ35" si="191">AE30*365*AB30/1000000</f>
        <v>4014.5574375000001</v>
      </c>
      <c r="AK30" s="31">
        <f>AK9+AK16+AK23+AK25+AK24+AK26+AK27+AK28</f>
        <v>3980.9432390000002</v>
      </c>
      <c r="AL30" s="133">
        <f t="shared" si="6"/>
        <v>0.81022282557046887</v>
      </c>
      <c r="AP30" s="160"/>
      <c r="AQ30" s="31"/>
      <c r="BA30" s="31">
        <f>SUM(BA11:BA29)</f>
        <v>4615.0652533896127</v>
      </c>
      <c r="BB30" s="31">
        <f>SUM(BB11:BB29)</f>
        <v>337164.77549754735</v>
      </c>
      <c r="BC30" s="31">
        <f>SUM(BC11:BC29)</f>
        <v>12.30347558676303</v>
      </c>
      <c r="BD30" s="31">
        <f>SUM(BD11:BD29)</f>
        <v>9.1866890014605751</v>
      </c>
      <c r="BE30" s="697">
        <f>BB30+BC30*BC8+BD30*BD8</f>
        <v>339943.7453993638</v>
      </c>
      <c r="BG30" s="31">
        <f>SUM(BG11:BG29)</f>
        <v>340184279.52876097</v>
      </c>
      <c r="BH30" s="697">
        <f>SUM(BH11:BH29)</f>
        <v>340184.27952876082</v>
      </c>
      <c r="BJ30" s="446">
        <f>SUM(BJ11:BJ28)</f>
        <v>309416.67930796801</v>
      </c>
      <c r="BR30" s="782" t="s">
        <v>169</v>
      </c>
      <c r="BS30" s="784">
        <v>275259</v>
      </c>
      <c r="BT30" s="784">
        <v>142155</v>
      </c>
      <c r="BU30" s="783">
        <v>0.52</v>
      </c>
      <c r="BV30" s="782">
        <v>34.94</v>
      </c>
      <c r="BW30" s="784">
        <v>12755</v>
      </c>
      <c r="BY30" s="133">
        <f t="shared" ref="BY30:BY35" si="192">BS30/$DJ$37</f>
        <v>0.87302327351614684</v>
      </c>
      <c r="CA30" s="31">
        <f t="shared" ref="CA30:CA35" si="193">BV30*365*BS30/1000000</f>
        <v>3510.4055528999997</v>
      </c>
      <c r="CB30" s="31">
        <f>CB9+CB16+CB23+CB25+CB24+CB26+CB27+CB28</f>
        <v>3498.280996</v>
      </c>
      <c r="CC30" s="133">
        <f t="shared" si="0"/>
        <v>0.83945826870845763</v>
      </c>
      <c r="CG30" s="160"/>
      <c r="CH30" s="31"/>
      <c r="CR30" s="31">
        <f>SUM(CR11:CR29)</f>
        <v>4621.6268159467863</v>
      </c>
      <c r="CS30" s="31">
        <f>SUM(CS11:CS29)</f>
        <v>337315.16446952627</v>
      </c>
      <c r="CT30" s="31">
        <f>SUM(CT11:CT29)</f>
        <v>12.925734120045917</v>
      </c>
      <c r="CU30" s="31">
        <f>SUM(CU11:CU29)</f>
        <v>8.9222446093129584</v>
      </c>
      <c r="CV30" s="697">
        <f>CS30+CT30*CT8+CU30*CU8</f>
        <v>340041.47984635551</v>
      </c>
      <c r="CX30" s="31">
        <f>SUM(CX11:CX29)</f>
        <v>339406834.98118073</v>
      </c>
      <c r="CY30" s="697">
        <f>SUM(CY11:CY29)</f>
        <v>339406.83498118067</v>
      </c>
      <c r="DA30" s="446">
        <f>SUM(DA11:DA28)</f>
        <v>305915.83173803263</v>
      </c>
      <c r="DI30" s="679" t="s">
        <v>169</v>
      </c>
      <c r="DJ30" s="673">
        <v>269615</v>
      </c>
      <c r="DK30" s="673">
        <v>132157</v>
      </c>
      <c r="DL30" s="672">
        <v>0.49</v>
      </c>
      <c r="DM30" s="671">
        <v>34.700000000000003</v>
      </c>
      <c r="DN30" s="680">
        <v>12665</v>
      </c>
      <c r="DP30" s="133">
        <f t="shared" ref="DP30:DP35" si="194">DJ30/$DJ$37</f>
        <v>0.85512252056810467</v>
      </c>
      <c r="DR30" s="31">
        <f t="shared" ref="DR30:DR35" si="195">DM30*365*DJ30/1000000</f>
        <v>3414.8087825000007</v>
      </c>
      <c r="DS30" s="31">
        <f>DS9+DS16+DS23+DS25+DS24+DS26+DS27+DS28</f>
        <v>3440.7458899999992</v>
      </c>
      <c r="DT30" s="133">
        <f t="shared" si="1"/>
        <v>0.82565196769148863</v>
      </c>
      <c r="DX30" s="160"/>
      <c r="DY30" s="31"/>
      <c r="EI30" s="31">
        <f>SUM(EI11:EI29)</f>
        <v>4267.5058368225282</v>
      </c>
      <c r="EJ30" s="31">
        <f>SUM(EJ11:EJ29)</f>
        <v>311669.58258225967</v>
      </c>
      <c r="EK30" s="31">
        <f>SUM(EK11:EK29)</f>
        <v>13.229067824986219</v>
      </c>
      <c r="EL30" s="31">
        <f>SUM(EL11:EL29)</f>
        <v>8.2250103691629715</v>
      </c>
      <c r="EM30" s="697">
        <f>EJ30+EK30*EK8+EL30*EL8</f>
        <v>314219.6242291875</v>
      </c>
      <c r="EO30" s="31">
        <f>SUM(EO11:EO29)</f>
        <v>311994439.83959639</v>
      </c>
      <c r="EP30" s="697">
        <f>SUM(EP11:EP29)</f>
        <v>311994.43983959634</v>
      </c>
      <c r="ER30" s="446">
        <f>SUM(ER11:ER28)</f>
        <v>282883.58655835706</v>
      </c>
      <c r="EY30" t="str">
        <f t="shared" ref="EY30:EY35" si="196">EY23</f>
        <v>Fólksbifreiðar</v>
      </c>
      <c r="EZ30" s="32">
        <f t="shared" ref="EZ30:FA35" si="197">EZ23-(EZ9+EZ16)</f>
        <v>18978</v>
      </c>
      <c r="FA30" s="32">
        <f t="shared" si="197"/>
        <v>2842</v>
      </c>
      <c r="FB30" s="32"/>
      <c r="FC30" s="133">
        <f t="shared" ref="FC30:FC35" si="198">EZ30/EZ23</f>
        <v>7.0334476049291203E-2</v>
      </c>
      <c r="FD30" s="32"/>
      <c r="FI30" s="31">
        <f t="shared" ref="FI30:FI34" si="199">FI10+FI17+FI24</f>
        <v>35.946202999999997</v>
      </c>
      <c r="FJ30" s="133">
        <f t="shared" si="12"/>
        <v>8.4624534164769311E-3</v>
      </c>
      <c r="FN30" s="160"/>
      <c r="FO30" s="31"/>
      <c r="FY30" s="31">
        <f>SUM(FY11:FY29)</f>
        <v>4773.2539856640888</v>
      </c>
      <c r="FZ30" s="31">
        <f>SUM(FZ11:FZ29)</f>
        <v>348588.36764127942</v>
      </c>
      <c r="GA30" s="31">
        <f>SUM(GA11:GA29)</f>
        <v>15.120934635559038</v>
      </c>
      <c r="GB30" s="31">
        <f>SUM(GB11:GB29)</f>
        <v>8.9659963010579506</v>
      </c>
      <c r="GC30" s="697">
        <f>FZ30+GA30*GA8+GB30*GB8</f>
        <v>351387.74283085542</v>
      </c>
      <c r="GE30" s="31">
        <f>SUM(GE11:GE29)</f>
        <v>349950675.40065271</v>
      </c>
      <c r="GF30" s="697">
        <f>SUM(GF11:GF29)</f>
        <v>349950.67540065275</v>
      </c>
      <c r="GH30" s="446">
        <f>SUM(GH11:GH28)</f>
        <v>313037.37046740734</v>
      </c>
      <c r="GJ30" s="31"/>
      <c r="GK30" s="31"/>
      <c r="GL30" s="31"/>
      <c r="GM30" s="31"/>
      <c r="GO30" t="str">
        <f t="shared" ref="GO30:GO35" si="200">GO23</f>
        <v>Fólksbifreiðar</v>
      </c>
      <c r="GP30" s="32">
        <f t="shared" ref="GP30:GQ30" si="201">GP23-(GP9+GP16)</f>
        <v>14848</v>
      </c>
      <c r="GQ30" s="32">
        <f t="shared" si="201"/>
        <v>-3962</v>
      </c>
      <c r="GR30" s="32"/>
      <c r="GS30" s="133">
        <f t="shared" ref="GS30:GS35" si="202">GP30/GP23</f>
        <v>5.5530830307087588E-2</v>
      </c>
      <c r="GT30" s="32"/>
      <c r="GY30" s="31">
        <f t="shared" ref="GY30:GY34" si="203">GY10+GY17+GY24</f>
        <v>38.655129999999993</v>
      </c>
      <c r="GZ30" s="133">
        <f t="shared" si="15"/>
        <v>9.1001888831724418E-3</v>
      </c>
      <c r="HD30" s="160"/>
      <c r="HE30" s="31"/>
      <c r="HO30" s="31">
        <f>SUM(HO11:HO29)</f>
        <v>4694.2374456076768</v>
      </c>
      <c r="HP30" s="31">
        <f>SUM(HP11:HP29)</f>
        <v>342760.7101142662</v>
      </c>
      <c r="HQ30" s="31">
        <f>SUM(HQ11:HQ29)</f>
        <v>15.306101446874012</v>
      </c>
      <c r="HR30" s="31">
        <f>SUM(HR11:HR29)</f>
        <v>8.7282008632460517</v>
      </c>
      <c r="HS30" s="697">
        <f>HP30+HQ30*HQ8+HR30*HR8</f>
        <v>345502.25418353884</v>
      </c>
      <c r="HU30" s="31">
        <f>SUM(HU11:HU29)</f>
        <v>342849862.39102733</v>
      </c>
      <c r="HV30" s="697">
        <f>SUM(HV11:HV29)</f>
        <v>342849.86239102727</v>
      </c>
      <c r="HX30" s="446">
        <f>SUM(HX11:HX28)</f>
        <v>309715.36567476881</v>
      </c>
    </row>
    <row r="31" spans="1:247" ht="16.5" customHeight="1" thickBot="1">
      <c r="A31" s="969"/>
      <c r="B31" s="366" t="s">
        <v>20</v>
      </c>
      <c r="C31" s="367">
        <v>38871</v>
      </c>
      <c r="D31" s="368">
        <v>40298.173510925189</v>
      </c>
      <c r="E31" s="369">
        <v>40485</v>
      </c>
      <c r="F31" s="370">
        <v>119654.17351092519</v>
      </c>
      <c r="G31" s="407">
        <v>951342.17351092515</v>
      </c>
      <c r="H31" s="1023"/>
      <c r="I31" s="387">
        <v>7.9085204584348912E-3</v>
      </c>
      <c r="J31" s="388">
        <v>2.6505455704659498E-2</v>
      </c>
      <c r="K31" s="389">
        <v>9.5811009062556352E-3</v>
      </c>
      <c r="L31" s="390">
        <v>9.5811009062556352E-3</v>
      </c>
      <c r="M31" s="552">
        <v>3.2581784222394994E-2</v>
      </c>
      <c r="AA31" s="842" t="s">
        <v>190</v>
      </c>
      <c r="AB31" s="840">
        <v>1313</v>
      </c>
      <c r="AC31" s="842">
        <v>744</v>
      </c>
      <c r="AD31" s="841">
        <v>0.56999999999999995</v>
      </c>
      <c r="AE31" s="842">
        <v>68.709999999999994</v>
      </c>
      <c r="AF31" s="849">
        <v>25080</v>
      </c>
      <c r="AH31" s="133">
        <f t="shared" ref="AH31:AH35" si="204">AB31/$AB$37</f>
        <v>3.9022911471784921E-3</v>
      </c>
      <c r="AJ31" s="31">
        <f t="shared" si="191"/>
        <v>32.928923949999998</v>
      </c>
      <c r="AK31" s="31">
        <f>AK11+AK17</f>
        <v>31.682828000000001</v>
      </c>
      <c r="AL31" s="133">
        <f t="shared" si="6"/>
        <v>6.4482583355474883E-3</v>
      </c>
      <c r="BR31" s="779" t="s">
        <v>190</v>
      </c>
      <c r="BS31" s="780">
        <v>1359</v>
      </c>
      <c r="BT31" s="779">
        <v>677</v>
      </c>
      <c r="BU31" s="781">
        <v>0.5</v>
      </c>
      <c r="BV31" s="779">
        <v>43.75</v>
      </c>
      <c r="BW31" s="780">
        <v>15969</v>
      </c>
      <c r="BY31" s="133">
        <f t="shared" si="192"/>
        <v>4.3102628023368667E-3</v>
      </c>
      <c r="CA31" s="31">
        <f t="shared" si="193"/>
        <v>21.701531249999999</v>
      </c>
      <c r="CB31" s="31">
        <f>CB11+CB17</f>
        <v>20.547265000000003</v>
      </c>
      <c r="CC31" s="133">
        <f t="shared" si="0"/>
        <v>4.9305849139380823E-3</v>
      </c>
      <c r="DI31" s="677" t="s">
        <v>190</v>
      </c>
      <c r="DJ31" s="668">
        <v>1356</v>
      </c>
      <c r="DK31" s="670">
        <v>608</v>
      </c>
      <c r="DL31" s="669">
        <v>0.45</v>
      </c>
      <c r="DM31" s="670">
        <v>56.72</v>
      </c>
      <c r="DN31" s="678">
        <v>20704</v>
      </c>
      <c r="DP31" s="133">
        <f>DJ31/$DJ$37</f>
        <v>4.3007478734133856E-3</v>
      </c>
      <c r="DR31" s="31">
        <f t="shared" si="195"/>
        <v>28.072996800000002</v>
      </c>
      <c r="DS31" s="31">
        <f>DS11+DS17</f>
        <v>27.639108</v>
      </c>
      <c r="DT31" s="133">
        <f t="shared" si="1"/>
        <v>6.6323653751243945E-3</v>
      </c>
      <c r="EY31" t="str">
        <f t="shared" si="196"/>
        <v>Hópbifreiðar ≤5t</v>
      </c>
      <c r="EZ31" s="32">
        <f t="shared" si="197"/>
        <v>-12</v>
      </c>
      <c r="FA31" s="32">
        <f t="shared" si="197"/>
        <v>0</v>
      </c>
      <c r="FB31" s="32"/>
      <c r="FC31" s="133">
        <f t="shared" si="198"/>
        <v>-8.658008658008658E-3</v>
      </c>
      <c r="FD31" s="32"/>
      <c r="FI31" s="31">
        <f t="shared" si="199"/>
        <v>83.429393000000005</v>
      </c>
      <c r="FJ31" s="133">
        <f t="shared" si="12"/>
        <v>1.9640943768871683E-2</v>
      </c>
      <c r="GC31" s="446"/>
      <c r="GF31" s="446"/>
      <c r="GH31" s="446"/>
      <c r="GO31" t="str">
        <f t="shared" si="200"/>
        <v>Hópbifreiðar ≤5t</v>
      </c>
      <c r="GP31" s="32">
        <f t="shared" ref="GP31:GQ31" si="205">GP24-(GP10+GP17)</f>
        <v>4</v>
      </c>
      <c r="GQ31" s="32">
        <f t="shared" si="205"/>
        <v>0</v>
      </c>
      <c r="GR31" s="32"/>
      <c r="GS31" s="133">
        <f t="shared" si="202"/>
        <v>2.7624309392265192E-3</v>
      </c>
      <c r="GT31" s="32"/>
      <c r="GY31" s="31">
        <f t="shared" si="203"/>
        <v>81.859247000000011</v>
      </c>
      <c r="GZ31" s="133">
        <f t="shared" si="15"/>
        <v>1.9271300071536875E-2</v>
      </c>
      <c r="HS31" s="446"/>
      <c r="HV31" s="446"/>
      <c r="HX31" s="446"/>
    </row>
    <row r="32" spans="1:247" ht="16.5" customHeight="1" thickBot="1">
      <c r="A32" s="969"/>
      <c r="B32" s="366" t="s">
        <v>211</v>
      </c>
      <c r="C32" s="367">
        <v>42702.306473651028</v>
      </c>
      <c r="D32" s="368">
        <v>41641</v>
      </c>
      <c r="E32" s="369">
        <v>41129</v>
      </c>
      <c r="F32" s="370">
        <v>125472.30647365103</v>
      </c>
      <c r="G32" s="407">
        <v>1076814.4799845761</v>
      </c>
      <c r="H32" s="1023"/>
      <c r="I32" s="387">
        <v>3.5107055646750082E-2</v>
      </c>
      <c r="J32" s="388">
        <v>5.5835087539148738E-2</v>
      </c>
      <c r="K32" s="389">
        <v>3.3612647239118054E-2</v>
      </c>
      <c r="L32" s="390">
        <v>3.3612647239118054E-2</v>
      </c>
      <c r="M32" s="552">
        <v>3.2701796332402111E-2</v>
      </c>
      <c r="O32" s="219">
        <v>2012</v>
      </c>
      <c r="AA32" s="843" t="s">
        <v>193</v>
      </c>
      <c r="AB32" s="845">
        <v>1848</v>
      </c>
      <c r="AC32" s="843">
        <v>1012</v>
      </c>
      <c r="AD32" s="844">
        <v>0.55000000000000004</v>
      </c>
      <c r="AE32" s="843">
        <v>119.66</v>
      </c>
      <c r="AF32" s="850">
        <v>43678</v>
      </c>
      <c r="AH32" s="133">
        <f t="shared" si="204"/>
        <v>5.4923336176586849E-3</v>
      </c>
      <c r="AJ32" s="31">
        <f t="shared" si="191"/>
        <v>80.713063200000008</v>
      </c>
      <c r="AK32" s="31">
        <f t="shared" ref="AK32:AK35" si="206">AK12+AK18</f>
        <v>142.71684499999998</v>
      </c>
      <c r="AL32" s="133">
        <f t="shared" si="6"/>
        <v>2.9046494378414979E-2</v>
      </c>
      <c r="BR32" s="782" t="s">
        <v>193</v>
      </c>
      <c r="BS32" s="784">
        <v>1772</v>
      </c>
      <c r="BT32" s="782">
        <v>878</v>
      </c>
      <c r="BU32" s="783">
        <v>0.5</v>
      </c>
      <c r="BV32" s="782">
        <v>82.85</v>
      </c>
      <c r="BW32" s="784">
        <v>30242</v>
      </c>
      <c r="BY32" s="133">
        <f t="shared" si="192"/>
        <v>5.6201513508027431E-3</v>
      </c>
      <c r="CA32" s="31">
        <f t="shared" si="193"/>
        <v>53.585722999999994</v>
      </c>
      <c r="CB32" s="31">
        <f t="shared" ref="CB32:CB35" si="207">CB12+CB18</f>
        <v>110.647164</v>
      </c>
      <c r="CC32" s="133">
        <f t="shared" si="0"/>
        <v>2.6551233830314293E-2</v>
      </c>
      <c r="CI32" t="s">
        <v>194</v>
      </c>
      <c r="CJ32" t="s">
        <v>158</v>
      </c>
      <c r="CK32">
        <v>70.9769741921898</v>
      </c>
      <c r="CL32">
        <v>7.3169105356480999E-3</v>
      </c>
      <c r="CM32">
        <v>6.0998104818480998E-4</v>
      </c>
      <c r="DI32" s="679" t="s">
        <v>193</v>
      </c>
      <c r="DJ32" s="673">
        <v>1749</v>
      </c>
      <c r="DK32" s="671">
        <v>795</v>
      </c>
      <c r="DL32" s="672">
        <v>0.45</v>
      </c>
      <c r="DM32" s="671">
        <v>113.34</v>
      </c>
      <c r="DN32" s="680">
        <v>41368</v>
      </c>
      <c r="DP32" s="133">
        <f t="shared" si="194"/>
        <v>5.5472035623893891E-3</v>
      </c>
      <c r="DR32" s="31">
        <f t="shared" si="195"/>
        <v>72.354555899999994</v>
      </c>
      <c r="DS32" s="31">
        <f t="shared" ref="DS32:DS35" si="208">DS12+DS18</f>
        <v>132.90707400000002</v>
      </c>
      <c r="DT32" s="133">
        <f t="shared" si="1"/>
        <v>3.1892790306644332E-2</v>
      </c>
      <c r="EY32" t="str">
        <f t="shared" si="196"/>
        <v>Hópbifreiðar &gt;5t</v>
      </c>
      <c r="EZ32" s="32">
        <f t="shared" si="197"/>
        <v>21</v>
      </c>
      <c r="FA32" s="32">
        <f t="shared" si="197"/>
        <v>1</v>
      </c>
      <c r="FB32" s="32"/>
      <c r="FC32" s="133">
        <f t="shared" si="198"/>
        <v>1.171875E-2</v>
      </c>
      <c r="FD32" s="32"/>
      <c r="FI32" s="31">
        <f>FI12+FI19+FI26</f>
        <v>390.29391499999997</v>
      </c>
      <c r="FJ32" s="133">
        <f t="shared" si="12"/>
        <v>9.1882975078672616E-2</v>
      </c>
      <c r="GC32" s="446"/>
      <c r="GF32" s="446"/>
      <c r="GH32" s="446"/>
      <c r="GO32" t="str">
        <f t="shared" si="200"/>
        <v>Hópbifreiðar &gt;5t</v>
      </c>
      <c r="GP32" s="32">
        <f t="shared" ref="GP32:GQ32" si="209">GP25-(GP11+GP18)</f>
        <v>21</v>
      </c>
      <c r="GQ32" s="32">
        <f t="shared" si="209"/>
        <v>1</v>
      </c>
      <c r="GR32" s="32"/>
      <c r="GS32" s="133">
        <f t="shared" si="202"/>
        <v>1.2E-2</v>
      </c>
      <c r="GT32" s="32"/>
      <c r="GY32" s="31">
        <f>GY12+GY19+GY26</f>
        <v>376.86854900000003</v>
      </c>
      <c r="GZ32" s="133">
        <f t="shared" si="15"/>
        <v>8.8722376047555118E-2</v>
      </c>
      <c r="HS32" s="446"/>
      <c r="HV32" s="446"/>
      <c r="HX32" s="446"/>
    </row>
    <row r="33" spans="1:232" ht="16.5" customHeight="1" thickBot="1">
      <c r="A33" s="969"/>
      <c r="B33" s="366" t="s">
        <v>213</v>
      </c>
      <c r="C33" s="367">
        <v>43343.136815972022</v>
      </c>
      <c r="D33" s="368">
        <v>42356</v>
      </c>
      <c r="E33" s="369">
        <v>40267</v>
      </c>
      <c r="F33" s="370">
        <v>125966.13681597202</v>
      </c>
      <c r="G33" s="407">
        <v>1202780.616800548</v>
      </c>
      <c r="H33" s="1023"/>
      <c r="I33" s="387">
        <v>9.8573954883459783E-2</v>
      </c>
      <c r="J33" s="388">
        <v>8.2009942227596402E-2</v>
      </c>
      <c r="K33" s="389">
        <v>8.522267532756711E-2</v>
      </c>
      <c r="L33" s="390">
        <v>8.522267532756711E-2</v>
      </c>
      <c r="M33" s="552">
        <v>3.7962723298757828E-2</v>
      </c>
      <c r="O33" s="219">
        <v>2013</v>
      </c>
      <c r="AA33" s="842" t="s">
        <v>197</v>
      </c>
      <c r="AB33" s="840">
        <v>31887</v>
      </c>
      <c r="AC33" s="840">
        <v>17763</v>
      </c>
      <c r="AD33" s="841">
        <v>0.56000000000000005</v>
      </c>
      <c r="AE33" s="842">
        <v>41.49</v>
      </c>
      <c r="AF33" s="849">
        <v>15143</v>
      </c>
      <c r="AH33" s="133">
        <f t="shared" si="204"/>
        <v>9.476950328262039E-2</v>
      </c>
      <c r="AJ33" s="31">
        <f t="shared" si="191"/>
        <v>482.89194494999998</v>
      </c>
      <c r="AK33" s="31">
        <f t="shared" si="206"/>
        <v>407.12562700000001</v>
      </c>
      <c r="AL33" s="133">
        <f t="shared" si="6"/>
        <v>8.2860381589602655E-2</v>
      </c>
      <c r="BA33" s="98">
        <f>BA11+BA14+BA15+BA18+BA19+BA21</f>
        <v>1480.6616022957946</v>
      </c>
      <c r="BB33" s="98">
        <f>BB11+BB14+BB15+BB18+BB19+BB21</f>
        <v>105092.88033351499</v>
      </c>
      <c r="BC33" s="98">
        <f t="shared" ref="BC33:BD33" si="210">BC11+BC14+BC15+BC18+BC19+BC21</f>
        <v>10.833868477567695</v>
      </c>
      <c r="BD33" s="98">
        <f t="shared" si="210"/>
        <v>0.90317551617538894</v>
      </c>
      <c r="BE33" s="98">
        <f>BE11+BE14+BE15+BE18+BE19+BE21</f>
        <v>105635.57016267339</v>
      </c>
      <c r="BR33" s="779" t="s">
        <v>197</v>
      </c>
      <c r="BS33" s="780">
        <v>30309</v>
      </c>
      <c r="BT33" s="780">
        <v>16714</v>
      </c>
      <c r="BU33" s="781">
        <v>0.55000000000000004</v>
      </c>
      <c r="BV33" s="779">
        <v>35.94</v>
      </c>
      <c r="BW33" s="780">
        <v>13118</v>
      </c>
      <c r="BY33" s="133">
        <f t="shared" si="192"/>
        <v>9.6129326913927948E-2</v>
      </c>
      <c r="CA33" s="31">
        <f t="shared" si="193"/>
        <v>397.59649289999999</v>
      </c>
      <c r="CB33" s="31">
        <f t="shared" si="207"/>
        <v>334.79102800000004</v>
      </c>
      <c r="CC33" s="133">
        <f t="shared" si="0"/>
        <v>8.0337484914835236E-2</v>
      </c>
      <c r="CJ33" t="s">
        <v>25</v>
      </c>
      <c r="CK33">
        <v>74.054734089485606</v>
      </c>
      <c r="CL33">
        <v>1.1457692289250001E-4</v>
      </c>
      <c r="CM33">
        <v>2.5659043229536902E-3</v>
      </c>
      <c r="CR33" s="98">
        <f>CR11+CR14+CR15+CR18+CR19+CR21</f>
        <v>1581.6524916452422</v>
      </c>
      <c r="CS33" s="98">
        <f>CS11+CS14+CS15+CS18+CS19+CS21</f>
        <v>112260.90808051702</v>
      </c>
      <c r="CT33" s="98">
        <f t="shared" ref="CT33:CV33" si="211">CT11+CT14+CT15+CT18+CT19+CT21</f>
        <v>11.572809779853138</v>
      </c>
      <c r="CU33" s="98">
        <f t="shared" si="211"/>
        <v>0.9647780447178812</v>
      </c>
      <c r="CV33" s="98">
        <f t="shared" si="211"/>
        <v>112840.61293620316</v>
      </c>
      <c r="DI33" s="677" t="s">
        <v>197</v>
      </c>
      <c r="DJ33" s="668">
        <v>29461</v>
      </c>
      <c r="DK33" s="668">
        <v>15234</v>
      </c>
      <c r="DL33" s="669">
        <v>0.52</v>
      </c>
      <c r="DM33" s="670">
        <v>36.14</v>
      </c>
      <c r="DN33" s="678">
        <v>13192</v>
      </c>
      <c r="DP33" s="133">
        <f>DJ33/$DJ$37</f>
        <v>9.3439773671557341E-2</v>
      </c>
      <c r="DR33" s="31">
        <f t="shared" si="195"/>
        <v>388.62299710000002</v>
      </c>
      <c r="DS33" s="31">
        <f t="shared" si="208"/>
        <v>323.39868100000001</v>
      </c>
      <c r="DT33" s="133">
        <f t="shared" si="1"/>
        <v>7.7603742285217728E-2</v>
      </c>
      <c r="EI33" s="98">
        <f>EI11+EI14+EI15+EI18+EI19+EI21</f>
        <v>1483.7240202545895</v>
      </c>
      <c r="EJ33" s="98">
        <f t="shared" ref="EJ33:EM33" si="212">EJ11+EJ14+EJ15+EJ18+EJ19+EJ21</f>
        <v>107446.16148784876</v>
      </c>
      <c r="EK33" s="98">
        <f t="shared" si="212"/>
        <v>11.689558754759702</v>
      </c>
      <c r="EL33" s="98">
        <f t="shared" si="212"/>
        <v>1.3875940513407452</v>
      </c>
      <c r="EM33" s="98">
        <f t="shared" si="212"/>
        <v>108141.18155658733</v>
      </c>
      <c r="EY33" t="str">
        <f t="shared" si="196"/>
        <v>Sendibifreiðar</v>
      </c>
      <c r="EZ33" s="32">
        <f t="shared" si="197"/>
        <v>448</v>
      </c>
      <c r="FA33" s="32">
        <f t="shared" si="197"/>
        <v>139</v>
      </c>
      <c r="FB33" s="32"/>
      <c r="FC33" s="133">
        <f t="shared" si="198"/>
        <v>1.5480839006185425E-2</v>
      </c>
      <c r="FD33" s="32"/>
      <c r="FI33" s="31">
        <f t="shared" si="199"/>
        <v>83.163577000000004</v>
      </c>
      <c r="FJ33" s="133">
        <f t="shared" si="12"/>
        <v>1.957836537867692E-2</v>
      </c>
      <c r="GC33" s="446"/>
      <c r="GF33" s="446"/>
      <c r="GH33" s="446"/>
      <c r="GO33" t="str">
        <f t="shared" si="200"/>
        <v>Sendibifreiðar</v>
      </c>
      <c r="GP33" s="32">
        <f t="shared" ref="GP33:GQ33" si="213">GP26-(GP12+GP19)</f>
        <v>376</v>
      </c>
      <c r="GQ33" s="32">
        <f t="shared" si="213"/>
        <v>133</v>
      </c>
      <c r="GR33" s="32"/>
      <c r="GS33" s="133">
        <f t="shared" si="202"/>
        <v>1.340033500837521E-2</v>
      </c>
      <c r="GT33" s="32"/>
      <c r="GY33" s="31">
        <f t="shared" si="203"/>
        <v>82.855469999999983</v>
      </c>
      <c r="GZ33" s="133">
        <f t="shared" si="15"/>
        <v>1.9505830843254898E-2</v>
      </c>
      <c r="HS33" s="446"/>
      <c r="HV33" s="446"/>
      <c r="HX33" s="446"/>
    </row>
    <row r="34" spans="1:232" ht="16.5" customHeight="1" thickBot="1">
      <c r="A34" s="969"/>
      <c r="B34" s="553" t="s">
        <v>216</v>
      </c>
      <c r="C34" s="367">
        <v>43214</v>
      </c>
      <c r="D34" s="368">
        <v>41768</v>
      </c>
      <c r="E34" s="369">
        <v>38748.857885665217</v>
      </c>
      <c r="F34" s="370">
        <v>123730.85788566522</v>
      </c>
      <c r="G34" s="407">
        <v>1326511.4746862133</v>
      </c>
      <c r="H34" s="1023"/>
      <c r="I34" s="387">
        <v>8.9996468748423541E-2</v>
      </c>
      <c r="J34" s="388">
        <v>4.4415457417999959E-2</v>
      </c>
      <c r="K34" s="389">
        <v>5.0364674151218258E-2</v>
      </c>
      <c r="L34" s="390">
        <v>5.0364674151218258E-2</v>
      </c>
      <c r="M34" s="552">
        <v>3.9107121675610257E-2</v>
      </c>
      <c r="O34" s="219">
        <v>2014</v>
      </c>
      <c r="AA34" s="843" t="s">
        <v>199</v>
      </c>
      <c r="AB34" s="845">
        <v>6364</v>
      </c>
      <c r="AC34" s="845">
        <v>3550</v>
      </c>
      <c r="AD34" s="844">
        <v>0.56000000000000005</v>
      </c>
      <c r="AE34" s="843">
        <v>44.68</v>
      </c>
      <c r="AF34" s="850">
        <v>16307</v>
      </c>
      <c r="AH34" s="133">
        <f t="shared" si="204"/>
        <v>1.891407529371205E-2</v>
      </c>
      <c r="AJ34" s="31">
        <f t="shared" si="191"/>
        <v>103.78538480000002</v>
      </c>
      <c r="AK34" s="31">
        <f t="shared" si="206"/>
        <v>96.765279000000007</v>
      </c>
      <c r="AL34" s="133">
        <f t="shared" si="6"/>
        <v>1.9694186292439814E-2</v>
      </c>
      <c r="BA34" s="98">
        <f>BA12+BA17+BA16+BA20+BA22</f>
        <v>2188.7925940894593</v>
      </c>
      <c r="BB34" s="98">
        <f>BB12+BB17+BB16+BB20+BB22</f>
        <v>162090.45353233028</v>
      </c>
      <c r="BC34" s="98">
        <f t="shared" ref="BC34:BD34" si="214">BC12+BC17+BC16+BC20+BC22</f>
        <v>0.25078512028066302</v>
      </c>
      <c r="BD34" s="98">
        <f t="shared" si="214"/>
        <v>5.616232379223165</v>
      </c>
      <c r="BE34" s="98">
        <f>BE12+BE17+BE16+BE20+BE22</f>
        <v>163585.77709619229</v>
      </c>
      <c r="BR34" s="782" t="s">
        <v>199</v>
      </c>
      <c r="BS34" s="784">
        <v>6222</v>
      </c>
      <c r="BT34" s="784">
        <v>3180</v>
      </c>
      <c r="BU34" s="783">
        <v>0.51</v>
      </c>
      <c r="BV34" s="782">
        <v>38.26</v>
      </c>
      <c r="BW34" s="784">
        <v>13966</v>
      </c>
      <c r="BY34" s="133">
        <f t="shared" si="192"/>
        <v>1.9733962587299474E-2</v>
      </c>
      <c r="CA34" s="31">
        <f t="shared" si="193"/>
        <v>86.889607799999993</v>
      </c>
      <c r="CB34" s="31">
        <f t="shared" si="207"/>
        <v>79.791348999999997</v>
      </c>
      <c r="CC34" s="133">
        <f t="shared" si="0"/>
        <v>1.9146977548698985E-2</v>
      </c>
      <c r="CJ34" t="s">
        <v>252</v>
      </c>
      <c r="CK34">
        <v>70.9769741921898</v>
      </c>
      <c r="CL34">
        <v>7.3169105356480999E-3</v>
      </c>
      <c r="CM34">
        <v>6.0998104818480998E-4</v>
      </c>
      <c r="CR34" s="98">
        <f>CR12+CR17+CR16+CR20+CR22</f>
        <v>2241.2249528766879</v>
      </c>
      <c r="CS34" s="98">
        <f t="shared" ref="CS34:CV34" si="215">CS12+CS17+CS16+CS20+CS22</f>
        <v>165973.31792000303</v>
      </c>
      <c r="CT34" s="98">
        <f t="shared" si="215"/>
        <v>0.25679265861049927</v>
      </c>
      <c r="CU34" s="98">
        <f t="shared" si="215"/>
        <v>5.750768795297974</v>
      </c>
      <c r="CV34" s="98">
        <f t="shared" si="215"/>
        <v>167504.46184519809</v>
      </c>
      <c r="DI34" s="679" t="s">
        <v>199</v>
      </c>
      <c r="DJ34" s="673">
        <v>6073</v>
      </c>
      <c r="DK34" s="673">
        <v>2918</v>
      </c>
      <c r="DL34" s="672">
        <v>0.48</v>
      </c>
      <c r="DM34" s="671">
        <v>38.24</v>
      </c>
      <c r="DN34" s="680">
        <v>13959</v>
      </c>
      <c r="DP34" s="133">
        <f t="shared" si="194"/>
        <v>1.9261387784099918E-2</v>
      </c>
      <c r="DR34" s="31">
        <f t="shared" si="195"/>
        <v>84.764504799999997</v>
      </c>
      <c r="DS34" s="31">
        <f t="shared" si="208"/>
        <v>77.861462000000003</v>
      </c>
      <c r="DT34" s="133">
        <f t="shared" si="1"/>
        <v>1.8683875927738472E-2</v>
      </c>
      <c r="EI34" s="98">
        <f>EI12+EI17+EI16+EI20+EI22</f>
        <v>2042.3571164289019</v>
      </c>
      <c r="EJ34" s="98">
        <f t="shared" ref="EJ34:EM34" si="216">EJ12+EJ17+EJ16+EJ20+EJ22</f>
        <v>149842.91489352708</v>
      </c>
      <c r="EK34" s="98">
        <f t="shared" si="216"/>
        <v>0.13554672701045942</v>
      </c>
      <c r="EL34" s="98">
        <f t="shared" si="216"/>
        <v>5.1601716767938868</v>
      </c>
      <c r="EM34" s="98">
        <f t="shared" si="216"/>
        <v>151214.15569623376</v>
      </c>
      <c r="EY34" t="str">
        <f t="shared" si="196"/>
        <v>Vörubifreiðar ≤12t</v>
      </c>
      <c r="EZ34" s="32">
        <f t="shared" si="197"/>
        <v>2</v>
      </c>
      <c r="FA34" s="32">
        <f t="shared" si="197"/>
        <v>0</v>
      </c>
      <c r="FB34" s="32"/>
      <c r="FC34" s="133">
        <f t="shared" si="198"/>
        <v>3.3973161202649905E-4</v>
      </c>
      <c r="FD34" s="32"/>
      <c r="FI34" s="31">
        <f t="shared" si="199"/>
        <v>172.11524700000001</v>
      </c>
      <c r="FJ34" s="133">
        <f t="shared" si="12"/>
        <v>4.0519363338679219E-2</v>
      </c>
      <c r="GC34" s="446"/>
      <c r="GF34" s="446"/>
      <c r="GH34" s="446"/>
      <c r="GO34" t="str">
        <f t="shared" si="200"/>
        <v>Vörubifreiðar ≤12t</v>
      </c>
      <c r="GP34" s="32">
        <f t="shared" ref="GP34:GQ34" si="217">GP27-(GP13+GP20)</f>
        <v>3</v>
      </c>
      <c r="GQ34" s="32">
        <f t="shared" si="217"/>
        <v>0</v>
      </c>
      <c r="GR34" s="32"/>
      <c r="GS34" s="133">
        <f t="shared" si="202"/>
        <v>5.2192066805845506E-4</v>
      </c>
      <c r="GT34" s="32"/>
      <c r="GY34" s="31">
        <f t="shared" si="203"/>
        <v>171.054135</v>
      </c>
      <c r="GZ34" s="133">
        <f t="shared" si="15"/>
        <v>4.0269556401638755E-2</v>
      </c>
      <c r="HS34" s="446"/>
      <c r="HV34" s="446"/>
      <c r="HX34" s="446"/>
    </row>
    <row r="35" spans="1:232" ht="16.5" customHeight="1" thickBot="1">
      <c r="A35" s="1022"/>
      <c r="B35" s="554" t="s">
        <v>217</v>
      </c>
      <c r="C35" s="375">
        <v>42532</v>
      </c>
      <c r="D35" s="376">
        <v>42771</v>
      </c>
      <c r="E35" s="377">
        <v>38934</v>
      </c>
      <c r="F35" s="411">
        <v>124237</v>
      </c>
      <c r="G35" s="407">
        <v>1450748.4746862133</v>
      </c>
      <c r="H35" s="1023"/>
      <c r="I35" s="391">
        <v>5.8536585365853662E-2</v>
      </c>
      <c r="J35" s="392">
        <v>5.7989130434782606E-2</v>
      </c>
      <c r="K35" s="393">
        <v>3.7686364585508558E-2</v>
      </c>
      <c r="L35" s="394">
        <v>3.7686364585508558E-2</v>
      </c>
      <c r="M35" s="555">
        <v>3.8985300732207406E-2</v>
      </c>
      <c r="O35" s="219">
        <v>2015</v>
      </c>
      <c r="AA35" s="852" t="s">
        <v>201</v>
      </c>
      <c r="AB35" s="853">
        <v>7507</v>
      </c>
      <c r="AC35" s="853">
        <v>3992</v>
      </c>
      <c r="AD35" s="854">
        <v>0.53</v>
      </c>
      <c r="AE35" s="852">
        <v>93.06</v>
      </c>
      <c r="AF35" s="855">
        <v>33968</v>
      </c>
      <c r="AH35" s="133">
        <f t="shared" si="204"/>
        <v>2.231111930073796E-2</v>
      </c>
      <c r="AJ35" s="31">
        <f t="shared" si="191"/>
        <v>254.98951830000001</v>
      </c>
      <c r="AK35" s="31">
        <f t="shared" si="206"/>
        <v>254.15928</v>
      </c>
      <c r="AL35" s="133">
        <f t="shared" si="6"/>
        <v>5.17278538335261E-2</v>
      </c>
      <c r="BA35" s="98">
        <f>BA25</f>
        <v>7.5502211006264632</v>
      </c>
      <c r="BB35" s="98">
        <f>BB25</f>
        <v>536.45813936007175</v>
      </c>
      <c r="BC35" s="98">
        <f t="shared" ref="BC35:BD35" si="218">BC25</f>
        <v>4.5462997071295641E-2</v>
      </c>
      <c r="BD35" s="98">
        <f t="shared" si="218"/>
        <v>9.1505606886737346E-3</v>
      </c>
      <c r="BE35" s="98">
        <f>BE25</f>
        <v>540.15600186056656</v>
      </c>
      <c r="BR35" s="779" t="s">
        <v>201</v>
      </c>
      <c r="BS35" s="780">
        <v>7200</v>
      </c>
      <c r="BT35" s="780">
        <v>3570</v>
      </c>
      <c r="BU35" s="781">
        <v>0.5</v>
      </c>
      <c r="BV35" s="779">
        <v>67.19</v>
      </c>
      <c r="BW35" s="780">
        <v>24525</v>
      </c>
      <c r="BY35" s="133">
        <f t="shared" si="192"/>
        <v>2.2835829416354259E-2</v>
      </c>
      <c r="CA35" s="31">
        <f t="shared" si="193"/>
        <v>176.57532</v>
      </c>
      <c r="CB35" s="31">
        <f t="shared" si="207"/>
        <v>175.49534</v>
      </c>
      <c r="CC35" s="133">
        <f t="shared" si="0"/>
        <v>4.2112401619896093E-2</v>
      </c>
      <c r="CJ35" t="s">
        <v>467</v>
      </c>
      <c r="CK35">
        <v>70.9769741921898</v>
      </c>
      <c r="CL35">
        <v>7.3169105356480999E-3</v>
      </c>
      <c r="CM35">
        <v>6.0998104818480998E-4</v>
      </c>
      <c r="CR35" s="98">
        <f>CR25</f>
        <v>11.648692954071958</v>
      </c>
      <c r="CS35" s="98">
        <f t="shared" ref="CS35:CV35" si="219">CS25</f>
        <v>827.66266905742941</v>
      </c>
      <c r="CT35" s="98">
        <f t="shared" si="219"/>
        <v>7.0141587457810267E-2</v>
      </c>
      <c r="CU35" s="98">
        <f t="shared" si="219"/>
        <v>1.4117741771975039E-2</v>
      </c>
      <c r="CV35" s="98">
        <f t="shared" si="219"/>
        <v>833.36783507582152</v>
      </c>
      <c r="DI35" s="682" t="s">
        <v>201</v>
      </c>
      <c r="DJ35" s="683">
        <v>7040</v>
      </c>
      <c r="DK35" s="683">
        <v>3454</v>
      </c>
      <c r="DL35" s="684">
        <v>0.49</v>
      </c>
      <c r="DM35" s="685">
        <v>64.42</v>
      </c>
      <c r="DN35" s="686">
        <v>23513</v>
      </c>
      <c r="DP35" s="133">
        <f t="shared" si="194"/>
        <v>2.2328366540435275E-2</v>
      </c>
      <c r="DR35" s="31">
        <f t="shared" si="195"/>
        <v>165.53363200000001</v>
      </c>
      <c r="DS35" s="31">
        <f t="shared" si="208"/>
        <v>164.75559100000001</v>
      </c>
      <c r="DT35" s="133">
        <f t="shared" si="1"/>
        <v>3.9535258413786592E-2</v>
      </c>
      <c r="EI35" s="98">
        <f>EI25</f>
        <v>9.2829197698196086</v>
      </c>
      <c r="EJ35" s="98">
        <f t="shared" ref="EJ35:EM35" si="220">EJ25</f>
        <v>673.13936767110556</v>
      </c>
      <c r="EK35" s="98">
        <f t="shared" si="220"/>
        <v>5.9752480776041922E-2</v>
      </c>
      <c r="EL35" s="98">
        <f t="shared" si="220"/>
        <v>1.1345499347399358E-2</v>
      </c>
      <c r="EM35" s="98">
        <f t="shared" si="220"/>
        <v>677.81899445989552</v>
      </c>
      <c r="EY35" t="str">
        <f t="shared" si="196"/>
        <v>Vörubifreiðar &gt;12t</v>
      </c>
      <c r="EZ35" s="32">
        <f t="shared" si="197"/>
        <v>29</v>
      </c>
      <c r="FA35" s="32">
        <f t="shared" si="197"/>
        <v>7</v>
      </c>
      <c r="FB35" s="32"/>
      <c r="FC35" s="133">
        <f t="shared" si="198"/>
        <v>4.1660680936647029E-3</v>
      </c>
      <c r="FD35" s="32"/>
      <c r="FI35" s="31"/>
      <c r="FJ35" s="133"/>
      <c r="GC35" s="446"/>
      <c r="GF35" s="446"/>
      <c r="GH35" s="446"/>
      <c r="GO35" t="str">
        <f t="shared" si="200"/>
        <v>Vörubifreiðar &gt;12t</v>
      </c>
      <c r="GP35" s="32">
        <f t="shared" ref="GP35:GQ35" si="221">GP28-(GP14+GP21)</f>
        <v>27</v>
      </c>
      <c r="GQ35" s="32">
        <f t="shared" si="221"/>
        <v>7</v>
      </c>
      <c r="GR35" s="32"/>
      <c r="GS35" s="133">
        <f t="shared" si="202"/>
        <v>4.0089086859688193E-3</v>
      </c>
      <c r="GT35" s="32"/>
      <c r="GY35" s="31"/>
      <c r="GZ35" s="133"/>
      <c r="HS35" s="446"/>
      <c r="HV35" s="446"/>
      <c r="HX35" s="446"/>
    </row>
    <row r="36" spans="1:232" ht="16.5" customHeight="1" thickBot="1">
      <c r="A36" s="556" t="s">
        <v>220</v>
      </c>
      <c r="B36" s="395"/>
      <c r="C36" s="381">
        <v>40643.286940801925</v>
      </c>
      <c r="D36" s="381">
        <v>41092.764459243765</v>
      </c>
      <c r="E36" s="381">
        <v>39159.654823805431</v>
      </c>
      <c r="F36" s="382">
        <v>120895.70622385111</v>
      </c>
      <c r="G36" s="382"/>
      <c r="H36" s="1024"/>
      <c r="I36" s="396">
        <v>3.8034271765940542E-2</v>
      </c>
      <c r="J36" s="396">
        <v>3.4128618819366574E-2</v>
      </c>
      <c r="K36" s="397">
        <v>4.5129755541558403E-2</v>
      </c>
      <c r="L36" s="398"/>
      <c r="M36" s="397">
        <v>3.8985300732207406E-2</v>
      </c>
      <c r="O36" s="219">
        <v>2016</v>
      </c>
      <c r="AJ36" s="31">
        <f>SUM(AJ30:AJ35)</f>
        <v>4969.8662727000001</v>
      </c>
      <c r="AK36" s="31">
        <f>SUM(AK30:AK35)</f>
        <v>4913.3930980000005</v>
      </c>
      <c r="BA36" s="98">
        <f>BA26</f>
        <v>209.7506590251862</v>
      </c>
      <c r="BB36" s="98">
        <f>BB26</f>
        <v>15533.029279204569</v>
      </c>
      <c r="BC36" s="98">
        <f t="shared" ref="BC36:BD36" si="222">BC26</f>
        <v>2.1172928623386329E-2</v>
      </c>
      <c r="BD36" s="98">
        <f t="shared" si="222"/>
        <v>0.42939276806155019</v>
      </c>
      <c r="BE36" s="98">
        <f>BE26</f>
        <v>15647.411204742335</v>
      </c>
      <c r="CA36" s="31">
        <f>SUM(CA30:CA35)</f>
        <v>4246.7542278499996</v>
      </c>
      <c r="CB36" s="31">
        <f>SUM(CB30:CB35)</f>
        <v>4219.5531420000007</v>
      </c>
      <c r="CJ36" t="s">
        <v>468</v>
      </c>
      <c r="CK36">
        <v>70.9769741921898</v>
      </c>
      <c r="CL36">
        <v>7.3169105356480999E-3</v>
      </c>
      <c r="CM36">
        <v>6.0998104818480998E-4</v>
      </c>
      <c r="CR36" s="98">
        <f>CR26</f>
        <v>200.77585825783657</v>
      </c>
      <c r="CS36" s="98">
        <f t="shared" ref="CS36:CV36" si="223">CS26</f>
        <v>14868.40279487238</v>
      </c>
      <c r="CT36" s="98">
        <f t="shared" si="223"/>
        <v>2.0266982406390705E-2</v>
      </c>
      <c r="CU36" s="98">
        <f t="shared" si="223"/>
        <v>0.41101993165568013</v>
      </c>
      <c r="CV36" s="98">
        <f t="shared" si="223"/>
        <v>14977.890552268515</v>
      </c>
      <c r="DR36" s="31">
        <f>SUM(DR30:DR35)</f>
        <v>4154.1574691000005</v>
      </c>
      <c r="DS36" s="31">
        <f>SUM(DS30:DS35)</f>
        <v>4167.3078059999989</v>
      </c>
      <c r="EI36" s="98">
        <f>EI26</f>
        <v>179.14153811363573</v>
      </c>
      <c r="EJ36" s="98">
        <f t="shared" ref="EJ36:EM36" si="224">EJ26</f>
        <v>13143.177796905004</v>
      </c>
      <c r="EK36" s="98">
        <f t="shared" si="224"/>
        <v>6.6098741764291785E-2</v>
      </c>
      <c r="EL36" s="98">
        <f t="shared" si="224"/>
        <v>0.37520282399868876</v>
      </c>
      <c r="EM36" s="98">
        <f t="shared" si="224"/>
        <v>13244.457310034057</v>
      </c>
      <c r="EZ36" s="32"/>
      <c r="FA36" s="32"/>
      <c r="FB36" s="32"/>
      <c r="FC36" s="32"/>
      <c r="FD36" s="32"/>
      <c r="FI36" s="31">
        <f>SUM(FI29:FI34)</f>
        <v>4247.7283159999997</v>
      </c>
      <c r="GC36" s="446"/>
      <c r="GF36" s="446"/>
      <c r="GH36" s="446"/>
      <c r="GP36" s="32"/>
      <c r="GQ36" s="32"/>
      <c r="GR36" s="32"/>
      <c r="GS36" s="32"/>
      <c r="GT36" s="32"/>
      <c r="GY36" s="31">
        <f>SUM(GY29:GY34)</f>
        <v>4201.3043930000003</v>
      </c>
      <c r="HS36" s="446"/>
      <c r="HV36" s="446"/>
      <c r="HX36" s="446"/>
    </row>
    <row r="37" spans="1:232" ht="16.5" customHeight="1">
      <c r="A37" s="969">
        <v>2007</v>
      </c>
      <c r="B37" s="548" t="s">
        <v>191</v>
      </c>
      <c r="C37" s="359">
        <v>40666</v>
      </c>
      <c r="D37" s="360">
        <v>39409</v>
      </c>
      <c r="E37" s="361">
        <v>37899</v>
      </c>
      <c r="F37" s="362">
        <v>117974</v>
      </c>
      <c r="G37" s="406">
        <v>117974</v>
      </c>
      <c r="H37" s="971" t="s">
        <v>224</v>
      </c>
      <c r="I37" s="385">
        <v>7.0467766985179925E-2</v>
      </c>
      <c r="J37" s="549">
        <v>9.2757049766449454E-2</v>
      </c>
      <c r="K37" s="550">
        <v>6.1795730280447936E-2</v>
      </c>
      <c r="L37" s="386">
        <v>6.1795730280447936E-2</v>
      </c>
      <c r="M37" s="551">
        <v>6.1795730280447936E-2</v>
      </c>
      <c r="O37" s="219">
        <v>2017</v>
      </c>
      <c r="AB37" s="32">
        <f>SUM(AB30:AB35)</f>
        <v>336469</v>
      </c>
      <c r="BA37" s="98">
        <f>BA27+BA23</f>
        <v>7.6115482422541243</v>
      </c>
      <c r="BB37" s="98">
        <f>BB27+BB23</f>
        <v>540.80891081987113</v>
      </c>
      <c r="BC37" s="98">
        <f t="shared" ref="BC37:BD37" si="225">BC27+BC23</f>
        <v>0.11697592734377057</v>
      </c>
      <c r="BD37" s="98">
        <f t="shared" si="225"/>
        <v>6.2665675362167149E-3</v>
      </c>
      <c r="BE37" s="98">
        <f>BE27+BE23</f>
        <v>545.74487718259411</v>
      </c>
      <c r="CJ37" t="s">
        <v>469</v>
      </c>
      <c r="CK37">
        <v>74.054734089485606</v>
      </c>
      <c r="CL37">
        <v>1.1457692289250001E-4</v>
      </c>
      <c r="CM37">
        <v>2.5659043229536902E-3</v>
      </c>
      <c r="CR37" s="98">
        <f>CR27+CR23</f>
        <v>11.737681608279575</v>
      </c>
      <c r="CS37" s="98">
        <f t="shared" ref="CS37:CV37" si="226">CS27+CS23</f>
        <v>833.97524446934665</v>
      </c>
      <c r="CT37" s="98">
        <f t="shared" si="226"/>
        <v>0.18038724150394511</v>
      </c>
      <c r="CU37" s="98">
        <f t="shared" si="226"/>
        <v>9.6636022233381816E-3</v>
      </c>
      <c r="CV37" s="98">
        <f t="shared" si="226"/>
        <v>841.58694182064175</v>
      </c>
      <c r="DJ37" s="32">
        <f>SUM(DJ30:DJ35)</f>
        <v>315294</v>
      </c>
      <c r="EI37" s="98">
        <f>EI27+EI23</f>
        <v>9.4051276791991825</v>
      </c>
      <c r="EJ37" s="98">
        <f t="shared" ref="EJ37:EM37" si="227">EJ27+EJ23</f>
        <v>681.98537265224854</v>
      </c>
      <c r="EK37" s="98">
        <f t="shared" si="227"/>
        <v>0.14879523456502652</v>
      </c>
      <c r="EL37" s="98">
        <f t="shared" si="227"/>
        <v>7.9713406223627381E-3</v>
      </c>
      <c r="EM37" s="98">
        <f t="shared" si="227"/>
        <v>688.26404448499534</v>
      </c>
      <c r="EY37" s="218" t="s">
        <v>225</v>
      </c>
      <c r="EZ37" s="32"/>
      <c r="FA37" s="32"/>
      <c r="FB37" s="32"/>
      <c r="FC37" s="32"/>
      <c r="FD37" s="32"/>
      <c r="FI37" s="31">
        <f>SUM(FI9:FI23)</f>
        <v>4240.272234</v>
      </c>
      <c r="FS37" s="160"/>
      <c r="FU37" s="160"/>
      <c r="GO37" s="218" t="s">
        <v>225</v>
      </c>
      <c r="GP37" s="32"/>
      <c r="GQ37" s="32"/>
      <c r="GR37" s="32"/>
      <c r="GS37" s="32"/>
      <c r="GT37" s="32"/>
      <c r="GY37" s="31">
        <f>SUM(GY9:GY23)</f>
        <v>4194.4306510000006</v>
      </c>
      <c r="HI37" s="160"/>
      <c r="HK37" s="160"/>
    </row>
    <row r="38" spans="1:232" ht="16.5" customHeight="1">
      <c r="A38" s="969"/>
      <c r="B38" s="366" t="s">
        <v>195</v>
      </c>
      <c r="C38" s="367">
        <v>42636</v>
      </c>
      <c r="D38" s="368">
        <v>41580</v>
      </c>
      <c r="E38" s="369">
        <v>40896</v>
      </c>
      <c r="F38" s="370">
        <v>125112</v>
      </c>
      <c r="G38" s="407">
        <v>243086</v>
      </c>
      <c r="H38" s="972"/>
      <c r="I38" s="387">
        <v>4.2266604737575479E-2</v>
      </c>
      <c r="J38" s="388">
        <v>9.0530919175488653E-2</v>
      </c>
      <c r="K38" s="389">
        <v>5.0663845010455288E-2</v>
      </c>
      <c r="L38" s="390">
        <v>5.0663845010455288E-2</v>
      </c>
      <c r="M38" s="552">
        <v>5.6037048139121692E-2</v>
      </c>
      <c r="O38" s="219">
        <v>2018</v>
      </c>
      <c r="BA38" s="98">
        <f>BA28+BA24</f>
        <v>720.69862863629248</v>
      </c>
      <c r="BB38" s="98">
        <f t="shared" ref="BB38:BD38" si="228">BB28+BB24</f>
        <v>53371.145302317498</v>
      </c>
      <c r="BC38" s="98">
        <f t="shared" si="228"/>
        <v>1.0352101358762202</v>
      </c>
      <c r="BD38" s="98">
        <f t="shared" si="228"/>
        <v>2.2224712097755805</v>
      </c>
      <c r="BE38" s="98">
        <f>BE28+BE24</f>
        <v>53989.086056712564</v>
      </c>
      <c r="CJ38" t="s">
        <v>470</v>
      </c>
      <c r="CK38">
        <v>74.054734089485606</v>
      </c>
      <c r="CL38">
        <v>1.1457692289250001E-4</v>
      </c>
      <c r="CM38">
        <v>2.5659043229536902E-3</v>
      </c>
      <c r="CR38" s="98">
        <f>CR28+CR24</f>
        <v>574.58713860466889</v>
      </c>
      <c r="CS38" s="98">
        <f t="shared" ref="CS38:CV38" si="229">CS28+CS24</f>
        <v>42550.897760607113</v>
      </c>
      <c r="CT38" s="98">
        <f t="shared" si="229"/>
        <v>0.82533587021413468</v>
      </c>
      <c r="CU38" s="98">
        <f t="shared" si="229"/>
        <v>1.7718964936461115</v>
      </c>
      <c r="CV38" s="98">
        <f t="shared" si="229"/>
        <v>43043.559735789328</v>
      </c>
      <c r="EI38" s="98">
        <f>EI28+EI24</f>
        <v>543.595114576382</v>
      </c>
      <c r="EJ38" s="98">
        <f t="shared" ref="EJ38:EM38" si="230">EJ28+EJ24</f>
        <v>39882.203663655528</v>
      </c>
      <c r="EK38" s="98">
        <f t="shared" si="230"/>
        <v>1.1293158861106989</v>
      </c>
      <c r="EL38" s="98">
        <f t="shared" si="230"/>
        <v>1.2827249770598881</v>
      </c>
      <c r="EM38" s="98">
        <f t="shared" si="230"/>
        <v>40253.746627387496</v>
      </c>
      <c r="EZ38" s="32"/>
      <c r="FA38" s="32"/>
      <c r="FB38" s="32"/>
      <c r="FC38" s="32"/>
      <c r="FD38" s="32"/>
      <c r="GP38" s="31"/>
    </row>
    <row r="39" spans="1:232" ht="16.5" customHeight="1">
      <c r="A39" s="969"/>
      <c r="B39" s="366" t="s">
        <v>15</v>
      </c>
      <c r="C39" s="367">
        <v>44711</v>
      </c>
      <c r="D39" s="368">
        <v>43720</v>
      </c>
      <c r="E39" s="369">
        <v>42527</v>
      </c>
      <c r="F39" s="370">
        <v>130958</v>
      </c>
      <c r="G39" s="407">
        <v>374044</v>
      </c>
      <c r="H39" s="972"/>
      <c r="I39" s="387">
        <v>5.0787309048178617E-2</v>
      </c>
      <c r="J39" s="388">
        <v>8.8008800880088014E-2</v>
      </c>
      <c r="K39" s="389">
        <v>6.0551825786963276E-2</v>
      </c>
      <c r="L39" s="390">
        <v>6.0551825786963276E-2</v>
      </c>
      <c r="M39" s="552">
        <v>5.7613354897813718E-2</v>
      </c>
      <c r="O39" s="219">
        <v>2019</v>
      </c>
      <c r="CJ39" t="s">
        <v>471</v>
      </c>
      <c r="CK39">
        <v>70.9769741921898</v>
      </c>
      <c r="CL39">
        <v>7.3169105356480999E-3</v>
      </c>
      <c r="CM39">
        <v>6.0998104818480998E-4</v>
      </c>
    </row>
    <row r="40" spans="1:232" ht="16.5" customHeight="1">
      <c r="A40" s="969"/>
      <c r="B40" s="366" t="s">
        <v>16</v>
      </c>
      <c r="C40" s="367">
        <v>41126</v>
      </c>
      <c r="D40" s="368">
        <v>42156</v>
      </c>
      <c r="E40" s="369">
        <v>42383</v>
      </c>
      <c r="F40" s="370">
        <v>125665</v>
      </c>
      <c r="G40" s="407">
        <v>499709</v>
      </c>
      <c r="H40" s="972"/>
      <c r="I40" s="387">
        <v>7.1352280720035424E-2</v>
      </c>
      <c r="J40" s="388">
        <v>0.1281375602225239</v>
      </c>
      <c r="K40" s="389">
        <v>8.7773209262064444E-2</v>
      </c>
      <c r="L40" s="390">
        <v>8.7773209262064444E-2</v>
      </c>
      <c r="M40" s="552">
        <v>6.5039333493892793E-2</v>
      </c>
      <c r="O40" s="219">
        <v>2020</v>
      </c>
      <c r="CI40" t="s">
        <v>202</v>
      </c>
      <c r="CJ40" t="s">
        <v>158</v>
      </c>
      <c r="CK40">
        <v>71.051977446800905</v>
      </c>
      <c r="CL40">
        <v>6.0214126798913805E-3</v>
      </c>
      <c r="CM40">
        <v>1.2119593011540399E-3</v>
      </c>
    </row>
    <row r="41" spans="1:232" ht="16.5" customHeight="1">
      <c r="A41" s="969"/>
      <c r="B41" s="366" t="s">
        <v>17</v>
      </c>
      <c r="C41" s="367">
        <v>43780</v>
      </c>
      <c r="D41" s="368">
        <v>44517</v>
      </c>
      <c r="E41" s="369">
        <v>45850</v>
      </c>
      <c r="F41" s="370">
        <v>134147</v>
      </c>
      <c r="G41" s="407">
        <v>633856</v>
      </c>
      <c r="H41" s="972"/>
      <c r="I41" s="387">
        <v>4.1785646297353894E-2</v>
      </c>
      <c r="J41" s="388">
        <v>0.12413268933728884</v>
      </c>
      <c r="K41" s="389">
        <v>7.0401519262072609E-2</v>
      </c>
      <c r="L41" s="390">
        <v>7.0401519262072609E-2</v>
      </c>
      <c r="M41" s="552">
        <v>6.6169680597863545E-2</v>
      </c>
      <c r="CJ41" t="s">
        <v>25</v>
      </c>
      <c r="CK41">
        <v>74.054734089485805</v>
      </c>
      <c r="CL41">
        <v>1.0094332347649E-4</v>
      </c>
      <c r="CM41">
        <v>2.0471581355555601E-3</v>
      </c>
    </row>
    <row r="42" spans="1:232" ht="16.5" customHeight="1">
      <c r="A42" s="969"/>
      <c r="B42" s="366" t="s">
        <v>18</v>
      </c>
      <c r="C42" s="367">
        <v>42691</v>
      </c>
      <c r="D42" s="368">
        <v>44919</v>
      </c>
      <c r="E42" s="369">
        <v>47313</v>
      </c>
      <c r="F42" s="370">
        <v>134923</v>
      </c>
      <c r="G42" s="407">
        <v>768779</v>
      </c>
      <c r="H42" s="972"/>
      <c r="I42" s="387">
        <v>8.3225495420060386E-2</v>
      </c>
      <c r="J42" s="388">
        <v>0.16068493486740426</v>
      </c>
      <c r="K42" s="389">
        <v>0.10868886405469369</v>
      </c>
      <c r="L42" s="390">
        <v>0.10868886405469369</v>
      </c>
      <c r="M42" s="552">
        <v>7.3394367318102338E-2</v>
      </c>
      <c r="CI42" t="s">
        <v>209</v>
      </c>
      <c r="CJ42" t="s">
        <v>158</v>
      </c>
      <c r="CK42">
        <v>71.051977446800905</v>
      </c>
      <c r="CL42">
        <v>6.0214126798913805E-3</v>
      </c>
      <c r="CM42">
        <v>1.2119593011540399E-3</v>
      </c>
    </row>
    <row r="43" spans="1:232" ht="16.5" customHeight="1">
      <c r="A43" s="969"/>
      <c r="B43" s="366" t="s">
        <v>19</v>
      </c>
      <c r="C43" s="367">
        <v>39540</v>
      </c>
      <c r="D43" s="368">
        <v>44232.379760577489</v>
      </c>
      <c r="E43" s="369">
        <v>46367</v>
      </c>
      <c r="F43" s="370">
        <v>130139.37976057749</v>
      </c>
      <c r="G43" s="407">
        <v>898918.37976057746</v>
      </c>
      <c r="H43" s="972"/>
      <c r="I43" s="387">
        <v>0.10480874011567801</v>
      </c>
      <c r="J43" s="388">
        <v>0.16024822961239146</v>
      </c>
      <c r="K43" s="389">
        <v>0.1269918143371076</v>
      </c>
      <c r="L43" s="390">
        <v>0.1269918143371076</v>
      </c>
      <c r="M43" s="552">
        <v>8.083605842645003E-2</v>
      </c>
      <c r="CJ43" t="s">
        <v>25</v>
      </c>
      <c r="CK43">
        <v>74.054734089485805</v>
      </c>
      <c r="CL43">
        <v>1.0094332347649E-4</v>
      </c>
      <c r="CM43">
        <v>2.0471581355555601E-3</v>
      </c>
    </row>
    <row r="44" spans="1:232" ht="16.5" customHeight="1">
      <c r="A44" s="969"/>
      <c r="B44" s="366" t="s">
        <v>20</v>
      </c>
      <c r="C44" s="367">
        <v>43072</v>
      </c>
      <c r="D44" s="368">
        <v>45828</v>
      </c>
      <c r="E44" s="369">
        <v>46593</v>
      </c>
      <c r="F44" s="370">
        <v>135493</v>
      </c>
      <c r="G44" s="407">
        <v>1034411.3797605775</v>
      </c>
      <c r="H44" s="972"/>
      <c r="I44" s="387">
        <v>0.10807542898304649</v>
      </c>
      <c r="J44" s="388">
        <v>0.1508706928492034</v>
      </c>
      <c r="K44" s="389">
        <v>0.13237170108093732</v>
      </c>
      <c r="L44" s="390">
        <v>0.13237170108093732</v>
      </c>
      <c r="M44" s="552">
        <v>8.7317905757384517E-2</v>
      </c>
      <c r="CI44" t="s">
        <v>215</v>
      </c>
      <c r="CJ44" t="s">
        <v>158</v>
      </c>
      <c r="CK44">
        <v>71.051104664576499</v>
      </c>
      <c r="CL44">
        <v>1.53682172957139E-2</v>
      </c>
      <c r="CM44">
        <v>8.2329735512008E-4</v>
      </c>
    </row>
    <row r="45" spans="1:232" ht="16.5" customHeight="1">
      <c r="A45" s="969"/>
      <c r="B45" s="366" t="s">
        <v>211</v>
      </c>
      <c r="C45" s="367">
        <v>44536</v>
      </c>
      <c r="D45" s="368">
        <v>46730</v>
      </c>
      <c r="E45" s="369">
        <v>46157</v>
      </c>
      <c r="F45" s="370">
        <v>137423</v>
      </c>
      <c r="G45" s="407">
        <v>1171834.3797605773</v>
      </c>
      <c r="H45" s="972"/>
      <c r="I45" s="387">
        <v>4.2941322794365501E-2</v>
      </c>
      <c r="J45" s="388">
        <v>0.12224950764667267</v>
      </c>
      <c r="K45" s="389">
        <v>9.5245667049713489E-2</v>
      </c>
      <c r="L45" s="390">
        <v>9.5245667049713489E-2</v>
      </c>
      <c r="M45" s="552">
        <v>8.8241662368212515E-2</v>
      </c>
      <c r="CJ45" t="s">
        <v>25</v>
      </c>
      <c r="CK45">
        <v>74.054734089485507</v>
      </c>
      <c r="CL45">
        <v>1.4363980931045299E-3</v>
      </c>
      <c r="CM45">
        <v>3.0837733297494202E-3</v>
      </c>
    </row>
    <row r="46" spans="1:232" ht="16.5" customHeight="1">
      <c r="A46" s="969"/>
      <c r="B46" s="366" t="s">
        <v>213</v>
      </c>
      <c r="C46" s="367">
        <v>45561</v>
      </c>
      <c r="D46" s="368">
        <v>47695</v>
      </c>
      <c r="E46" s="369">
        <v>46533</v>
      </c>
      <c r="F46" s="370">
        <v>139789</v>
      </c>
      <c r="G46" s="407">
        <v>1311623.3797605773</v>
      </c>
      <c r="H46" s="972"/>
      <c r="I46" s="387">
        <v>5.1169881714945263E-2</v>
      </c>
      <c r="J46" s="388">
        <v>0.15561129460848835</v>
      </c>
      <c r="K46" s="389">
        <v>0.10973475517648246</v>
      </c>
      <c r="L46" s="390">
        <v>0.10973475517648246</v>
      </c>
      <c r="M46" s="552">
        <v>9.0492614729322796E-2</v>
      </c>
      <c r="CI46" t="s">
        <v>199</v>
      </c>
      <c r="CJ46" t="s">
        <v>158</v>
      </c>
      <c r="CK46">
        <v>71.051977446800905</v>
      </c>
      <c r="CL46">
        <v>6.0214126798913805E-3</v>
      </c>
      <c r="CM46">
        <v>1.2119593011540399E-3</v>
      </c>
    </row>
    <row r="47" spans="1:232" ht="16.5" customHeight="1">
      <c r="A47" s="969"/>
      <c r="B47" s="553" t="s">
        <v>216</v>
      </c>
      <c r="C47" s="367">
        <v>45586</v>
      </c>
      <c r="D47" s="368">
        <v>48466</v>
      </c>
      <c r="E47" s="369">
        <v>45560</v>
      </c>
      <c r="F47" s="370">
        <v>139612</v>
      </c>
      <c r="G47" s="407">
        <v>1451235.3797605773</v>
      </c>
      <c r="H47" s="972"/>
      <c r="I47" s="387">
        <v>5.4889619104919699E-2</v>
      </c>
      <c r="J47" s="388">
        <v>0.17577659022705036</v>
      </c>
      <c r="K47" s="389">
        <v>0.12835231554775062</v>
      </c>
      <c r="L47" s="390">
        <v>0.12835231554775062</v>
      </c>
      <c r="M47" s="552">
        <v>9.4023992595968719E-2</v>
      </c>
      <c r="CJ47" t="s">
        <v>25</v>
      </c>
      <c r="CK47">
        <v>74.054734089485805</v>
      </c>
      <c r="CL47">
        <v>1.0094332347649E-4</v>
      </c>
      <c r="CM47">
        <v>2.0471581355555601E-3</v>
      </c>
    </row>
    <row r="48" spans="1:232" ht="16.5" customHeight="1" thickBot="1">
      <c r="A48" s="977"/>
      <c r="B48" s="557" t="s">
        <v>217</v>
      </c>
      <c r="C48" s="375">
        <v>41950</v>
      </c>
      <c r="D48" s="376">
        <v>46794</v>
      </c>
      <c r="E48" s="377">
        <v>42143</v>
      </c>
      <c r="F48" s="411">
        <v>130887</v>
      </c>
      <c r="G48" s="407">
        <v>1582122.3797605773</v>
      </c>
      <c r="H48" s="972"/>
      <c r="I48" s="558">
        <v>-1.3683814539640741E-2</v>
      </c>
      <c r="J48" s="559">
        <v>8.2421533877844552E-2</v>
      </c>
      <c r="K48" s="560">
        <v>5.3526727142477748E-2</v>
      </c>
      <c r="L48" s="394">
        <v>5.3526727142477748E-2</v>
      </c>
      <c r="M48" s="561">
        <v>9.0555949130175284E-2</v>
      </c>
      <c r="CI48" t="s">
        <v>201</v>
      </c>
      <c r="CJ48" t="s">
        <v>158</v>
      </c>
      <c r="CK48">
        <v>71.051104664576499</v>
      </c>
      <c r="CL48">
        <v>1.53682172957139E-2</v>
      </c>
      <c r="CM48">
        <v>8.2329735512008E-4</v>
      </c>
    </row>
    <row r="49" spans="1:91" ht="16.5" customHeight="1" thickBot="1">
      <c r="A49" s="556" t="s">
        <v>220</v>
      </c>
      <c r="B49" s="395"/>
      <c r="C49" s="381">
        <v>42987.916666666664</v>
      </c>
      <c r="D49" s="381">
        <v>44670.531646714786</v>
      </c>
      <c r="E49" s="381">
        <v>44185.083333333336</v>
      </c>
      <c r="F49" s="382">
        <v>131843.53164671478</v>
      </c>
      <c r="G49" s="382"/>
      <c r="H49" s="973"/>
      <c r="I49" s="396">
        <v>5.768799480415443E-2</v>
      </c>
      <c r="J49" s="396">
        <v>8.7065624193268576E-2</v>
      </c>
      <c r="K49" s="397">
        <v>0.1283317877069976</v>
      </c>
      <c r="L49" s="398"/>
      <c r="M49" s="397">
        <v>9.0555949130175284E-2</v>
      </c>
      <c r="CJ49" t="s">
        <v>25</v>
      </c>
      <c r="CK49">
        <v>74.054734089485507</v>
      </c>
      <c r="CL49">
        <v>1.4363980931045299E-3</v>
      </c>
      <c r="CM49">
        <v>3.0837733297494202E-3</v>
      </c>
    </row>
    <row r="50" spans="1:91" ht="14.25">
      <c r="A50" s="976">
        <v>2008</v>
      </c>
      <c r="B50" s="358" t="s">
        <v>191</v>
      </c>
      <c r="C50" s="359">
        <v>42079</v>
      </c>
      <c r="D50" s="360">
        <v>43928</v>
      </c>
      <c r="E50" s="361">
        <v>41438</v>
      </c>
      <c r="F50" s="362">
        <v>127445</v>
      </c>
      <c r="G50" s="406">
        <v>127445</v>
      </c>
      <c r="H50" s="971" t="s">
        <v>226</v>
      </c>
      <c r="I50" s="385">
        <v>3.4746471253627106E-2</v>
      </c>
      <c r="J50" s="549">
        <v>9.337977255336552E-2</v>
      </c>
      <c r="K50" s="550">
        <v>8.0280400766270521E-2</v>
      </c>
      <c r="L50" s="386">
        <v>8.0280400766270521E-2</v>
      </c>
      <c r="M50" s="551">
        <v>8.0280400766270521E-2</v>
      </c>
    </row>
    <row r="51" spans="1:91" ht="14.25">
      <c r="A51" s="969"/>
      <c r="B51" s="366" t="s">
        <v>195</v>
      </c>
      <c r="C51" s="367">
        <v>42211</v>
      </c>
      <c r="D51" s="368">
        <v>45714</v>
      </c>
      <c r="E51" s="369">
        <v>43597</v>
      </c>
      <c r="F51" s="370">
        <v>131522</v>
      </c>
      <c r="G51" s="407">
        <v>258967</v>
      </c>
      <c r="H51" s="972"/>
      <c r="I51" s="387">
        <v>-9.9681020733652318E-3</v>
      </c>
      <c r="J51" s="388">
        <v>6.6045579029733958E-2</v>
      </c>
      <c r="K51" s="389">
        <v>5.1234094251550566E-2</v>
      </c>
      <c r="L51" s="390">
        <v>5.1234094251550566E-2</v>
      </c>
      <c r="M51" s="552">
        <v>6.5330788280690832E-2</v>
      </c>
    </row>
    <row r="52" spans="1:91" ht="14.25">
      <c r="A52" s="969"/>
      <c r="B52" s="366" t="s">
        <v>15</v>
      </c>
      <c r="C52" s="367">
        <v>42884.551201761278</v>
      </c>
      <c r="D52" s="368">
        <v>44927</v>
      </c>
      <c r="E52" s="369">
        <v>43751</v>
      </c>
      <c r="F52" s="370">
        <v>131562.55120176129</v>
      </c>
      <c r="G52" s="407">
        <v>390529.55120176129</v>
      </c>
      <c r="H52" s="972"/>
      <c r="I52" s="387">
        <v>-4.0850099488687834E-2</v>
      </c>
      <c r="J52" s="388">
        <v>2.8781715145672161E-2</v>
      </c>
      <c r="K52" s="389">
        <v>4.6163747290068891E-3</v>
      </c>
      <c r="L52" s="390">
        <v>4.6163747290068891E-3</v>
      </c>
      <c r="M52" s="552">
        <v>4.4073828752128952E-2</v>
      </c>
    </row>
    <row r="53" spans="1:91" ht="14.25">
      <c r="A53" s="969"/>
      <c r="B53" s="366" t="s">
        <v>16</v>
      </c>
      <c r="C53" s="367">
        <v>45303</v>
      </c>
      <c r="D53" s="368">
        <v>48229</v>
      </c>
      <c r="E53" s="369">
        <v>47282</v>
      </c>
      <c r="F53" s="370">
        <v>140814</v>
      </c>
      <c r="G53" s="407">
        <v>531343.55120176123</v>
      </c>
      <c r="H53" s="972"/>
      <c r="I53" s="387">
        <v>0.10156591936974177</v>
      </c>
      <c r="J53" s="388">
        <v>0.11558879739518203</v>
      </c>
      <c r="K53" s="389">
        <v>0.12055067043329482</v>
      </c>
      <c r="L53" s="390">
        <v>0.12055067043329482</v>
      </c>
      <c r="M53" s="552">
        <v>6.3305946464364826E-2</v>
      </c>
    </row>
    <row r="54" spans="1:91" ht="14.25">
      <c r="A54" s="969"/>
      <c r="B54" s="366" t="s">
        <v>17</v>
      </c>
      <c r="C54" s="367">
        <v>43400</v>
      </c>
      <c r="D54" s="368">
        <v>48148.221902515186</v>
      </c>
      <c r="E54" s="369">
        <v>47334</v>
      </c>
      <c r="F54" s="370">
        <v>138882.22190251519</v>
      </c>
      <c r="G54" s="407">
        <v>670225.77310427639</v>
      </c>
      <c r="H54" s="972"/>
      <c r="I54" s="387">
        <v>-8.6797624486066698E-3</v>
      </c>
      <c r="J54" s="388">
        <v>3.236641221374046E-2</v>
      </c>
      <c r="K54" s="389">
        <v>3.5298753624868118E-2</v>
      </c>
      <c r="L54" s="390">
        <v>3.5298753624868118E-2</v>
      </c>
      <c r="M54" s="552">
        <v>5.7378605084240641E-2</v>
      </c>
    </row>
    <row r="55" spans="1:91" ht="14.25">
      <c r="A55" s="969"/>
      <c r="B55" s="366" t="s">
        <v>18</v>
      </c>
      <c r="C55" s="367">
        <v>40402</v>
      </c>
      <c r="D55" s="368">
        <v>45572.666795350764</v>
      </c>
      <c r="E55" s="369">
        <v>47040</v>
      </c>
      <c r="F55" s="370">
        <v>133014.66679535076</v>
      </c>
      <c r="G55" s="407">
        <v>803240.43989962712</v>
      </c>
      <c r="H55" s="972"/>
      <c r="I55" s="387">
        <v>-5.3617858565037126E-2</v>
      </c>
      <c r="J55" s="388">
        <v>-5.770084332001775E-3</v>
      </c>
      <c r="K55" s="389">
        <v>-1.4143868759583178E-2</v>
      </c>
      <c r="L55" s="390">
        <v>-1.4143868759583178E-2</v>
      </c>
      <c r="M55" s="552">
        <v>4.4826198295774278E-2</v>
      </c>
    </row>
    <row r="56" spans="1:91" ht="14.25">
      <c r="A56" s="969"/>
      <c r="B56" s="366" t="s">
        <v>19</v>
      </c>
      <c r="C56" s="367">
        <v>37788</v>
      </c>
      <c r="D56" s="368">
        <v>45431</v>
      </c>
      <c r="E56" s="369">
        <v>46196.383537711605</v>
      </c>
      <c r="F56" s="370">
        <v>129415.3835377116</v>
      </c>
      <c r="G56" s="407">
        <v>932655.82343733869</v>
      </c>
      <c r="H56" s="972"/>
      <c r="I56" s="387">
        <v>-4.4309559939301975E-2</v>
      </c>
      <c r="J56" s="388">
        <v>-3.6796959537687421E-3</v>
      </c>
      <c r="K56" s="389">
        <v>-5.5632370785679841E-3</v>
      </c>
      <c r="L56" s="390">
        <v>-5.5632370785679841E-3</v>
      </c>
      <c r="M56" s="552">
        <v>3.7531153479971158E-2</v>
      </c>
    </row>
    <row r="57" spans="1:91" ht="14.25">
      <c r="A57" s="969"/>
      <c r="B57" s="366" t="s">
        <v>20</v>
      </c>
      <c r="C57" s="367">
        <v>39855</v>
      </c>
      <c r="D57" s="368">
        <v>45009.046086335104</v>
      </c>
      <c r="E57" s="369">
        <v>46690</v>
      </c>
      <c r="F57" s="370">
        <v>131554.04608633509</v>
      </c>
      <c r="G57" s="407">
        <v>1064209.8695236738</v>
      </c>
      <c r="H57" s="972"/>
      <c r="I57" s="387">
        <v>-7.4688893016344723E-2</v>
      </c>
      <c r="J57" s="388">
        <v>2.0818577897967505E-3</v>
      </c>
      <c r="K57" s="389">
        <v>-2.907127241750429E-2</v>
      </c>
      <c r="L57" s="390">
        <v>-2.907127241750429E-2</v>
      </c>
      <c r="M57" s="552">
        <v>2.8807194454872898E-2</v>
      </c>
    </row>
    <row r="58" spans="1:91" ht="14.25">
      <c r="A58" s="969"/>
      <c r="B58" s="366" t="s">
        <v>211</v>
      </c>
      <c r="C58" s="367">
        <v>44393</v>
      </c>
      <c r="D58" s="368">
        <v>46983</v>
      </c>
      <c r="E58" s="369">
        <v>47628</v>
      </c>
      <c r="F58" s="370">
        <v>139004</v>
      </c>
      <c r="G58" s="407">
        <v>1203213.8695236738</v>
      </c>
      <c r="H58" s="972"/>
      <c r="I58" s="387">
        <v>-3.2108855757140291E-3</v>
      </c>
      <c r="J58" s="388">
        <v>3.1869488918257249E-2</v>
      </c>
      <c r="K58" s="389">
        <v>1.1504624407850272E-2</v>
      </c>
      <c r="L58" s="390">
        <v>1.1504624407850272E-2</v>
      </c>
      <c r="M58" s="552">
        <v>2.6778092796277075E-2</v>
      </c>
    </row>
    <row r="59" spans="1:91" ht="14.25">
      <c r="A59" s="969"/>
      <c r="B59" s="366" t="s">
        <v>213</v>
      </c>
      <c r="C59" s="367">
        <v>43645</v>
      </c>
      <c r="D59" s="368">
        <v>44328</v>
      </c>
      <c r="E59" s="369">
        <v>46087</v>
      </c>
      <c r="F59" s="370">
        <v>134060</v>
      </c>
      <c r="G59" s="407">
        <v>1337273.8695236738</v>
      </c>
      <c r="H59" s="972"/>
      <c r="I59" s="387">
        <v>-4.2053510677992144E-2</v>
      </c>
      <c r="J59" s="388">
        <v>-9.5845958781939702E-3</v>
      </c>
      <c r="K59" s="389">
        <v>-4.0983196102697628E-2</v>
      </c>
      <c r="L59" s="390">
        <v>-4.0983196102697628E-2</v>
      </c>
      <c r="M59" s="552">
        <v>1.9556291965288519E-2</v>
      </c>
    </row>
    <row r="60" spans="1:91" ht="14.25">
      <c r="A60" s="969"/>
      <c r="B60" s="366" t="s">
        <v>216</v>
      </c>
      <c r="C60" s="367">
        <v>42610</v>
      </c>
      <c r="D60" s="368">
        <v>43068</v>
      </c>
      <c r="E60" s="369">
        <v>44500</v>
      </c>
      <c r="F60" s="370">
        <v>130178</v>
      </c>
      <c r="G60" s="407">
        <v>1467451.8695236738</v>
      </c>
      <c r="H60" s="972"/>
      <c r="I60" s="387">
        <v>-6.5283200982757861E-2</v>
      </c>
      <c r="J60" s="388">
        <v>-2.3266022827041263E-2</v>
      </c>
      <c r="K60" s="389">
        <v>-6.7572987995301315E-2</v>
      </c>
      <c r="L60" s="390">
        <v>-6.7572987995301315E-2</v>
      </c>
      <c r="M60" s="552">
        <v>1.1174265725089949E-2</v>
      </c>
    </row>
    <row r="61" spans="1:91" ht="15" thickBot="1">
      <c r="A61" s="970"/>
      <c r="B61" s="562" t="s">
        <v>217</v>
      </c>
      <c r="C61" s="375">
        <v>41091</v>
      </c>
      <c r="D61" s="376">
        <v>44677</v>
      </c>
      <c r="E61" s="377">
        <v>42705</v>
      </c>
      <c r="F61" s="411">
        <v>128473</v>
      </c>
      <c r="G61" s="407">
        <v>1595924.8695236738</v>
      </c>
      <c r="H61" s="972"/>
      <c r="I61" s="391">
        <v>-2.0476758045292014E-2</v>
      </c>
      <c r="J61" s="392">
        <v>1.3335548015091474E-2</v>
      </c>
      <c r="K61" s="393">
        <v>-1.8443390099857182E-2</v>
      </c>
      <c r="L61" s="394">
        <v>-1.8443390099857182E-2</v>
      </c>
      <c r="M61" s="555">
        <v>8.7240342085199707E-3</v>
      </c>
    </row>
    <row r="62" spans="1:91" ht="15" thickBot="1">
      <c r="A62" s="556" t="s">
        <v>220</v>
      </c>
      <c r="B62" s="395"/>
      <c r="C62" s="381">
        <v>42138.462600146777</v>
      </c>
      <c r="D62" s="381">
        <v>45501.244565350084</v>
      </c>
      <c r="E62" s="381">
        <v>45354.031961475965</v>
      </c>
      <c r="F62" s="382">
        <v>132993.73912697283</v>
      </c>
      <c r="G62" s="382"/>
      <c r="H62" s="973"/>
      <c r="I62" s="396">
        <v>-1.9760298530088205E-2</v>
      </c>
      <c r="J62" s="396">
        <v>1.8596441278226683E-2</v>
      </c>
      <c r="K62" s="397">
        <v>2.6455729851725174E-2</v>
      </c>
      <c r="L62" s="398"/>
      <c r="M62" s="397">
        <v>8.7240342085199707E-3</v>
      </c>
    </row>
    <row r="63" spans="1:91" ht="14.25">
      <c r="A63" s="976">
        <v>2009</v>
      </c>
      <c r="B63" s="563" t="s">
        <v>191</v>
      </c>
      <c r="C63" s="359">
        <v>40051</v>
      </c>
      <c r="D63" s="360">
        <v>41955</v>
      </c>
      <c r="E63" s="361">
        <v>42020</v>
      </c>
      <c r="F63" s="362">
        <v>124026</v>
      </c>
      <c r="G63" s="406">
        <v>124026</v>
      </c>
      <c r="H63" s="971" t="s">
        <v>227</v>
      </c>
      <c r="I63" s="564">
        <v>-4.8195061669716488E-2</v>
      </c>
      <c r="J63" s="565">
        <v>1.4045079395723732E-2</v>
      </c>
      <c r="K63" s="566">
        <v>-2.682725881752912E-2</v>
      </c>
      <c r="L63" s="386">
        <v>-2.682725881752912E-2</v>
      </c>
      <c r="M63" s="567">
        <v>-2.682725881752912E-2</v>
      </c>
    </row>
    <row r="64" spans="1:91" ht="14.25">
      <c r="A64" s="969"/>
      <c r="B64" s="568" t="s">
        <v>195</v>
      </c>
      <c r="C64" s="367">
        <v>41468</v>
      </c>
      <c r="D64" s="368">
        <v>43176</v>
      </c>
      <c r="E64" s="369">
        <v>43833</v>
      </c>
      <c r="F64" s="370">
        <v>128477</v>
      </c>
      <c r="G64" s="407">
        <v>252503</v>
      </c>
      <c r="H64" s="972"/>
      <c r="I64" s="387">
        <v>-1.7602046859823268E-2</v>
      </c>
      <c r="J64" s="388">
        <v>5.4132165057228709E-3</v>
      </c>
      <c r="K64" s="389">
        <v>-2.315202019434015E-2</v>
      </c>
      <c r="L64" s="390">
        <v>-2.315202019434015E-2</v>
      </c>
      <c r="M64" s="552">
        <v>-2.4960709279560733E-2</v>
      </c>
    </row>
    <row r="65" spans="1:13" ht="14.25">
      <c r="A65" s="969"/>
      <c r="B65" s="568" t="s">
        <v>15</v>
      </c>
      <c r="C65" s="367">
        <v>42649</v>
      </c>
      <c r="D65" s="368">
        <v>43974</v>
      </c>
      <c r="E65" s="369">
        <v>45207</v>
      </c>
      <c r="F65" s="370">
        <v>131830</v>
      </c>
      <c r="G65" s="407">
        <v>384333</v>
      </c>
      <c r="H65" s="972"/>
      <c r="I65" s="387">
        <v>-5.4926819836138121E-3</v>
      </c>
      <c r="J65" s="388">
        <v>3.3279239331672421E-2</v>
      </c>
      <c r="K65" s="389">
        <v>2.0328641835818395E-3</v>
      </c>
      <c r="L65" s="390">
        <v>2.0328641835818395E-3</v>
      </c>
      <c r="M65" s="552">
        <v>-1.5867048172648834E-2</v>
      </c>
    </row>
    <row r="66" spans="1:13" ht="14.25">
      <c r="A66" s="969"/>
      <c r="B66" s="568" t="s">
        <v>16</v>
      </c>
      <c r="C66" s="367">
        <v>40139</v>
      </c>
      <c r="D66" s="368">
        <v>43031</v>
      </c>
      <c r="E66" s="369">
        <v>44800</v>
      </c>
      <c r="F66" s="370">
        <v>127970</v>
      </c>
      <c r="G66" s="407">
        <v>512303</v>
      </c>
      <c r="H66" s="972"/>
      <c r="I66" s="387">
        <v>-0.11398803611239874</v>
      </c>
      <c r="J66" s="388">
        <v>-5.2493549342244407E-2</v>
      </c>
      <c r="K66" s="389">
        <v>-9.1212521482239017E-2</v>
      </c>
      <c r="L66" s="390">
        <v>-9.1212521482239017E-2</v>
      </c>
      <c r="M66" s="552">
        <v>-3.5834727190527604E-2</v>
      </c>
    </row>
    <row r="67" spans="1:13" ht="14.25">
      <c r="A67" s="969"/>
      <c r="B67" s="568" t="s">
        <v>17</v>
      </c>
      <c r="C67" s="367">
        <v>41143</v>
      </c>
      <c r="D67" s="368">
        <v>45166</v>
      </c>
      <c r="E67" s="369">
        <v>46849</v>
      </c>
      <c r="F67" s="370">
        <v>133158</v>
      </c>
      <c r="G67" s="407">
        <v>645461</v>
      </c>
      <c r="H67" s="972"/>
      <c r="I67" s="387">
        <v>-5.2004608294930872E-2</v>
      </c>
      <c r="J67" s="388">
        <v>-1.0246334558668187E-2</v>
      </c>
      <c r="K67" s="389">
        <v>-4.1216376179041503E-2</v>
      </c>
      <c r="L67" s="390">
        <v>-4.1216376179041503E-2</v>
      </c>
      <c r="M67" s="552">
        <v>-3.69498967334152E-2</v>
      </c>
    </row>
    <row r="68" spans="1:13" ht="14.25">
      <c r="A68" s="969"/>
      <c r="B68" s="568" t="s">
        <v>18</v>
      </c>
      <c r="C68" s="367">
        <v>39338</v>
      </c>
      <c r="D68" s="368">
        <v>45356</v>
      </c>
      <c r="E68" s="369">
        <v>47542</v>
      </c>
      <c r="F68" s="370">
        <v>132236</v>
      </c>
      <c r="G68" s="407">
        <v>777697</v>
      </c>
      <c r="H68" s="972"/>
      <c r="I68" s="387">
        <v>-2.6335329934161676E-2</v>
      </c>
      <c r="J68" s="388">
        <v>1.0671768707482994E-2</v>
      </c>
      <c r="K68" s="389">
        <v>-5.8539920003616297E-3</v>
      </c>
      <c r="L68" s="390">
        <v>-5.8539920003616297E-3</v>
      </c>
      <c r="M68" s="552">
        <v>-3.1800490402125403E-2</v>
      </c>
    </row>
    <row r="69" spans="1:13" ht="14.25">
      <c r="A69" s="969"/>
      <c r="B69" s="568" t="s">
        <v>19</v>
      </c>
      <c r="C69" s="367">
        <v>36278</v>
      </c>
      <c r="D69" s="368">
        <v>43055</v>
      </c>
      <c r="E69" s="369">
        <v>46544</v>
      </c>
      <c r="F69" s="370">
        <v>125877</v>
      </c>
      <c r="G69" s="407">
        <v>903574</v>
      </c>
      <c r="H69" s="972"/>
      <c r="I69" s="387">
        <v>-3.9959775590134437E-2</v>
      </c>
      <c r="J69" s="388">
        <v>7.5247548762042097E-3</v>
      </c>
      <c r="K69" s="389">
        <v>-2.7341290045943545E-2</v>
      </c>
      <c r="L69" s="390">
        <v>-2.7341290045943545E-2</v>
      </c>
      <c r="M69" s="552">
        <v>-3.1181731466766061E-2</v>
      </c>
    </row>
    <row r="70" spans="1:13" ht="14.25">
      <c r="A70" s="969"/>
      <c r="B70" s="568" t="s">
        <v>20</v>
      </c>
      <c r="C70" s="367">
        <v>38943</v>
      </c>
      <c r="D70" s="368">
        <v>43639.509729323123</v>
      </c>
      <c r="E70" s="369">
        <v>46669</v>
      </c>
      <c r="F70" s="370">
        <v>129251.50972932312</v>
      </c>
      <c r="G70" s="407">
        <v>1032825.5097293231</v>
      </c>
      <c r="H70" s="972"/>
      <c r="I70" s="387">
        <v>-2.2882950696273992E-2</v>
      </c>
      <c r="J70" s="388">
        <v>-4.4977511244377811E-4</v>
      </c>
      <c r="K70" s="389">
        <v>-1.7502588673714237E-2</v>
      </c>
      <c r="L70" s="390">
        <v>-1.7502588673714237E-2</v>
      </c>
      <c r="M70" s="552">
        <v>-2.9490761825388789E-2</v>
      </c>
    </row>
    <row r="71" spans="1:13" ht="14.25">
      <c r="A71" s="969"/>
      <c r="B71" s="568" t="s">
        <v>211</v>
      </c>
      <c r="C71" s="367">
        <v>42344</v>
      </c>
      <c r="D71" s="368">
        <v>45323.090825744075</v>
      </c>
      <c r="E71" s="369">
        <v>46364</v>
      </c>
      <c r="F71" s="370">
        <v>134031.09082574409</v>
      </c>
      <c r="G71" s="407">
        <v>1166856.6005550672</v>
      </c>
      <c r="H71" s="972"/>
      <c r="I71" s="387">
        <v>-4.6155925483747438E-2</v>
      </c>
      <c r="J71" s="388">
        <v>-2.6539010665994792E-2</v>
      </c>
      <c r="K71" s="389">
        <v>-3.5775295489740677E-2</v>
      </c>
      <c r="L71" s="390">
        <v>-3.5775295489740677E-2</v>
      </c>
      <c r="M71" s="552">
        <v>-3.0216796771965093E-2</v>
      </c>
    </row>
    <row r="72" spans="1:13" ht="14.25">
      <c r="A72" s="969"/>
      <c r="B72" s="568" t="s">
        <v>213</v>
      </c>
      <c r="C72" s="367">
        <v>41415</v>
      </c>
      <c r="D72" s="368">
        <v>44791.584372036959</v>
      </c>
      <c r="E72" s="369">
        <v>44499</v>
      </c>
      <c r="F72" s="370">
        <v>130705.58437203696</v>
      </c>
      <c r="G72" s="407">
        <v>1297562.184927104</v>
      </c>
      <c r="H72" s="972"/>
      <c r="I72" s="387">
        <v>-5.1094054301752775E-2</v>
      </c>
      <c r="J72" s="388">
        <v>-3.4456571267385598E-2</v>
      </c>
      <c r="K72" s="389">
        <v>-2.5021748679419975E-2</v>
      </c>
      <c r="L72" s="390">
        <v>-2.5021748679419975E-2</v>
      </c>
      <c r="M72" s="552">
        <v>-2.9695999825910535E-2</v>
      </c>
    </row>
    <row r="73" spans="1:13" ht="14.25">
      <c r="A73" s="969"/>
      <c r="B73" s="568" t="s">
        <v>216</v>
      </c>
      <c r="C73" s="367">
        <v>41585</v>
      </c>
      <c r="D73" s="368">
        <v>44265</v>
      </c>
      <c r="E73" s="369">
        <v>44559</v>
      </c>
      <c r="F73" s="370">
        <v>130409</v>
      </c>
      <c r="G73" s="407">
        <v>1427971.184927104</v>
      </c>
      <c r="H73" s="972"/>
      <c r="I73" s="387">
        <v>-2.4055386059610419E-2</v>
      </c>
      <c r="J73" s="388">
        <v>1.3258426966292136E-3</v>
      </c>
      <c r="K73" s="389">
        <v>1.7744933859791256E-3</v>
      </c>
      <c r="L73" s="390">
        <v>1.7744933859791256E-3</v>
      </c>
      <c r="M73" s="552">
        <v>-2.6904244981734826E-2</v>
      </c>
    </row>
    <row r="74" spans="1:13" ht="15" thickBot="1">
      <c r="A74" s="970"/>
      <c r="B74" s="374" t="s">
        <v>217</v>
      </c>
      <c r="C74" s="375">
        <v>40810</v>
      </c>
      <c r="D74" s="376">
        <v>45965</v>
      </c>
      <c r="E74" s="377">
        <v>43664</v>
      </c>
      <c r="F74" s="411">
        <v>130439</v>
      </c>
      <c r="G74" s="407">
        <v>1558410.184927104</v>
      </c>
      <c r="H74" s="972"/>
      <c r="I74" s="558">
        <v>-6.838480445839722E-3</v>
      </c>
      <c r="J74" s="559">
        <v>2.2456386839948484E-2</v>
      </c>
      <c r="K74" s="560">
        <v>1.5302826274781411E-2</v>
      </c>
      <c r="L74" s="394">
        <v>1.5302826274781411E-2</v>
      </c>
      <c r="M74" s="561">
        <v>-2.3506548029273211E-2</v>
      </c>
    </row>
    <row r="75" spans="1:13" ht="15" thickBot="1">
      <c r="A75" s="556" t="s">
        <v>220</v>
      </c>
      <c r="B75" s="395"/>
      <c r="C75" s="381">
        <v>40513.583333333336</v>
      </c>
      <c r="D75" s="381">
        <v>44141.43207725868</v>
      </c>
      <c r="E75" s="381">
        <v>45212.5</v>
      </c>
      <c r="F75" s="382">
        <v>129867.51541059201</v>
      </c>
      <c r="G75" s="382"/>
      <c r="H75" s="972"/>
      <c r="I75" s="396">
        <v>-3.8560478160581502E-2</v>
      </c>
      <c r="J75" s="396">
        <v>-2.9885171297642343E-2</v>
      </c>
      <c r="K75" s="397">
        <v>-3.1206037336698467E-3</v>
      </c>
      <c r="L75" s="398"/>
      <c r="M75" s="397">
        <v>-2.3506548029273211E-2</v>
      </c>
    </row>
    <row r="76" spans="1:13" ht="14.25">
      <c r="A76" s="969">
        <v>2010</v>
      </c>
      <c r="B76" s="548" t="s">
        <v>191</v>
      </c>
      <c r="C76" s="359">
        <v>38769</v>
      </c>
      <c r="D76" s="360">
        <v>40948</v>
      </c>
      <c r="E76" s="361">
        <v>40896</v>
      </c>
      <c r="F76" s="362">
        <v>120613</v>
      </c>
      <c r="G76" s="406">
        <v>120613</v>
      </c>
      <c r="H76" s="981" t="s">
        <v>231</v>
      </c>
      <c r="I76" s="569">
        <v>-3.2009188284936707E-2</v>
      </c>
      <c r="J76" s="565">
        <v>-2.674916706330319E-2</v>
      </c>
      <c r="K76" s="566">
        <v>-2.7518423556351035E-2</v>
      </c>
      <c r="L76" s="386">
        <v>-2.7518423556351035E-2</v>
      </c>
      <c r="M76" s="567">
        <v>-2.7518423556351035E-2</v>
      </c>
    </row>
    <row r="77" spans="1:13" ht="14.25">
      <c r="A77" s="969"/>
      <c r="B77" s="366" t="s">
        <v>195</v>
      </c>
      <c r="C77" s="367">
        <v>40353</v>
      </c>
      <c r="D77" s="368">
        <v>42290</v>
      </c>
      <c r="E77" s="369">
        <v>42919</v>
      </c>
      <c r="F77" s="370">
        <v>125562</v>
      </c>
      <c r="G77" s="407">
        <v>246175</v>
      </c>
      <c r="H77" s="982"/>
      <c r="I77" s="570">
        <v>-2.688820295167358E-2</v>
      </c>
      <c r="J77" s="388">
        <v>-2.0851869595966511E-2</v>
      </c>
      <c r="K77" s="389">
        <v>-2.2688885948457749E-2</v>
      </c>
      <c r="L77" s="390">
        <v>-2.2688885948457749E-2</v>
      </c>
      <c r="M77" s="552">
        <v>-2.5061088383108276E-2</v>
      </c>
    </row>
    <row r="78" spans="1:13" ht="14.25">
      <c r="A78" s="969"/>
      <c r="B78" s="366" t="s">
        <v>15</v>
      </c>
      <c r="C78" s="367">
        <v>39577.55385956086</v>
      </c>
      <c r="D78" s="368">
        <v>44527</v>
      </c>
      <c r="E78" s="369">
        <v>44702</v>
      </c>
      <c r="F78" s="370">
        <v>128806.55385956087</v>
      </c>
      <c r="G78" s="407">
        <v>374981.55385956087</v>
      </c>
      <c r="H78" s="982"/>
      <c r="I78" s="570">
        <v>-7.2016838388687665E-2</v>
      </c>
      <c r="J78" s="388">
        <v>-1.1170836374897693E-2</v>
      </c>
      <c r="K78" s="389">
        <v>-2.2934431771517327E-2</v>
      </c>
      <c r="L78" s="390">
        <v>-2.2934431771517327E-2</v>
      </c>
      <c r="M78" s="552">
        <v>-2.4331624243661421E-2</v>
      </c>
    </row>
    <row r="79" spans="1:13" ht="14.25">
      <c r="A79" s="969"/>
      <c r="B79" s="366" t="s">
        <v>16</v>
      </c>
      <c r="C79" s="367">
        <v>38546</v>
      </c>
      <c r="D79" s="368">
        <v>41213</v>
      </c>
      <c r="E79" s="369">
        <v>42389</v>
      </c>
      <c r="F79" s="370">
        <v>122148</v>
      </c>
      <c r="G79" s="407">
        <v>497129.55385956087</v>
      </c>
      <c r="H79" s="982"/>
      <c r="I79" s="570">
        <v>-3.968708737138444E-2</v>
      </c>
      <c r="J79" s="388">
        <v>-5.3816964285714287E-2</v>
      </c>
      <c r="K79" s="389">
        <v>-4.5495037899507706E-2</v>
      </c>
      <c r="L79" s="390">
        <v>-4.5495037899507706E-2</v>
      </c>
      <c r="M79" s="552">
        <v>-2.9618109088643152E-2</v>
      </c>
    </row>
    <row r="80" spans="1:13" ht="14.25">
      <c r="A80" s="969"/>
      <c r="B80" s="366" t="s">
        <v>17</v>
      </c>
      <c r="C80" s="367">
        <v>42047</v>
      </c>
      <c r="D80" s="368">
        <v>46617</v>
      </c>
      <c r="E80" s="369">
        <v>48759</v>
      </c>
      <c r="F80" s="370">
        <v>137423</v>
      </c>
      <c r="G80" s="407">
        <v>634552.55385956087</v>
      </c>
      <c r="H80" s="982"/>
      <c r="I80" s="570">
        <v>2.1972145930048852E-2</v>
      </c>
      <c r="J80" s="388">
        <v>4.0769280027321823E-2</v>
      </c>
      <c r="K80" s="389">
        <v>3.202961894891776E-2</v>
      </c>
      <c r="L80" s="390">
        <v>3.202961894891776E-2</v>
      </c>
      <c r="M80" s="552">
        <v>-1.6900240510951292E-2</v>
      </c>
    </row>
    <row r="81" spans="1:13" ht="14.25">
      <c r="A81" s="969"/>
      <c r="B81" s="366" t="s">
        <v>18</v>
      </c>
      <c r="C81" s="367">
        <v>38698</v>
      </c>
      <c r="D81" s="368">
        <v>44896</v>
      </c>
      <c r="E81" s="369">
        <v>47264</v>
      </c>
      <c r="F81" s="370">
        <v>130858</v>
      </c>
      <c r="G81" s="407">
        <v>765410.55385956087</v>
      </c>
      <c r="H81" s="982"/>
      <c r="I81" s="570">
        <v>-1.6269256189943567E-2</v>
      </c>
      <c r="J81" s="388">
        <v>-5.8474611922089944E-3</v>
      </c>
      <c r="K81" s="389">
        <v>-1.042076287848992E-2</v>
      </c>
      <c r="L81" s="390">
        <v>-1.042076287848992E-2</v>
      </c>
      <c r="M81" s="552">
        <v>-1.5798500110504654E-2</v>
      </c>
    </row>
    <row r="82" spans="1:13" ht="14.25">
      <c r="A82" s="969"/>
      <c r="B82" s="366" t="s">
        <v>19</v>
      </c>
      <c r="C82" s="367">
        <v>32469.834451891707</v>
      </c>
      <c r="D82" s="368">
        <v>40894</v>
      </c>
      <c r="E82" s="369">
        <v>45038</v>
      </c>
      <c r="F82" s="370">
        <v>118401.83445189171</v>
      </c>
      <c r="G82" s="407">
        <v>883812.38831145258</v>
      </c>
      <c r="H82" s="982"/>
      <c r="I82" s="570">
        <v>-0.1049717610702986</v>
      </c>
      <c r="J82" s="388">
        <v>-3.2356479889996563E-2</v>
      </c>
      <c r="K82" s="389">
        <v>-5.9384681459744737E-2</v>
      </c>
      <c r="L82" s="390">
        <v>-5.9384681459744737E-2</v>
      </c>
      <c r="M82" s="552">
        <v>-2.1870496150340091E-2</v>
      </c>
    </row>
    <row r="83" spans="1:13" ht="14.25">
      <c r="A83" s="969"/>
      <c r="B83" s="366" t="s">
        <v>20</v>
      </c>
      <c r="C83" s="367">
        <v>39203</v>
      </c>
      <c r="D83" s="368">
        <v>44069</v>
      </c>
      <c r="E83" s="369">
        <v>46872</v>
      </c>
      <c r="F83" s="370">
        <v>130144</v>
      </c>
      <c r="G83" s="407">
        <v>1013956.3883114526</v>
      </c>
      <c r="H83" s="982"/>
      <c r="I83" s="570">
        <v>6.6764245178851144E-3</v>
      </c>
      <c r="J83" s="388">
        <v>4.3497825108744564E-3</v>
      </c>
      <c r="K83" s="389">
        <v>6.9050665059613436E-3</v>
      </c>
      <c r="L83" s="390">
        <v>6.9050665059613436E-3</v>
      </c>
      <c r="M83" s="552">
        <v>-1.8269418444956553E-2</v>
      </c>
    </row>
    <row r="84" spans="1:13" ht="14.25">
      <c r="A84" s="969"/>
      <c r="B84" s="366" t="s">
        <v>211</v>
      </c>
      <c r="C84" s="367">
        <v>41946</v>
      </c>
      <c r="D84" s="368">
        <v>44929</v>
      </c>
      <c r="E84" s="369">
        <v>46070</v>
      </c>
      <c r="F84" s="370">
        <v>132945</v>
      </c>
      <c r="G84" s="407">
        <v>1146901.3883114527</v>
      </c>
      <c r="H84" s="982"/>
      <c r="I84" s="570">
        <v>-9.3992064991498207E-3</v>
      </c>
      <c r="J84" s="388">
        <v>-6.3411267362608924E-3</v>
      </c>
      <c r="K84" s="389">
        <v>-8.1032752852555623E-3</v>
      </c>
      <c r="L84" s="390">
        <v>-8.1032752852555623E-3</v>
      </c>
      <c r="M84" s="552">
        <v>-1.7101683475177598E-2</v>
      </c>
    </row>
    <row r="85" spans="1:13" ht="14.25">
      <c r="A85" s="969"/>
      <c r="B85" s="366" t="s">
        <v>213</v>
      </c>
      <c r="C85" s="367">
        <v>41381</v>
      </c>
      <c r="D85" s="368">
        <v>44334</v>
      </c>
      <c r="E85" s="369">
        <v>45824</v>
      </c>
      <c r="F85" s="370">
        <v>131539</v>
      </c>
      <c r="G85" s="407">
        <v>1278440.3883114527</v>
      </c>
      <c r="H85" s="982"/>
      <c r="I85" s="570">
        <v>-8.2095858988289264E-4</v>
      </c>
      <c r="J85" s="388">
        <v>2.9775950021348793E-2</v>
      </c>
      <c r="K85" s="389">
        <v>6.3762817171668651E-3</v>
      </c>
      <c r="L85" s="390">
        <v>6.3762817171668651E-3</v>
      </c>
      <c r="M85" s="552">
        <v>-1.4736709221165878E-2</v>
      </c>
    </row>
    <row r="86" spans="1:13" ht="14.25">
      <c r="A86" s="969"/>
      <c r="B86" s="366" t="s">
        <v>216</v>
      </c>
      <c r="C86" s="367">
        <v>38837.210682722696</v>
      </c>
      <c r="D86" s="368">
        <v>44338</v>
      </c>
      <c r="E86" s="369">
        <v>44525</v>
      </c>
      <c r="F86" s="370">
        <v>127700.2106827227</v>
      </c>
      <c r="G86" s="407">
        <v>1406140.5989941754</v>
      </c>
      <c r="H86" s="982"/>
      <c r="I86" s="570">
        <v>-6.6076453463443638E-2</v>
      </c>
      <c r="J86" s="388">
        <v>-7.6303328171637601E-4</v>
      </c>
      <c r="K86" s="389">
        <v>-2.0771490597100706E-2</v>
      </c>
      <c r="L86" s="390">
        <v>-2.0771490597100706E-2</v>
      </c>
      <c r="M86" s="552">
        <v>-1.5287833650538984E-2</v>
      </c>
    </row>
    <row r="87" spans="1:13" ht="15" thickBot="1">
      <c r="A87" s="970"/>
      <c r="B87" s="366" t="s">
        <v>217</v>
      </c>
      <c r="C87" s="571">
        <v>40499</v>
      </c>
      <c r="D87" s="378">
        <v>46137</v>
      </c>
      <c r="E87" s="572">
        <v>44030</v>
      </c>
      <c r="F87" s="411">
        <v>130666</v>
      </c>
      <c r="G87" s="407">
        <v>1536806.5989941754</v>
      </c>
      <c r="H87" s="982"/>
      <c r="I87" s="570">
        <v>-7.6206812055868659E-3</v>
      </c>
      <c r="J87" s="388">
        <v>8.3821912788567248E-3</v>
      </c>
      <c r="K87" s="389">
        <v>1.7402770643748511E-3</v>
      </c>
      <c r="L87" s="390">
        <v>1.7402770643748511E-3</v>
      </c>
      <c r="M87" s="552">
        <v>-1.3862580045919781E-2</v>
      </c>
    </row>
    <row r="88" spans="1:13" ht="15" thickBot="1">
      <c r="A88" s="556" t="s">
        <v>220</v>
      </c>
      <c r="B88" s="395"/>
      <c r="C88" s="381">
        <v>39360.54991618127</v>
      </c>
      <c r="D88" s="381">
        <v>43766</v>
      </c>
      <c r="E88" s="381">
        <v>44940.666666666664</v>
      </c>
      <c r="F88" s="382">
        <v>128067.21658284795</v>
      </c>
      <c r="G88" s="382"/>
      <c r="H88" s="983"/>
      <c r="I88" s="573">
        <v>-2.8460415551625262E-2</v>
      </c>
      <c r="J88" s="396">
        <v>-8.5052083630087205E-3</v>
      </c>
      <c r="K88" s="397">
        <v>-6.0123490922495693E-3</v>
      </c>
      <c r="L88" s="398"/>
      <c r="M88" s="397">
        <v>-1.3862580045919781E-2</v>
      </c>
    </row>
    <row r="89" spans="1:13" ht="14.25">
      <c r="A89" s="969">
        <v>2011</v>
      </c>
      <c r="B89" s="574" t="s">
        <v>191</v>
      </c>
      <c r="C89" s="575">
        <v>34438</v>
      </c>
      <c r="D89" s="576">
        <v>40650</v>
      </c>
      <c r="E89" s="577">
        <v>40584</v>
      </c>
      <c r="F89" s="362">
        <v>115672</v>
      </c>
      <c r="G89" s="406">
        <v>115672</v>
      </c>
      <c r="H89" s="972" t="s">
        <v>235</v>
      </c>
      <c r="I89" s="578">
        <v>-0.11171296654543579</v>
      </c>
      <c r="J89" s="579">
        <v>-7.2775227117319527E-3</v>
      </c>
      <c r="K89" s="580">
        <v>-7.6291079812206572E-3</v>
      </c>
      <c r="L89" s="581">
        <v>-4.0965733378657387E-2</v>
      </c>
      <c r="M89" s="582">
        <v>-4.0965733378657387E-2</v>
      </c>
    </row>
    <row r="90" spans="1:13" ht="14.25">
      <c r="A90" s="969"/>
      <c r="B90" s="583" t="s">
        <v>195</v>
      </c>
      <c r="C90" s="584">
        <v>38278</v>
      </c>
      <c r="D90" s="585">
        <v>41594</v>
      </c>
      <c r="E90" s="586">
        <v>42191</v>
      </c>
      <c r="F90" s="370">
        <v>122063</v>
      </c>
      <c r="G90" s="407">
        <v>237735</v>
      </c>
      <c r="H90" s="972"/>
      <c r="I90" s="587">
        <v>-5.1421207840804894E-2</v>
      </c>
      <c r="J90" s="588">
        <v>-1.6457791440056751E-2</v>
      </c>
      <c r="K90" s="589">
        <v>-1.6962184580255831E-2</v>
      </c>
      <c r="L90" s="590">
        <v>-2.786671126614737E-2</v>
      </c>
      <c r="M90" s="591">
        <v>-3.4284553671168894E-2</v>
      </c>
    </row>
    <row r="91" spans="1:13" ht="14.25">
      <c r="A91" s="969"/>
      <c r="B91" s="574" t="s">
        <v>15</v>
      </c>
      <c r="C91" s="584">
        <v>39577.55385956086</v>
      </c>
      <c r="D91" s="585">
        <v>42024</v>
      </c>
      <c r="E91" s="586">
        <v>42382</v>
      </c>
      <c r="F91" s="370">
        <v>123983.55385956087</v>
      </c>
      <c r="G91" s="407">
        <v>361718.55385956087</v>
      </c>
      <c r="H91" s="972"/>
      <c r="I91" s="587">
        <v>0</v>
      </c>
      <c r="J91" s="588">
        <v>-5.6213084196105732E-2</v>
      </c>
      <c r="K91" s="589">
        <v>-5.1899243881705519E-2</v>
      </c>
      <c r="L91" s="590">
        <v>-3.7443746886191565E-2</v>
      </c>
      <c r="M91" s="591">
        <v>-3.53697398271684E-2</v>
      </c>
    </row>
    <row r="92" spans="1:13" ht="14.25">
      <c r="A92" s="969"/>
      <c r="B92" s="583" t="s">
        <v>16</v>
      </c>
      <c r="C92" s="592">
        <v>38191</v>
      </c>
      <c r="D92" s="593">
        <v>41786</v>
      </c>
      <c r="E92" s="594">
        <v>42456</v>
      </c>
      <c r="F92" s="370">
        <v>122433</v>
      </c>
      <c r="G92" s="407">
        <v>484151.55385956087</v>
      </c>
      <c r="H92" s="972"/>
      <c r="I92" s="595">
        <v>-9.2097753333679234E-3</v>
      </c>
      <c r="J92" s="596">
        <v>1.3903380001455851E-2</v>
      </c>
      <c r="K92" s="597">
        <v>1.5805987402392129E-3</v>
      </c>
      <c r="L92" s="598">
        <v>2.3332350918556788E-3</v>
      </c>
      <c r="M92" s="599">
        <v>-2.6105870993270885E-2</v>
      </c>
    </row>
    <row r="93" spans="1:13" ht="14.25">
      <c r="A93" s="969"/>
      <c r="B93" s="574" t="s">
        <v>17</v>
      </c>
      <c r="C93" s="584">
        <v>40629</v>
      </c>
      <c r="D93" s="585">
        <v>44902.820709191597</v>
      </c>
      <c r="E93" s="586">
        <v>45805</v>
      </c>
      <c r="F93" s="370">
        <v>131336.82070919161</v>
      </c>
      <c r="G93" s="407">
        <v>615488.37456875248</v>
      </c>
      <c r="H93" s="972"/>
      <c r="I93" s="587">
        <v>-3.372416581444574E-2</v>
      </c>
      <c r="J93" s="588">
        <v>-3.6771548808554877E-2</v>
      </c>
      <c r="K93" s="589">
        <v>-6.0583687114173793E-2</v>
      </c>
      <c r="L93" s="590">
        <v>-4.4287923352047232E-2</v>
      </c>
      <c r="M93" s="591">
        <v>-3.0043499430982834E-2</v>
      </c>
    </row>
    <row r="94" spans="1:13" ht="14.25">
      <c r="A94" s="969"/>
      <c r="B94" s="583" t="s">
        <v>18</v>
      </c>
      <c r="C94" s="592">
        <v>37310</v>
      </c>
      <c r="D94" s="593">
        <v>43292.140361930658</v>
      </c>
      <c r="E94" s="594">
        <v>46102</v>
      </c>
      <c r="F94" s="370">
        <v>126704.14036193065</v>
      </c>
      <c r="G94" s="407">
        <v>742192.51493068319</v>
      </c>
      <c r="H94" s="972"/>
      <c r="I94" s="595">
        <v>-3.5867486691818697E-2</v>
      </c>
      <c r="J94" s="596">
        <v>-3.5723887162984268E-2</v>
      </c>
      <c r="K94" s="597">
        <v>-2.4585308056872038E-2</v>
      </c>
      <c r="L94" s="598">
        <v>-3.1743260924585015E-2</v>
      </c>
      <c r="M94" s="599">
        <v>-3.0334098232381757E-2</v>
      </c>
    </row>
    <row r="95" spans="1:13" ht="14.25">
      <c r="A95" s="969"/>
      <c r="B95" s="574" t="s">
        <v>19</v>
      </c>
      <c r="C95" s="600">
        <v>32469.834451891707</v>
      </c>
      <c r="D95" s="601">
        <v>40295</v>
      </c>
      <c r="E95" s="602">
        <v>44324</v>
      </c>
      <c r="F95" s="370">
        <v>117088.83445189171</v>
      </c>
      <c r="G95" s="407">
        <v>859281.3493825749</v>
      </c>
      <c r="H95" s="972"/>
      <c r="I95" s="587">
        <v>0</v>
      </c>
      <c r="J95" s="588">
        <v>-1.4647625568543063E-2</v>
      </c>
      <c r="K95" s="589">
        <v>-1.5853279452906436E-2</v>
      </c>
      <c r="L95" s="590">
        <v>-1.1089355212089091E-2</v>
      </c>
      <c r="M95" s="591">
        <v>-2.775593469078308E-2</v>
      </c>
    </row>
    <row r="96" spans="1:13" ht="14.25">
      <c r="A96" s="969"/>
      <c r="B96" s="583" t="s">
        <v>20</v>
      </c>
      <c r="C96" s="592">
        <v>39501</v>
      </c>
      <c r="D96" s="593">
        <v>43816</v>
      </c>
      <c r="E96" s="594">
        <v>47395</v>
      </c>
      <c r="F96" s="370">
        <v>130712</v>
      </c>
      <c r="G96" s="407">
        <v>989993.3493825749</v>
      </c>
      <c r="H96" s="972"/>
      <c r="I96" s="595">
        <v>7.6014590720097953E-3</v>
      </c>
      <c r="J96" s="596">
        <v>-5.7409970727722434E-3</v>
      </c>
      <c r="K96" s="597">
        <v>1.1158047448370029E-2</v>
      </c>
      <c r="L96" s="598">
        <v>4.3643963609540926E-3</v>
      </c>
      <c r="M96" s="599">
        <v>-2.3633204746392966E-2</v>
      </c>
    </row>
    <row r="97" spans="1:16" ht="14.25">
      <c r="A97" s="969"/>
      <c r="B97" s="574" t="s">
        <v>211</v>
      </c>
      <c r="C97" s="584">
        <v>42149</v>
      </c>
      <c r="D97" s="585">
        <v>44852</v>
      </c>
      <c r="E97" s="586">
        <v>46305</v>
      </c>
      <c r="F97" s="370">
        <v>133306</v>
      </c>
      <c r="G97" s="407">
        <v>1123299.3493825749</v>
      </c>
      <c r="H97" s="972"/>
      <c r="I97" s="587">
        <v>4.8395556191293569E-3</v>
      </c>
      <c r="J97" s="588">
        <v>-1.7138151305392953E-3</v>
      </c>
      <c r="K97" s="589">
        <v>5.1009333622747989E-3</v>
      </c>
      <c r="L97" s="590">
        <v>2.7154086276279799E-3</v>
      </c>
      <c r="M97" s="591">
        <v>-2.0578960989511397E-2</v>
      </c>
      <c r="P97">
        <f>1/13</f>
        <v>7.6923076923076927E-2</v>
      </c>
    </row>
    <row r="98" spans="1:16" ht="14.25">
      <c r="A98" s="969"/>
      <c r="B98" s="583" t="s">
        <v>213</v>
      </c>
      <c r="C98" s="584">
        <v>38837.210682722696</v>
      </c>
      <c r="D98" s="585">
        <v>43630</v>
      </c>
      <c r="E98" s="586">
        <v>44120</v>
      </c>
      <c r="F98" s="370">
        <v>126587.2106827227</v>
      </c>
      <c r="G98" s="407">
        <v>1249886.5600652976</v>
      </c>
      <c r="H98" s="972"/>
      <c r="I98" s="587">
        <v>-6.147239837793441E-2</v>
      </c>
      <c r="J98" s="588">
        <v>-1.5879460459241216E-2</v>
      </c>
      <c r="K98" s="589">
        <v>-3.7185754189944131E-2</v>
      </c>
      <c r="L98" s="590">
        <v>-3.764502784176027E-2</v>
      </c>
      <c r="M98" s="591">
        <v>-2.2334892191468225E-2</v>
      </c>
    </row>
    <row r="99" spans="1:16" ht="14.25">
      <c r="A99" s="969"/>
      <c r="B99" s="574" t="s">
        <v>216</v>
      </c>
      <c r="C99" s="584">
        <v>38914</v>
      </c>
      <c r="D99" s="585">
        <v>45013</v>
      </c>
      <c r="E99" s="586">
        <v>43954</v>
      </c>
      <c r="F99" s="370">
        <v>127881</v>
      </c>
      <c r="G99" s="407">
        <v>1377767.5600652976</v>
      </c>
      <c r="H99" s="972"/>
      <c r="I99" s="587">
        <v>1.9772098955465056E-3</v>
      </c>
      <c r="J99" s="588">
        <v>1.5223961387523117E-2</v>
      </c>
      <c r="K99" s="589">
        <v>-1.2824256035934869E-2</v>
      </c>
      <c r="L99" s="590">
        <v>1.4157323336487782E-3</v>
      </c>
      <c r="M99" s="591">
        <v>-2.0177953007809668E-2</v>
      </c>
    </row>
    <row r="100" spans="1:16" ht="15" thickBot="1">
      <c r="A100" s="970"/>
      <c r="B100" s="583" t="s">
        <v>217</v>
      </c>
      <c r="C100" s="584">
        <v>39009</v>
      </c>
      <c r="D100" s="585">
        <v>44817</v>
      </c>
      <c r="E100" s="586">
        <v>41196</v>
      </c>
      <c r="F100" s="411">
        <v>125022</v>
      </c>
      <c r="G100" s="407">
        <v>1502789.5600652976</v>
      </c>
      <c r="H100" s="972"/>
      <c r="I100" s="603">
        <v>-3.6791031877330307E-2</v>
      </c>
      <c r="J100" s="604">
        <v>-2.8610442811626245E-2</v>
      </c>
      <c r="K100" s="605">
        <v>-6.4365205541676129E-2</v>
      </c>
      <c r="L100" s="606">
        <v>-4.3194097929071029E-2</v>
      </c>
      <c r="M100" s="607">
        <v>-2.2134886036500379E-2</v>
      </c>
    </row>
    <row r="101" spans="1:16" ht="15" thickBot="1">
      <c r="A101" s="556" t="s">
        <v>220</v>
      </c>
      <c r="B101" s="395"/>
      <c r="C101" s="381">
        <v>38275.29991618127</v>
      </c>
      <c r="D101" s="381">
        <v>43055.996755926855</v>
      </c>
      <c r="E101" s="381">
        <v>43901.166666666664</v>
      </c>
      <c r="F101" s="382">
        <v>125232.4633387748</v>
      </c>
      <c r="G101" s="382"/>
      <c r="H101" s="973"/>
      <c r="I101" s="396">
        <v>-2.7572023315503791E-2</v>
      </c>
      <c r="J101" s="396">
        <v>-1.6222712701026931E-2</v>
      </c>
      <c r="K101" s="397">
        <v>-2.3130497989942267E-2</v>
      </c>
      <c r="L101" s="398"/>
      <c r="M101" s="397">
        <v>-2.2134886036500379E-2</v>
      </c>
    </row>
    <row r="102" spans="1:16" ht="14.25">
      <c r="A102" s="969">
        <v>2012</v>
      </c>
      <c r="B102" s="574" t="s">
        <v>191</v>
      </c>
      <c r="C102" s="575">
        <v>36756</v>
      </c>
      <c r="D102" s="576">
        <v>40229</v>
      </c>
      <c r="E102" s="577">
        <v>37935</v>
      </c>
      <c r="F102" s="362">
        <v>114920</v>
      </c>
      <c r="G102" s="406">
        <v>114920</v>
      </c>
      <c r="H102" s="971" t="s">
        <v>236</v>
      </c>
      <c r="I102" s="578">
        <v>6.7309367559091698E-2</v>
      </c>
      <c r="J102" s="579">
        <v>-1.035670356703567E-2</v>
      </c>
      <c r="K102" s="580">
        <v>-6.5272028385570668E-2</v>
      </c>
      <c r="L102" s="581">
        <v>-6.5011411577564626E-3</v>
      </c>
      <c r="M102" s="582">
        <v>-6.5011411577564626E-3</v>
      </c>
      <c r="P102">
        <v>2012</v>
      </c>
    </row>
    <row r="103" spans="1:16" ht="14.25">
      <c r="A103" s="969"/>
      <c r="B103" s="583" t="s">
        <v>195</v>
      </c>
      <c r="C103" s="584">
        <v>39916</v>
      </c>
      <c r="D103" s="585">
        <v>42641</v>
      </c>
      <c r="E103" s="586">
        <v>42098</v>
      </c>
      <c r="F103" s="370">
        <v>124655</v>
      </c>
      <c r="G103" s="407">
        <v>239575</v>
      </c>
      <c r="H103" s="972"/>
      <c r="I103" s="587">
        <v>4.2792204399393907E-2</v>
      </c>
      <c r="J103" s="588">
        <v>2.5171899793239409E-2</v>
      </c>
      <c r="K103" s="589">
        <v>-2.204261572373255E-3</v>
      </c>
      <c r="L103" s="590">
        <v>2.1234936057609621E-2</v>
      </c>
      <c r="M103" s="591">
        <v>7.7397101815046554E-3</v>
      </c>
      <c r="P103">
        <f>P102+$P$97</f>
        <v>2012.0769230769231</v>
      </c>
    </row>
    <row r="104" spans="1:16" ht="14.25">
      <c r="A104" s="969"/>
      <c r="B104" s="574" t="s">
        <v>15</v>
      </c>
      <c r="C104" s="584">
        <v>40799</v>
      </c>
      <c r="D104" s="585">
        <v>42827.129822515941</v>
      </c>
      <c r="E104" s="586">
        <v>43161</v>
      </c>
      <c r="F104" s="370">
        <v>126787.12982251594</v>
      </c>
      <c r="G104" s="407">
        <v>366362.12982251594</v>
      </c>
      <c r="H104" s="972"/>
      <c r="I104" s="587">
        <v>3.0862092810823687E-2</v>
      </c>
      <c r="J104" s="588">
        <v>1.9111217935368855E-2</v>
      </c>
      <c r="K104" s="589">
        <v>1.8380444528337501E-2</v>
      </c>
      <c r="L104" s="590">
        <v>2.2612482669521983E-2</v>
      </c>
      <c r="M104" s="591">
        <v>1.2837538780932967E-2</v>
      </c>
      <c r="P104">
        <f t="shared" ref="P104:P114" si="231">P103+$P$97</f>
        <v>2012.1538461538462</v>
      </c>
    </row>
    <row r="105" spans="1:16" ht="14.25">
      <c r="A105" s="969"/>
      <c r="B105" s="583" t="s">
        <v>16</v>
      </c>
      <c r="C105" s="584">
        <v>37312</v>
      </c>
      <c r="D105" s="585">
        <v>41032</v>
      </c>
      <c r="E105" s="586">
        <v>42770</v>
      </c>
      <c r="F105" s="370">
        <v>121114</v>
      </c>
      <c r="G105" s="407">
        <v>487476.12982251594</v>
      </c>
      <c r="H105" s="972"/>
      <c r="I105" s="587">
        <v>-2.3015893796967873E-2</v>
      </c>
      <c r="J105" s="588">
        <v>-1.8044321064471354E-2</v>
      </c>
      <c r="K105" s="589">
        <v>7.3958922178255131E-3</v>
      </c>
      <c r="L105" s="590">
        <v>-1.0773239241054333E-2</v>
      </c>
      <c r="M105" s="591">
        <v>6.8668084124736684E-3</v>
      </c>
      <c r="P105">
        <f t="shared" si="231"/>
        <v>2012.2307692307693</v>
      </c>
    </row>
    <row r="106" spans="1:16" ht="14.25">
      <c r="A106" s="969"/>
      <c r="B106" s="574" t="s">
        <v>17</v>
      </c>
      <c r="C106" s="584">
        <v>39532</v>
      </c>
      <c r="D106" s="585">
        <v>44101</v>
      </c>
      <c r="E106" s="586">
        <v>47730</v>
      </c>
      <c r="F106" s="370">
        <v>131363</v>
      </c>
      <c r="G106" s="407">
        <v>618839.12982251588</v>
      </c>
      <c r="H106" s="972"/>
      <c r="I106" s="587">
        <v>-2.700041842034015E-2</v>
      </c>
      <c r="J106" s="588">
        <v>-1.7856800453238897E-2</v>
      </c>
      <c r="K106" s="589">
        <v>4.2025979696539678E-2</v>
      </c>
      <c r="L106" s="590">
        <v>1.9932940866862481E-4</v>
      </c>
      <c r="M106" s="591">
        <v>5.4440593717324237E-3</v>
      </c>
      <c r="P106">
        <f t="shared" si="231"/>
        <v>2012.3076923076924</v>
      </c>
    </row>
    <row r="107" spans="1:16" ht="14.25">
      <c r="A107" s="969"/>
      <c r="B107" s="583" t="s">
        <v>18</v>
      </c>
      <c r="C107" s="584">
        <v>38535</v>
      </c>
      <c r="D107" s="585">
        <v>45391</v>
      </c>
      <c r="E107" s="586">
        <v>49113</v>
      </c>
      <c r="F107" s="370">
        <v>133039</v>
      </c>
      <c r="G107" s="407">
        <v>751878.12982251588</v>
      </c>
      <c r="H107" s="972"/>
      <c r="I107" s="587">
        <v>3.283302063789869E-2</v>
      </c>
      <c r="J107" s="588">
        <v>4.8481309090344565E-2</v>
      </c>
      <c r="K107" s="589">
        <v>6.5311700143160817E-2</v>
      </c>
      <c r="L107" s="590">
        <v>4.9997258337208361E-2</v>
      </c>
      <c r="M107" s="591">
        <v>1.3050003465391091E-2</v>
      </c>
      <c r="P107">
        <f t="shared" si="231"/>
        <v>2012.3846153846155</v>
      </c>
    </row>
    <row r="108" spans="1:16" ht="14.25">
      <c r="A108" s="969"/>
      <c r="B108" s="574" t="s">
        <v>19</v>
      </c>
      <c r="C108" s="584">
        <v>35019</v>
      </c>
      <c r="D108" s="585">
        <v>42613</v>
      </c>
      <c r="E108" s="586">
        <v>45682</v>
      </c>
      <c r="F108" s="370">
        <v>123314</v>
      </c>
      <c r="G108" s="407">
        <v>875192.12982251588</v>
      </c>
      <c r="H108" s="972"/>
      <c r="I108" s="587">
        <v>7.8508732524805863E-2</v>
      </c>
      <c r="J108" s="588">
        <v>5.7525747611366175E-2</v>
      </c>
      <c r="K108" s="589">
        <v>3.0638029058749211E-2</v>
      </c>
      <c r="L108" s="590">
        <v>5.316617572673854E-2</v>
      </c>
      <c r="M108" s="591">
        <v>1.8516380521203413E-2</v>
      </c>
      <c r="P108">
        <f t="shared" si="231"/>
        <v>2012.4615384615386</v>
      </c>
    </row>
    <row r="109" spans="1:16" ht="14.25">
      <c r="A109" s="969"/>
      <c r="B109" s="583" t="s">
        <v>20</v>
      </c>
      <c r="C109" s="584">
        <v>38080</v>
      </c>
      <c r="D109" s="585">
        <v>44481</v>
      </c>
      <c r="E109" s="586">
        <v>46569</v>
      </c>
      <c r="F109" s="370">
        <v>129130</v>
      </c>
      <c r="G109" s="407">
        <v>1004322.1298225159</v>
      </c>
      <c r="H109" s="972"/>
      <c r="I109" s="587">
        <v>-3.5973772815878081E-2</v>
      </c>
      <c r="J109" s="588">
        <v>1.5177104254153733E-2</v>
      </c>
      <c r="K109" s="589">
        <v>-1.7427998734043677E-2</v>
      </c>
      <c r="L109" s="590">
        <v>-1.2102943876614258E-2</v>
      </c>
      <c r="M109" s="591">
        <v>1.4473612826669369E-2</v>
      </c>
      <c r="P109">
        <f t="shared" si="231"/>
        <v>2012.5384615384617</v>
      </c>
    </row>
    <row r="110" spans="1:16" ht="14.25">
      <c r="A110" s="969"/>
      <c r="B110" s="574" t="s">
        <v>211</v>
      </c>
      <c r="C110" s="584">
        <v>40494</v>
      </c>
      <c r="D110" s="585">
        <v>45206</v>
      </c>
      <c r="E110" s="586">
        <v>45960</v>
      </c>
      <c r="F110" s="370">
        <v>131660</v>
      </c>
      <c r="G110" s="407">
        <v>1135982.1298225159</v>
      </c>
      <c r="H110" s="972"/>
      <c r="I110" s="587">
        <v>-3.9265463000308427E-2</v>
      </c>
      <c r="J110" s="588">
        <v>7.8926246321234274E-3</v>
      </c>
      <c r="K110" s="589">
        <v>-7.4505992873339809E-3</v>
      </c>
      <c r="L110" s="590">
        <v>-1.2347531243904974E-2</v>
      </c>
      <c r="M110" s="591">
        <v>1.1290650570493277E-2</v>
      </c>
      <c r="P110">
        <f t="shared" si="231"/>
        <v>2012.6153846153848</v>
      </c>
    </row>
    <row r="111" spans="1:16" ht="14.25">
      <c r="A111" s="969"/>
      <c r="B111" s="583" t="s">
        <v>213</v>
      </c>
      <c r="C111" s="584">
        <v>40938</v>
      </c>
      <c r="D111" s="585">
        <v>45269</v>
      </c>
      <c r="E111" s="586">
        <v>45129</v>
      </c>
      <c r="F111" s="370">
        <v>131336</v>
      </c>
      <c r="G111" s="407">
        <v>1267318.1298225159</v>
      </c>
      <c r="H111" s="972"/>
      <c r="I111" s="587">
        <v>5.4092178103096134E-2</v>
      </c>
      <c r="J111" s="588">
        <v>3.7565895026358008E-2</v>
      </c>
      <c r="K111" s="589">
        <v>2.2869446962828648E-2</v>
      </c>
      <c r="L111" s="590">
        <v>3.7513973897249642E-2</v>
      </c>
      <c r="M111" s="591">
        <v>1.3946521479763385E-2</v>
      </c>
      <c r="P111">
        <f t="shared" si="231"/>
        <v>2012.6923076923078</v>
      </c>
    </row>
    <row r="112" spans="1:16" ht="14.25">
      <c r="A112" s="969"/>
      <c r="B112" s="574" t="s">
        <v>216</v>
      </c>
      <c r="C112" s="584">
        <v>40371</v>
      </c>
      <c r="D112" s="585">
        <v>45583</v>
      </c>
      <c r="E112" s="586">
        <v>43603</v>
      </c>
      <c r="F112" s="370">
        <v>129557</v>
      </c>
      <c r="G112" s="407">
        <v>1396875.1298225159</v>
      </c>
      <c r="H112" s="972"/>
      <c r="I112" s="587">
        <v>3.7441537749910055E-2</v>
      </c>
      <c r="J112" s="588">
        <v>1.2663008464221448E-2</v>
      </c>
      <c r="K112" s="589">
        <v>-7.9856213313919105E-3</v>
      </c>
      <c r="L112" s="590">
        <v>1.3105934423409238E-2</v>
      </c>
      <c r="M112" s="591">
        <v>1.3868500254362592E-2</v>
      </c>
      <c r="P112">
        <f t="shared" si="231"/>
        <v>2012.7692307692309</v>
      </c>
    </row>
    <row r="113" spans="1:16" ht="15" thickBot="1">
      <c r="A113" s="970"/>
      <c r="B113" s="583" t="s">
        <v>217</v>
      </c>
      <c r="C113" s="584">
        <v>39019</v>
      </c>
      <c r="D113" s="585">
        <v>46113</v>
      </c>
      <c r="E113" s="586">
        <v>42487</v>
      </c>
      <c r="F113" s="411">
        <v>127619</v>
      </c>
      <c r="G113" s="407">
        <v>1524494.1298225159</v>
      </c>
      <c r="H113" s="972"/>
      <c r="I113" s="603">
        <v>2.563510984644569E-4</v>
      </c>
      <c r="J113" s="604">
        <v>2.8917598232813441E-2</v>
      </c>
      <c r="K113" s="605">
        <v>3.1337993979998056E-2</v>
      </c>
      <c r="L113" s="606">
        <v>2.0772344067444104E-2</v>
      </c>
      <c r="M113" s="607">
        <v>1.4442853699539349E-2</v>
      </c>
      <c r="P113">
        <f t="shared" si="231"/>
        <v>2012.846153846154</v>
      </c>
    </row>
    <row r="114" spans="1:16" ht="15" thickBot="1">
      <c r="A114" s="556" t="s">
        <v>220</v>
      </c>
      <c r="B114" s="395"/>
      <c r="C114" s="381">
        <v>38897.583333333336</v>
      </c>
      <c r="D114" s="381">
        <v>43790.510818542993</v>
      </c>
      <c r="E114" s="381">
        <v>44353.083333333336</v>
      </c>
      <c r="F114" s="382">
        <v>127041.17748520966</v>
      </c>
      <c r="G114" s="382"/>
      <c r="H114" s="973"/>
      <c r="I114" s="396">
        <v>1.6258093823295905E-2</v>
      </c>
      <c r="J114" s="396">
        <v>1.7059506641546429E-2</v>
      </c>
      <c r="K114" s="397">
        <v>1.0293955741495164E-2</v>
      </c>
      <c r="L114" s="398"/>
      <c r="M114" s="397">
        <v>1.4442853699539349E-2</v>
      </c>
      <c r="P114">
        <f t="shared" si="231"/>
        <v>2012.9230769230771</v>
      </c>
    </row>
    <row r="115" spans="1:16" ht="14.25">
      <c r="A115" s="978" t="s">
        <v>237</v>
      </c>
      <c r="B115" s="574" t="s">
        <v>191</v>
      </c>
      <c r="C115" s="575">
        <v>38446</v>
      </c>
      <c r="D115" s="576">
        <v>42881</v>
      </c>
      <c r="E115" s="577">
        <v>41350</v>
      </c>
      <c r="F115" s="362">
        <v>122677</v>
      </c>
      <c r="G115" s="406">
        <v>122677</v>
      </c>
      <c r="H115" s="971" t="s">
        <v>238</v>
      </c>
      <c r="I115" s="578">
        <v>4.5978887800631189E-2</v>
      </c>
      <c r="J115" s="579">
        <v>6.5922593154192244E-2</v>
      </c>
      <c r="K115" s="580">
        <v>9.0022406748385395E-2</v>
      </c>
      <c r="L115" s="581">
        <v>6.7499129829446503E-2</v>
      </c>
      <c r="M115" s="582">
        <v>6.7499129829446503E-2</v>
      </c>
      <c r="O115" s="400">
        <v>2013</v>
      </c>
      <c r="P115" s="400">
        <v>2013</v>
      </c>
    </row>
    <row r="116" spans="1:16" ht="14.25">
      <c r="A116" s="979"/>
      <c r="B116" s="583" t="s">
        <v>195</v>
      </c>
      <c r="C116" s="584">
        <v>40169</v>
      </c>
      <c r="D116" s="585">
        <v>44492</v>
      </c>
      <c r="E116" s="586">
        <v>43946</v>
      </c>
      <c r="F116" s="370">
        <v>128607</v>
      </c>
      <c r="G116" s="407">
        <v>251284</v>
      </c>
      <c r="H116" s="972"/>
      <c r="I116" s="587">
        <v>6.3383104519490934E-3</v>
      </c>
      <c r="J116" s="588">
        <v>4.340892568185549E-2</v>
      </c>
      <c r="K116" s="589">
        <v>4.3897572331227139E-2</v>
      </c>
      <c r="L116" s="590">
        <v>3.1703501664594347E-2</v>
      </c>
      <c r="M116" s="591">
        <v>4.8874047792966779E-2</v>
      </c>
      <c r="O116" s="400">
        <v>2013</v>
      </c>
      <c r="P116" s="400">
        <f t="shared" ref="P116:P179" si="232">P115+$P$97</f>
        <v>2013.0769230769231</v>
      </c>
    </row>
    <row r="117" spans="1:16" ht="14.25">
      <c r="A117" s="979"/>
      <c r="B117" s="574" t="s">
        <v>15</v>
      </c>
      <c r="C117" s="584">
        <v>38554</v>
      </c>
      <c r="D117" s="585">
        <v>43020</v>
      </c>
      <c r="E117" s="586">
        <v>43475</v>
      </c>
      <c r="F117" s="370">
        <v>125049</v>
      </c>
      <c r="G117" s="407">
        <v>376333</v>
      </c>
      <c r="H117" s="972"/>
      <c r="I117" s="587">
        <v>-5.5025858476923456E-2</v>
      </c>
      <c r="J117" s="588">
        <v>4.5034579315343156E-3</v>
      </c>
      <c r="K117" s="589">
        <v>7.2750863047658767E-3</v>
      </c>
      <c r="L117" s="590">
        <v>-1.3709039907671028E-2</v>
      </c>
      <c r="M117" s="591">
        <v>2.7215886593721983E-2</v>
      </c>
      <c r="O117" s="400">
        <v>2013</v>
      </c>
      <c r="P117" s="400">
        <f t="shared" si="232"/>
        <v>2013.1538461538462</v>
      </c>
    </row>
    <row r="118" spans="1:16" ht="14.25">
      <c r="A118" s="979"/>
      <c r="B118" s="583" t="s">
        <v>16</v>
      </c>
      <c r="C118" s="608">
        <v>41025.992454615342</v>
      </c>
      <c r="D118" s="585">
        <v>45251</v>
      </c>
      <c r="E118" s="586">
        <v>45048</v>
      </c>
      <c r="F118" s="370">
        <v>131324.99245461533</v>
      </c>
      <c r="G118" s="407">
        <v>507657.99245461531</v>
      </c>
      <c r="H118" s="972"/>
      <c r="I118" s="587">
        <v>9.9538820074382015E-2</v>
      </c>
      <c r="J118" s="588">
        <v>0.10282218756092805</v>
      </c>
      <c r="K118" s="589">
        <v>5.3261631985036244E-2</v>
      </c>
      <c r="L118" s="590">
        <v>8.4308935834134235E-2</v>
      </c>
      <c r="M118" s="591">
        <v>4.1400719742825887E-2</v>
      </c>
      <c r="O118" s="400">
        <v>2013</v>
      </c>
      <c r="P118" s="400">
        <f t="shared" si="232"/>
        <v>2013.2307692307693</v>
      </c>
    </row>
    <row r="119" spans="1:16" ht="14.25">
      <c r="A119" s="979"/>
      <c r="B119" s="574" t="s">
        <v>17</v>
      </c>
      <c r="C119" s="608">
        <v>41638.072431964101</v>
      </c>
      <c r="D119" s="585">
        <v>46760</v>
      </c>
      <c r="E119" s="586">
        <v>46681</v>
      </c>
      <c r="F119" s="370">
        <v>135079.0724319641</v>
      </c>
      <c r="G119" s="407">
        <v>642737.06488657941</v>
      </c>
      <c r="H119" s="972"/>
      <c r="I119" s="609">
        <v>5.3275129817972812E-2</v>
      </c>
      <c r="J119" s="588">
        <v>6.0293417382825787E-2</v>
      </c>
      <c r="K119" s="589">
        <v>-2.1977791745233604E-2</v>
      </c>
      <c r="L119" s="590">
        <v>2.8288577696642836E-2</v>
      </c>
      <c r="M119" s="591">
        <v>3.8617362594568716E-2</v>
      </c>
      <c r="O119" s="400">
        <v>2013</v>
      </c>
      <c r="P119" s="400">
        <f t="shared" si="232"/>
        <v>2013.3076923076924</v>
      </c>
    </row>
    <row r="120" spans="1:16" ht="14.25">
      <c r="A120" s="979"/>
      <c r="B120" s="583" t="s">
        <v>18</v>
      </c>
      <c r="C120" s="608">
        <v>38222.105951478632</v>
      </c>
      <c r="D120" s="585">
        <v>47287</v>
      </c>
      <c r="E120" s="586">
        <v>47928</v>
      </c>
      <c r="F120" s="370">
        <v>133437.10595147865</v>
      </c>
      <c r="G120" s="407">
        <v>776174.17083805799</v>
      </c>
      <c r="H120" s="972"/>
      <c r="I120" s="609">
        <v>-8.1197365647169579E-3</v>
      </c>
      <c r="J120" s="588">
        <v>4.1770395012227096E-2</v>
      </c>
      <c r="K120" s="589">
        <v>-2.412803127481522E-2</v>
      </c>
      <c r="L120" s="590">
        <v>2.9924003598842397E-3</v>
      </c>
      <c r="M120" s="591">
        <v>3.2313802000434988E-2</v>
      </c>
      <c r="O120" s="400">
        <v>2013</v>
      </c>
      <c r="P120" s="400">
        <f t="shared" si="232"/>
        <v>2013.3846153846155</v>
      </c>
    </row>
    <row r="121" spans="1:16" ht="14.25">
      <c r="A121" s="979"/>
      <c r="B121" s="574" t="s">
        <v>19</v>
      </c>
      <c r="C121" s="608">
        <v>35270.866740609854</v>
      </c>
      <c r="D121" s="585">
        <v>45276.189877627912</v>
      </c>
      <c r="E121" s="586">
        <v>46438</v>
      </c>
      <c r="F121" s="370">
        <v>126985.05661823777</v>
      </c>
      <c r="G121" s="407">
        <v>903159.22745629575</v>
      </c>
      <c r="H121" s="972"/>
      <c r="I121" s="609">
        <v>7.1922882038280324E-3</v>
      </c>
      <c r="J121" s="588">
        <v>6.2497122418696462E-2</v>
      </c>
      <c r="K121" s="589">
        <v>1.6549187863928901E-2</v>
      </c>
      <c r="L121" s="590">
        <v>2.9769990578829342E-2</v>
      </c>
      <c r="M121" s="591">
        <v>3.195538063105241E-2</v>
      </c>
      <c r="O121" s="400">
        <v>2013</v>
      </c>
      <c r="P121" s="400">
        <f t="shared" si="232"/>
        <v>2013.4615384615386</v>
      </c>
    </row>
    <row r="122" spans="1:16" ht="14.25">
      <c r="A122" s="979"/>
      <c r="B122" s="583" t="s">
        <v>20</v>
      </c>
      <c r="C122" s="608">
        <v>40374.267105126455</v>
      </c>
      <c r="D122" s="585">
        <v>46420.427353601655</v>
      </c>
      <c r="E122" s="586">
        <v>47179</v>
      </c>
      <c r="F122" s="370">
        <v>133973.6944587281</v>
      </c>
      <c r="G122" s="407">
        <v>1037132.9219150238</v>
      </c>
      <c r="H122" s="972"/>
      <c r="I122" s="609">
        <v>6.024861095395103E-2</v>
      </c>
      <c r="J122" s="588">
        <v>4.3601253425095104E-2</v>
      </c>
      <c r="K122" s="610">
        <v>1.3098842577680431E-2</v>
      </c>
      <c r="L122" s="611">
        <v>3.7510218064958689E-2</v>
      </c>
      <c r="M122" s="612">
        <v>3.266958988378188E-2</v>
      </c>
      <c r="O122" s="400">
        <v>2013</v>
      </c>
      <c r="P122" s="400">
        <f t="shared" si="232"/>
        <v>2013.5384615384617</v>
      </c>
    </row>
    <row r="123" spans="1:16" ht="14.25">
      <c r="A123" s="979"/>
      <c r="B123" s="574" t="s">
        <v>211</v>
      </c>
      <c r="C123" s="608">
        <v>42472.023969770264</v>
      </c>
      <c r="D123" s="585">
        <v>43342</v>
      </c>
      <c r="E123" s="586">
        <v>46766</v>
      </c>
      <c r="F123" s="370">
        <v>132580.02396977026</v>
      </c>
      <c r="G123" s="407">
        <v>1169712.945884794</v>
      </c>
      <c r="H123" s="972"/>
      <c r="I123" s="609">
        <v>4.8847334661190886E-2</v>
      </c>
      <c r="J123" s="588">
        <v>-4.1233464584347214E-2</v>
      </c>
      <c r="K123" s="589">
        <v>1.7536988685813749E-2</v>
      </c>
      <c r="L123" s="590">
        <v>6.9878776376293139E-3</v>
      </c>
      <c r="M123" s="591">
        <v>2.9693086868847196E-2</v>
      </c>
      <c r="O123" s="400">
        <v>2013</v>
      </c>
      <c r="P123" s="400">
        <f t="shared" si="232"/>
        <v>2013.6153846153848</v>
      </c>
    </row>
    <row r="124" spans="1:16" ht="14.25">
      <c r="A124" s="979"/>
      <c r="B124" s="583" t="s">
        <v>213</v>
      </c>
      <c r="C124" s="608">
        <v>41749.008322299123</v>
      </c>
      <c r="D124" s="585">
        <v>47052</v>
      </c>
      <c r="E124" s="586">
        <v>46704</v>
      </c>
      <c r="F124" s="370">
        <v>135505.00832229911</v>
      </c>
      <c r="G124" s="407">
        <v>1305217.954207093</v>
      </c>
      <c r="H124" s="972"/>
      <c r="I124" s="609">
        <v>1.9810648353586483E-2</v>
      </c>
      <c r="J124" s="588">
        <v>3.9386776822991451E-2</v>
      </c>
      <c r="K124" s="589">
        <v>3.4899953466728709E-2</v>
      </c>
      <c r="L124" s="590">
        <v>3.1743073660680299E-2</v>
      </c>
      <c r="M124" s="591">
        <v>2.9905533182804644E-2</v>
      </c>
      <c r="O124" s="400">
        <v>2013</v>
      </c>
      <c r="P124" s="400">
        <f t="shared" si="232"/>
        <v>2013.6923076923078</v>
      </c>
    </row>
    <row r="125" spans="1:16" ht="14.25">
      <c r="A125" s="979"/>
      <c r="B125" s="574" t="s">
        <v>216</v>
      </c>
      <c r="C125" s="608">
        <v>40370.91955089409</v>
      </c>
      <c r="D125" s="585">
        <v>46729</v>
      </c>
      <c r="E125" s="586">
        <v>44895</v>
      </c>
      <c r="F125" s="370">
        <v>131994.91955089409</v>
      </c>
      <c r="G125" s="407">
        <v>1437212.8737579871</v>
      </c>
      <c r="H125" s="972"/>
      <c r="I125" s="609">
        <v>-1.9927449384407796E-6</v>
      </c>
      <c r="J125" s="588">
        <v>2.5140951670578945E-2</v>
      </c>
      <c r="K125" s="589">
        <v>2.9630988693438526E-2</v>
      </c>
      <c r="L125" s="590">
        <v>1.8817351057017984E-2</v>
      </c>
      <c r="M125" s="591">
        <v>2.8877129440049831E-2</v>
      </c>
      <c r="O125" s="400">
        <v>2013</v>
      </c>
      <c r="P125" s="400">
        <f t="shared" si="232"/>
        <v>2013.7692307692309</v>
      </c>
    </row>
    <row r="126" spans="1:16" ht="15" thickBot="1">
      <c r="A126" s="980"/>
      <c r="B126" s="583" t="s">
        <v>217</v>
      </c>
      <c r="C126" s="608">
        <v>40251.689862017127</v>
      </c>
      <c r="D126" s="585">
        <v>47091</v>
      </c>
      <c r="E126" s="586">
        <v>42936</v>
      </c>
      <c r="F126" s="411">
        <v>130278.68986201713</v>
      </c>
      <c r="G126" s="407">
        <v>1567491.5636200041</v>
      </c>
      <c r="H126" s="972"/>
      <c r="I126" s="609">
        <v>3.1592041364902401E-2</v>
      </c>
      <c r="J126" s="588">
        <v>2.1208769761238696E-2</v>
      </c>
      <c r="K126" s="605">
        <v>1.0567938428225104E-2</v>
      </c>
      <c r="L126" s="606">
        <v>2.0840861172843672E-2</v>
      </c>
      <c r="M126" s="607">
        <v>2.8204394465260352E-2</v>
      </c>
      <c r="O126" s="400">
        <v>2013</v>
      </c>
      <c r="P126" s="400">
        <f t="shared" si="232"/>
        <v>2013.846153846154</v>
      </c>
    </row>
    <row r="127" spans="1:16" ht="15" thickBot="1">
      <c r="A127" s="556" t="s">
        <v>220</v>
      </c>
      <c r="B127" s="395"/>
      <c r="C127" s="381">
        <v>39878.66219906458</v>
      </c>
      <c r="D127" s="381">
        <v>45466.801435935799</v>
      </c>
      <c r="E127" s="381">
        <v>45278.833333333336</v>
      </c>
      <c r="F127" s="382">
        <v>130624.29696833367</v>
      </c>
      <c r="G127" s="382"/>
      <c r="H127" s="973"/>
      <c r="I127" s="613">
        <v>2.5222103319989753E-2</v>
      </c>
      <c r="J127" s="613">
        <v>3.8279768517406332E-2</v>
      </c>
      <c r="K127" s="397">
        <v>2.087228058177093E-2</v>
      </c>
      <c r="L127" s="398"/>
      <c r="M127" s="397">
        <v>2.8204394465260352E-2</v>
      </c>
      <c r="P127" s="400">
        <f t="shared" si="232"/>
        <v>2013.9230769230771</v>
      </c>
    </row>
    <row r="128" spans="1:16" ht="14.25">
      <c r="A128" s="969">
        <v>2014</v>
      </c>
      <c r="B128" s="574" t="s">
        <v>191</v>
      </c>
      <c r="C128" s="614">
        <v>39107.855064252552</v>
      </c>
      <c r="D128" s="615">
        <v>45437</v>
      </c>
      <c r="E128" s="616">
        <v>43038</v>
      </c>
      <c r="F128" s="617">
        <v>127582.85506425255</v>
      </c>
      <c r="G128" s="618">
        <v>127582.85506425255</v>
      </c>
      <c r="H128" s="971" t="s">
        <v>240</v>
      </c>
      <c r="I128" s="619">
        <v>1.7215186605955144E-2</v>
      </c>
      <c r="J128" s="620">
        <v>5.9606818870828575E-2</v>
      </c>
      <c r="K128" s="621">
        <v>4.0822249093107617E-2</v>
      </c>
      <c r="L128" s="622">
        <v>3.9990014951886366E-2</v>
      </c>
      <c r="M128" s="623">
        <v>3.9990014951886366E-2</v>
      </c>
      <c r="O128" s="400">
        <v>2014</v>
      </c>
      <c r="P128" s="400">
        <f t="shared" si="232"/>
        <v>2014.0000000000002</v>
      </c>
    </row>
    <row r="129" spans="1:16" ht="14.25">
      <c r="A129" s="969"/>
      <c r="B129" s="583" t="s">
        <v>195</v>
      </c>
      <c r="C129" s="624">
        <v>40949</v>
      </c>
      <c r="D129" s="625">
        <v>46627</v>
      </c>
      <c r="E129" s="626">
        <v>45744</v>
      </c>
      <c r="F129" s="627">
        <v>133320</v>
      </c>
      <c r="G129" s="628">
        <v>260902.85506425257</v>
      </c>
      <c r="H129" s="972"/>
      <c r="I129" s="629">
        <v>1.9417959122706566E-2</v>
      </c>
      <c r="J129" s="630">
        <v>4.7986154814348647E-2</v>
      </c>
      <c r="K129" s="631">
        <v>4.0913848814454104E-2</v>
      </c>
      <c r="L129" s="632">
        <v>3.6646527793976924E-2</v>
      </c>
      <c r="M129" s="633">
        <v>3.8278820236276712E-2</v>
      </c>
      <c r="O129" s="400">
        <v>2014</v>
      </c>
      <c r="P129" s="400">
        <f t="shared" si="232"/>
        <v>2014.0769230769233</v>
      </c>
    </row>
    <row r="130" spans="1:16" ht="14.25">
      <c r="A130" s="969"/>
      <c r="B130" s="574" t="s">
        <v>15</v>
      </c>
      <c r="C130" s="624">
        <v>40977</v>
      </c>
      <c r="D130" s="625">
        <v>46559</v>
      </c>
      <c r="E130" s="626">
        <v>45640</v>
      </c>
      <c r="F130" s="627">
        <v>133176</v>
      </c>
      <c r="G130" s="628">
        <v>394078.85506425257</v>
      </c>
      <c r="H130" s="972"/>
      <c r="I130" s="629">
        <v>6.2846916013902576E-2</v>
      </c>
      <c r="J130" s="630">
        <v>8.2264063226406323E-2</v>
      </c>
      <c r="K130" s="631">
        <v>4.9798734905117881E-2</v>
      </c>
      <c r="L130" s="632">
        <v>6.4990523714703929E-2</v>
      </c>
      <c r="M130" s="633">
        <v>4.7154661069458648E-2</v>
      </c>
      <c r="O130" s="400">
        <v>2014</v>
      </c>
      <c r="P130" s="400">
        <f t="shared" si="232"/>
        <v>2014.1538461538464</v>
      </c>
    </row>
    <row r="131" spans="1:16" ht="14.25">
      <c r="A131" s="969"/>
      <c r="B131" s="583" t="s">
        <v>16</v>
      </c>
      <c r="C131" s="624">
        <v>39242</v>
      </c>
      <c r="D131" s="625">
        <v>46152</v>
      </c>
      <c r="E131" s="626">
        <v>45797</v>
      </c>
      <c r="F131" s="627">
        <v>131191</v>
      </c>
      <c r="G131" s="628">
        <v>525269.85506425262</v>
      </c>
      <c r="H131" s="972"/>
      <c r="I131" s="629">
        <v>-4.3484443589972097E-2</v>
      </c>
      <c r="J131" s="630">
        <v>1.991116218426112E-2</v>
      </c>
      <c r="K131" s="631">
        <v>1.6626709287870717E-2</v>
      </c>
      <c r="L131" s="632">
        <v>-1.0203119155832718E-3</v>
      </c>
      <c r="M131" s="633">
        <v>3.469237729220187E-2</v>
      </c>
      <c r="O131" s="400">
        <v>2014</v>
      </c>
      <c r="P131" s="400">
        <f t="shared" si="232"/>
        <v>2014.2307692307695</v>
      </c>
    </row>
    <row r="132" spans="1:16" ht="14.25">
      <c r="A132" s="969"/>
      <c r="B132" s="574" t="s">
        <v>17</v>
      </c>
      <c r="C132" s="624">
        <v>41187</v>
      </c>
      <c r="D132" s="625">
        <v>49731</v>
      </c>
      <c r="E132" s="626">
        <v>49186</v>
      </c>
      <c r="F132" s="627">
        <v>140104</v>
      </c>
      <c r="G132" s="628">
        <v>665373.85506425262</v>
      </c>
      <c r="H132" s="972"/>
      <c r="I132" s="629">
        <v>-1.0833172757964383E-2</v>
      </c>
      <c r="J132" s="630">
        <v>6.3537211291702311E-2</v>
      </c>
      <c r="K132" s="631">
        <v>5.3662089501081811E-2</v>
      </c>
      <c r="L132" s="632">
        <v>3.7199896901622731E-2</v>
      </c>
      <c r="M132" s="633">
        <v>3.5219363273639503E-2</v>
      </c>
      <c r="O132" s="400">
        <v>2014</v>
      </c>
      <c r="P132" s="400">
        <f t="shared" si="232"/>
        <v>2014.3076923076926</v>
      </c>
    </row>
    <row r="133" spans="1:16" ht="14.25">
      <c r="A133" s="969"/>
      <c r="B133" s="583" t="s">
        <v>18</v>
      </c>
      <c r="C133" s="624">
        <v>38352</v>
      </c>
      <c r="D133" s="625">
        <v>48225</v>
      </c>
      <c r="E133" s="626">
        <v>49375</v>
      </c>
      <c r="F133" s="627">
        <v>135952</v>
      </c>
      <c r="G133" s="628">
        <v>801325.85506425262</v>
      </c>
      <c r="H133" s="972"/>
      <c r="I133" s="629">
        <v>3.3984011421626797E-3</v>
      </c>
      <c r="J133" s="630">
        <v>1.9836318649946075E-2</v>
      </c>
      <c r="K133" s="631">
        <v>3.0191120013353362E-2</v>
      </c>
      <c r="L133" s="632">
        <v>1.8847036816249885E-2</v>
      </c>
      <c r="M133" s="633">
        <v>3.2404691074733316E-2</v>
      </c>
      <c r="O133" s="400">
        <v>2014</v>
      </c>
      <c r="P133" s="400">
        <f t="shared" si="232"/>
        <v>2014.3846153846157</v>
      </c>
    </row>
    <row r="134" spans="1:16" ht="14.25">
      <c r="A134" s="969"/>
      <c r="B134" s="574" t="s">
        <v>19</v>
      </c>
      <c r="C134" s="624">
        <v>36809</v>
      </c>
      <c r="D134" s="625">
        <v>46148.967300339005</v>
      </c>
      <c r="E134" s="626">
        <v>47953</v>
      </c>
      <c r="F134" s="627">
        <v>130910.96730033901</v>
      </c>
      <c r="G134" s="628">
        <v>932236.82236459164</v>
      </c>
      <c r="H134" s="972"/>
      <c r="I134" s="629">
        <v>4.3609171010792994E-2</v>
      </c>
      <c r="J134" s="630">
        <v>1.9276741816615494E-2</v>
      </c>
      <c r="K134" s="631">
        <v>3.2624144019983634E-2</v>
      </c>
      <c r="L134" s="632">
        <v>3.0916320287228238E-2</v>
      </c>
      <c r="M134" s="633">
        <v>3.2195424709540399E-2</v>
      </c>
      <c r="O134" s="400">
        <v>2014</v>
      </c>
      <c r="P134" s="400">
        <f t="shared" si="232"/>
        <v>2014.4615384615388</v>
      </c>
    </row>
    <row r="135" spans="1:16" ht="14.25">
      <c r="A135" s="969"/>
      <c r="B135" s="583" t="s">
        <v>20</v>
      </c>
      <c r="C135" s="624">
        <v>38081</v>
      </c>
      <c r="D135" s="625">
        <v>47806</v>
      </c>
      <c r="E135" s="626">
        <v>49296</v>
      </c>
      <c r="F135" s="627">
        <v>135183</v>
      </c>
      <c r="G135" s="628">
        <v>1067419.8223645915</v>
      </c>
      <c r="H135" s="972"/>
      <c r="I135" s="629">
        <v>-5.6800216314893091E-2</v>
      </c>
      <c r="J135" s="630">
        <v>2.9848338875554131E-2</v>
      </c>
      <c r="K135" s="631">
        <v>4.4871659000826639E-2</v>
      </c>
      <c r="L135" s="632">
        <v>9.0264401990081122E-3</v>
      </c>
      <c r="M135" s="633">
        <v>2.9202525355809028E-2</v>
      </c>
      <c r="O135" s="400">
        <v>2014</v>
      </c>
      <c r="P135" s="400">
        <f t="shared" si="232"/>
        <v>2014.5384615384619</v>
      </c>
    </row>
    <row r="136" spans="1:16" ht="14.25">
      <c r="A136" s="969"/>
      <c r="B136" s="574" t="s">
        <v>211</v>
      </c>
      <c r="C136" s="624">
        <v>42177</v>
      </c>
      <c r="D136" s="625">
        <v>49515.339905179106</v>
      </c>
      <c r="E136" s="626">
        <v>48477</v>
      </c>
      <c r="F136" s="627">
        <v>140169.33990517911</v>
      </c>
      <c r="G136" s="628">
        <v>1207589.1622697706</v>
      </c>
      <c r="H136" s="972"/>
      <c r="I136" s="634">
        <v>-6.94631294190851E-3</v>
      </c>
      <c r="J136" s="630">
        <v>0.14243320347882205</v>
      </c>
      <c r="K136" s="631">
        <v>3.6586408929564211E-2</v>
      </c>
      <c r="L136" s="632">
        <v>5.724328377809984E-2</v>
      </c>
      <c r="M136" s="633">
        <v>3.2380778992170844E-2</v>
      </c>
      <c r="O136" s="400">
        <v>2014</v>
      </c>
      <c r="P136" s="400">
        <f t="shared" si="232"/>
        <v>2014.615384615385</v>
      </c>
    </row>
    <row r="137" spans="1:16" ht="14.25">
      <c r="A137" s="969"/>
      <c r="B137" s="583" t="s">
        <v>213</v>
      </c>
      <c r="C137" s="624">
        <v>42413</v>
      </c>
      <c r="D137" s="625">
        <v>49716</v>
      </c>
      <c r="E137" s="626">
        <v>48109</v>
      </c>
      <c r="F137" s="627">
        <v>140238</v>
      </c>
      <c r="G137" s="628">
        <v>1347827.1622697706</v>
      </c>
      <c r="H137" s="972"/>
      <c r="I137" s="634">
        <v>1.5904370052934241E-2</v>
      </c>
      <c r="J137" s="630">
        <v>5.6618209640397855E-2</v>
      </c>
      <c r="K137" s="631">
        <v>3.0083076396026035E-2</v>
      </c>
      <c r="L137" s="632">
        <v>3.4928536858530368E-2</v>
      </c>
      <c r="M137" s="633">
        <v>3.264528190509175E-2</v>
      </c>
      <c r="O137" s="400">
        <v>2014</v>
      </c>
      <c r="P137" s="400">
        <f t="shared" si="232"/>
        <v>2014.6923076923081</v>
      </c>
    </row>
    <row r="138" spans="1:16" ht="14.25">
      <c r="A138" s="969"/>
      <c r="B138" s="574" t="s">
        <v>216</v>
      </c>
      <c r="C138" s="624">
        <v>41325</v>
      </c>
      <c r="D138" s="625">
        <v>47521</v>
      </c>
      <c r="E138" s="626">
        <v>46984</v>
      </c>
      <c r="F138" s="627">
        <v>135830</v>
      </c>
      <c r="G138" s="628">
        <v>1483657.1622697706</v>
      </c>
      <c r="H138" s="972"/>
      <c r="I138" s="634">
        <v>2.3632863945621467E-2</v>
      </c>
      <c r="J138" s="630">
        <v>1.6948789830726101E-2</v>
      </c>
      <c r="K138" s="631">
        <v>4.6530794075064039E-2</v>
      </c>
      <c r="L138" s="632">
        <v>2.9054758032768024E-2</v>
      </c>
      <c r="M138" s="633">
        <v>3.23155249718452E-2</v>
      </c>
      <c r="O138" s="400">
        <v>2014</v>
      </c>
      <c r="P138" s="400">
        <f t="shared" si="232"/>
        <v>2014.7692307692312</v>
      </c>
    </row>
    <row r="139" spans="1:16" ht="15" thickBot="1">
      <c r="A139" s="970"/>
      <c r="B139" s="583" t="s">
        <v>217</v>
      </c>
      <c r="C139" s="624">
        <v>39046</v>
      </c>
      <c r="D139" s="625">
        <v>48042</v>
      </c>
      <c r="E139" s="626">
        <v>43601</v>
      </c>
      <c r="F139" s="627">
        <v>130689</v>
      </c>
      <c r="G139" s="628">
        <v>1614346.1622697706</v>
      </c>
      <c r="H139" s="972"/>
      <c r="I139" s="635">
        <v>-2.9953770044195267E-2</v>
      </c>
      <c r="J139" s="636">
        <v>2.019494170860674E-2</v>
      </c>
      <c r="K139" s="637">
        <v>1.548816843674306E-2</v>
      </c>
      <c r="L139" s="638">
        <v>3.1494800755016428E-3</v>
      </c>
      <c r="M139" s="639">
        <v>2.9891451882241293E-2</v>
      </c>
      <c r="O139" s="400">
        <v>2014</v>
      </c>
      <c r="P139" s="400">
        <f t="shared" si="232"/>
        <v>2014.8461538461543</v>
      </c>
    </row>
    <row r="140" spans="1:16" ht="15" thickBot="1">
      <c r="A140" s="556" t="s">
        <v>220</v>
      </c>
      <c r="B140" s="395"/>
      <c r="C140" s="640">
        <v>39972.154588687714</v>
      </c>
      <c r="D140" s="640">
        <v>47623.358933793177</v>
      </c>
      <c r="E140" s="640">
        <v>46933.333333333336</v>
      </c>
      <c r="F140" s="641">
        <v>134528.84685581422</v>
      </c>
      <c r="G140" s="641"/>
      <c r="H140" s="973"/>
      <c r="I140" s="642">
        <v>2.3444214140495578E-3</v>
      </c>
      <c r="J140" s="642">
        <v>4.7431475928563893E-2</v>
      </c>
      <c r="K140" s="643">
        <v>3.6540252435832699E-2</v>
      </c>
      <c r="L140" s="644"/>
      <c r="M140" s="645">
        <v>2.9891451882241293E-2</v>
      </c>
      <c r="O140" s="400"/>
      <c r="P140" s="400">
        <f t="shared" si="232"/>
        <v>2014.9230769230774</v>
      </c>
    </row>
    <row r="141" spans="1:16" ht="14.25">
      <c r="A141" s="969">
        <v>2015</v>
      </c>
      <c r="B141" s="574" t="s">
        <v>191</v>
      </c>
      <c r="C141" s="624">
        <v>38668.516129032258</v>
      </c>
      <c r="D141" s="625">
        <v>46015.741935483871</v>
      </c>
      <c r="E141" s="626">
        <v>43100.096774193546</v>
      </c>
      <c r="F141" s="646">
        <v>127784.35483870967</v>
      </c>
      <c r="G141" s="647">
        <v>127784.35483870967</v>
      </c>
      <c r="H141" s="971" t="s">
        <v>241</v>
      </c>
      <c r="I141" s="619">
        <v>-1.1234033022227341E-2</v>
      </c>
      <c r="J141" s="620">
        <v>1.2737239154958981E-2</v>
      </c>
      <c r="K141" s="621">
        <v>1.4428359634171097E-3</v>
      </c>
      <c r="L141" s="622">
        <v>1.5793640482151261E-3</v>
      </c>
      <c r="M141" s="623">
        <v>1.5793640482151261E-3</v>
      </c>
      <c r="O141" s="400">
        <v>2015</v>
      </c>
      <c r="P141" s="400">
        <f t="shared" si="232"/>
        <v>2015.0000000000005</v>
      </c>
    </row>
    <row r="142" spans="1:16" ht="14.25">
      <c r="A142" s="969"/>
      <c r="B142" s="583" t="s">
        <v>195</v>
      </c>
      <c r="C142" s="624">
        <v>40262.571428571428</v>
      </c>
      <c r="D142" s="625">
        <v>47010.821428571428</v>
      </c>
      <c r="E142" s="626">
        <v>44966.642857142855</v>
      </c>
      <c r="F142" s="627">
        <v>132240.03571428571</v>
      </c>
      <c r="G142" s="628">
        <v>260024.39055299538</v>
      </c>
      <c r="H142" s="972"/>
      <c r="I142" s="629">
        <v>-1.676301183004646E-2</v>
      </c>
      <c r="J142" s="630">
        <v>8.2317418785559336E-3</v>
      </c>
      <c r="K142" s="631">
        <v>-1.6993641632938636E-2</v>
      </c>
      <c r="L142" s="632">
        <v>-8.1005421970768987E-3</v>
      </c>
      <c r="M142" s="633">
        <v>-3.367017624398394E-3</v>
      </c>
      <c r="O142" s="400">
        <v>2015</v>
      </c>
      <c r="P142" s="400">
        <f t="shared" si="232"/>
        <v>2015.0769230769235</v>
      </c>
    </row>
    <row r="143" spans="1:16" ht="14.25">
      <c r="A143" s="969"/>
      <c r="B143" s="574" t="s">
        <v>15</v>
      </c>
      <c r="C143" s="624">
        <v>41761.709677419356</v>
      </c>
      <c r="D143" s="625">
        <v>48792.290322580644</v>
      </c>
      <c r="E143" s="626">
        <v>46990.354838709674</v>
      </c>
      <c r="F143" s="627">
        <v>137544.35483870967</v>
      </c>
      <c r="G143" s="628">
        <v>397568.74539170507</v>
      </c>
      <c r="H143" s="972"/>
      <c r="I143" s="629">
        <v>1.9150003109533544E-2</v>
      </c>
      <c r="J143" s="630">
        <v>4.7966887660401726E-2</v>
      </c>
      <c r="K143" s="631">
        <v>2.9587091119843874E-2</v>
      </c>
      <c r="L143" s="632">
        <v>3.2801366903268292E-2</v>
      </c>
      <c r="M143" s="633">
        <v>8.8558172624702003E-3</v>
      </c>
      <c r="O143" s="400">
        <v>2015</v>
      </c>
      <c r="P143" s="400">
        <f t="shared" si="232"/>
        <v>2015.1538461538466</v>
      </c>
    </row>
    <row r="144" spans="1:16" ht="14.25">
      <c r="A144" s="969"/>
      <c r="B144" s="583" t="s">
        <v>16</v>
      </c>
      <c r="C144" s="624">
        <v>39675.333333333336</v>
      </c>
      <c r="D144" s="625">
        <v>48000.333333333336</v>
      </c>
      <c r="E144" s="626">
        <v>47362.8</v>
      </c>
      <c r="F144" s="627">
        <v>135038.46666666667</v>
      </c>
      <c r="G144" s="628">
        <v>532607.21205837175</v>
      </c>
      <c r="H144" s="972"/>
      <c r="I144" s="629">
        <v>1.1042590421827016E-2</v>
      </c>
      <c r="J144" s="630">
        <v>4.0048824175189283E-2</v>
      </c>
      <c r="K144" s="631">
        <v>3.4190012446230163E-2</v>
      </c>
      <c r="L144" s="632">
        <v>2.9327215027453724E-2</v>
      </c>
      <c r="M144" s="633">
        <v>1.3968738017950066E-2</v>
      </c>
      <c r="O144" s="400">
        <v>2015</v>
      </c>
      <c r="P144" s="400">
        <f t="shared" si="232"/>
        <v>2015.2307692307697</v>
      </c>
    </row>
    <row r="145" spans="1:16" ht="14.25">
      <c r="A145" s="969"/>
      <c r="B145" s="574" t="s">
        <v>17</v>
      </c>
      <c r="C145" s="624">
        <v>41099.93548387097</v>
      </c>
      <c r="D145" s="625">
        <v>51095.451612903227</v>
      </c>
      <c r="E145" s="626">
        <v>50494.870967741932</v>
      </c>
      <c r="F145" s="627">
        <v>142690.25806451612</v>
      </c>
      <c r="G145" s="628">
        <v>675297.47012288787</v>
      </c>
      <c r="H145" s="972"/>
      <c r="I145" s="629">
        <v>-2.1138834129465702E-3</v>
      </c>
      <c r="J145" s="630">
        <v>2.7436641388735944E-2</v>
      </c>
      <c r="K145" s="631">
        <v>2.6610640583538649E-2</v>
      </c>
      <c r="L145" s="632">
        <v>1.8459559074088583E-2</v>
      </c>
      <c r="M145" s="633">
        <v>1.4914344744845653E-2</v>
      </c>
      <c r="O145" s="400">
        <v>2015</v>
      </c>
      <c r="P145" s="400">
        <f t="shared" si="232"/>
        <v>2015.3076923076928</v>
      </c>
    </row>
    <row r="146" spans="1:16" ht="14.25">
      <c r="A146" s="969"/>
      <c r="B146" s="583" t="s">
        <v>18</v>
      </c>
      <c r="C146" s="624">
        <v>41135.533333333333</v>
      </c>
      <c r="D146" s="625">
        <v>53010.863414897707</v>
      </c>
      <c r="E146" s="626">
        <v>52500.934550667378</v>
      </c>
      <c r="F146" s="627">
        <v>146647.33129889841</v>
      </c>
      <c r="G146" s="628">
        <v>821944.80142178631</v>
      </c>
      <c r="H146" s="972"/>
      <c r="I146" s="629">
        <v>7.257857043526629E-2</v>
      </c>
      <c r="J146" s="630">
        <v>9.9240298909231875E-2</v>
      </c>
      <c r="K146" s="631">
        <v>6.3310066848959554E-2</v>
      </c>
      <c r="L146" s="632">
        <v>7.8669907753460055E-2</v>
      </c>
      <c r="M146" s="633">
        <v>2.5731038412432516E-2</v>
      </c>
      <c r="O146" s="400">
        <v>2015</v>
      </c>
      <c r="P146" s="400">
        <f t="shared" si="232"/>
        <v>2015.3846153846159</v>
      </c>
    </row>
    <row r="147" spans="1:16" ht="14.25">
      <c r="A147" s="969"/>
      <c r="B147" s="574" t="s">
        <v>19</v>
      </c>
      <c r="C147" s="624">
        <v>38286.548387096773</v>
      </c>
      <c r="D147" s="625">
        <v>50696.967741935485</v>
      </c>
      <c r="E147" s="626">
        <v>51577.40376508185</v>
      </c>
      <c r="F147" s="627">
        <v>140560.91989411411</v>
      </c>
      <c r="G147" s="628">
        <v>962505.72131590045</v>
      </c>
      <c r="H147" s="972"/>
      <c r="I147" s="629">
        <v>4.0140954307282803E-2</v>
      </c>
      <c r="J147" s="630">
        <v>9.8550427185031944E-2</v>
      </c>
      <c r="K147" s="631">
        <v>7.5582419558356095E-2</v>
      </c>
      <c r="L147" s="632">
        <v>7.3713859066032006E-2</v>
      </c>
      <c r="M147" s="633">
        <v>3.2469108948660397E-2</v>
      </c>
      <c r="O147" s="400">
        <v>2015</v>
      </c>
      <c r="P147" s="400">
        <f t="shared" si="232"/>
        <v>2015.461538461539</v>
      </c>
    </row>
    <row r="148" spans="1:16" ht="14.25">
      <c r="A148" s="969"/>
      <c r="B148" s="583" t="s">
        <v>20</v>
      </c>
      <c r="C148" s="624">
        <v>40881.516129032258</v>
      </c>
      <c r="D148" s="625">
        <v>50425.161290322583</v>
      </c>
      <c r="E148" s="626">
        <v>53185.600009105947</v>
      </c>
      <c r="F148" s="627">
        <v>144492.2774284608</v>
      </c>
      <c r="G148" s="628">
        <v>1106997.9987443613</v>
      </c>
      <c r="H148" s="972"/>
      <c r="I148" s="629">
        <v>7.3541034348684586E-2</v>
      </c>
      <c r="J148" s="630">
        <v>5.4787292187645553E-2</v>
      </c>
      <c r="K148" s="631">
        <v>7.8902953771217685E-2</v>
      </c>
      <c r="L148" s="632">
        <v>6.886426124927536E-2</v>
      </c>
      <c r="M148" s="633">
        <v>3.707835993910491E-2</v>
      </c>
      <c r="O148" s="400">
        <v>2015</v>
      </c>
      <c r="P148" s="400">
        <f t="shared" si="232"/>
        <v>2015.5384615384621</v>
      </c>
    </row>
    <row r="149" spans="1:16" ht="14.25">
      <c r="A149" s="969"/>
      <c r="B149" s="574" t="s">
        <v>211</v>
      </c>
      <c r="C149" s="624">
        <v>43724.866666666669</v>
      </c>
      <c r="D149" s="625">
        <v>52659.4</v>
      </c>
      <c r="E149" s="626">
        <v>52589.383127120971</v>
      </c>
      <c r="F149" s="627">
        <v>148973.64979378763</v>
      </c>
      <c r="G149" s="628">
        <v>1255971.648538149</v>
      </c>
      <c r="H149" s="972"/>
      <c r="I149" s="629">
        <v>3.6699306889220872E-2</v>
      </c>
      <c r="J149" s="630">
        <v>6.3496688114061395E-2</v>
      </c>
      <c r="K149" s="631">
        <v>8.4831634117642815E-2</v>
      </c>
      <c r="L149" s="632">
        <v>6.2811952275471983E-2</v>
      </c>
      <c r="M149" s="633">
        <v>4.0065353168157847E-2</v>
      </c>
      <c r="O149" s="400">
        <v>2015</v>
      </c>
      <c r="P149" s="400">
        <f t="shared" si="232"/>
        <v>2015.6153846153852</v>
      </c>
    </row>
    <row r="150" spans="1:16" ht="14.25">
      <c r="A150" s="969"/>
      <c r="B150" s="583" t="s">
        <v>213</v>
      </c>
      <c r="C150" s="624">
        <v>43263.032258064515</v>
      </c>
      <c r="D150" s="625">
        <v>52673.774193548386</v>
      </c>
      <c r="E150" s="626">
        <v>50751.051533165461</v>
      </c>
      <c r="F150" s="627">
        <v>146687.85798477835</v>
      </c>
      <c r="G150" s="628">
        <v>1402659.5065229274</v>
      </c>
      <c r="H150" s="972"/>
      <c r="I150" s="629">
        <v>2.0041785727595671E-2</v>
      </c>
      <c r="J150" s="630">
        <v>5.9493406419430094E-2</v>
      </c>
      <c r="K150" s="631">
        <v>5.4918030579838711E-2</v>
      </c>
      <c r="L150" s="632">
        <v>4.5992227390424523E-2</v>
      </c>
      <c r="M150" s="633">
        <v>4.0682029408591225E-2</v>
      </c>
      <c r="O150" s="400">
        <v>2015</v>
      </c>
      <c r="P150" s="400">
        <f t="shared" si="232"/>
        <v>2015.6923076923083</v>
      </c>
    </row>
    <row r="151" spans="1:16" ht="14.25">
      <c r="A151" s="969"/>
      <c r="B151" s="574" t="s">
        <v>216</v>
      </c>
      <c r="C151" s="624">
        <v>42575.933333333334</v>
      </c>
      <c r="D151" s="625">
        <v>51610.7</v>
      </c>
      <c r="E151" s="626">
        <v>49168.533333333333</v>
      </c>
      <c r="F151" s="627">
        <v>143355.16666666666</v>
      </c>
      <c r="G151" s="628">
        <v>1546014.6731895942</v>
      </c>
      <c r="H151" s="972"/>
      <c r="I151" s="629">
        <v>3.0270619076426721E-2</v>
      </c>
      <c r="J151" s="630">
        <v>8.6060899391847759E-2</v>
      </c>
      <c r="K151" s="631">
        <v>4.6495260798002147E-2</v>
      </c>
      <c r="L151" s="632">
        <v>5.5401359542565309E-2</v>
      </c>
      <c r="M151" s="633">
        <v>4.2029595856515778E-2</v>
      </c>
      <c r="O151" s="400">
        <v>2015</v>
      </c>
      <c r="P151" s="400">
        <f t="shared" si="232"/>
        <v>2015.7692307692314</v>
      </c>
    </row>
    <row r="152" spans="1:16" ht="15" thickBot="1">
      <c r="A152" s="970"/>
      <c r="B152" s="583" t="s">
        <v>217</v>
      </c>
      <c r="C152" s="624">
        <v>40145.193548387098</v>
      </c>
      <c r="D152" s="625">
        <v>50708.06451612903</v>
      </c>
      <c r="E152" s="626">
        <v>45716.645161290326</v>
      </c>
      <c r="F152" s="627">
        <v>136569.90322580645</v>
      </c>
      <c r="G152" s="628">
        <v>1682584.5764154007</v>
      </c>
      <c r="H152" s="972"/>
      <c r="I152" s="648">
        <v>2.8151245924988435E-2</v>
      </c>
      <c r="J152" s="636">
        <v>5.5494453106220192E-2</v>
      </c>
      <c r="K152" s="637">
        <v>4.8522858679624907E-2</v>
      </c>
      <c r="L152" s="638">
        <v>4.4999221248968491E-2</v>
      </c>
      <c r="M152" s="639">
        <v>4.227000115618762E-2</v>
      </c>
      <c r="O152">
        <v>2015</v>
      </c>
      <c r="P152" s="400">
        <f t="shared" si="232"/>
        <v>2015.8461538461545</v>
      </c>
    </row>
    <row r="153" spans="1:16" ht="16.25" thickBot="1">
      <c r="A153" s="974" t="s">
        <v>242</v>
      </c>
      <c r="B153" s="975"/>
      <c r="C153" s="381">
        <v>40955</v>
      </c>
      <c r="D153" s="381">
        <v>50225</v>
      </c>
      <c r="E153" s="381">
        <v>49035</v>
      </c>
      <c r="F153" s="381">
        <v>140215</v>
      </c>
      <c r="G153" s="649"/>
      <c r="H153" s="973"/>
      <c r="I153" s="396">
        <v>2.4588252032589519E-2</v>
      </c>
      <c r="J153" s="396">
        <v>5.4629516364514963E-2</v>
      </c>
      <c r="K153" s="397">
        <v>4.4779829545454453E-2</v>
      </c>
      <c r="L153" s="398"/>
      <c r="M153" s="397">
        <v>4.227000115618762E-2</v>
      </c>
      <c r="O153" s="400"/>
      <c r="P153" s="400">
        <f t="shared" si="232"/>
        <v>2015.9230769230776</v>
      </c>
    </row>
    <row r="154" spans="1:16" ht="14.25">
      <c r="A154" s="969">
        <v>2016</v>
      </c>
      <c r="B154" s="574" t="s">
        <v>191</v>
      </c>
      <c r="C154" s="624">
        <v>39607.741935483871</v>
      </c>
      <c r="D154" s="625">
        <v>48576.645161290326</v>
      </c>
      <c r="E154" s="626">
        <v>45722.870967741932</v>
      </c>
      <c r="F154" s="646">
        <v>133907.25806451612</v>
      </c>
      <c r="G154" s="647">
        <v>133907.25806451612</v>
      </c>
      <c r="H154" s="971" t="s">
        <v>243</v>
      </c>
      <c r="I154" s="619">
        <v>2.4289160807658829E-2</v>
      </c>
      <c r="J154" s="620">
        <v>5.5652763991004543E-2</v>
      </c>
      <c r="K154" s="621">
        <v>6.0853092912746987E-2</v>
      </c>
      <c r="L154" s="622">
        <v>4.7915906712796108E-2</v>
      </c>
      <c r="M154" s="623">
        <v>4.7915906712796108E-2</v>
      </c>
      <c r="O154" s="400">
        <v>2016</v>
      </c>
      <c r="P154" s="400">
        <f t="shared" si="232"/>
        <v>2016.0000000000007</v>
      </c>
    </row>
    <row r="155" spans="1:16" ht="14.25">
      <c r="A155" s="969"/>
      <c r="B155" s="583" t="s">
        <v>195</v>
      </c>
      <c r="C155" s="624">
        <v>42175</v>
      </c>
      <c r="D155" s="625">
        <v>50786.758620689652</v>
      </c>
      <c r="E155" s="626">
        <v>48931.65517241379</v>
      </c>
      <c r="F155" s="627">
        <v>141893.41379310345</v>
      </c>
      <c r="G155" s="628">
        <v>275800.67185761954</v>
      </c>
      <c r="H155" s="972"/>
      <c r="I155" s="629">
        <v>4.7498917818037341E-2</v>
      </c>
      <c r="J155" s="630">
        <v>8.032059592609779E-2</v>
      </c>
      <c r="K155" s="631">
        <v>8.8176747547456746E-2</v>
      </c>
      <c r="L155" s="632">
        <v>7.2998907075876529E-2</v>
      </c>
      <c r="M155" s="633">
        <v>6.0672313359037888E-2</v>
      </c>
      <c r="O155" s="400">
        <v>2016</v>
      </c>
      <c r="P155" s="400">
        <f t="shared" si="232"/>
        <v>2016.0769230769238</v>
      </c>
    </row>
    <row r="156" spans="1:16" ht="14.25">
      <c r="A156" s="969"/>
      <c r="B156" s="574" t="s">
        <v>15</v>
      </c>
      <c r="C156" s="624">
        <v>41617.387096774197</v>
      </c>
      <c r="D156" s="625">
        <v>50753.290322580644</v>
      </c>
      <c r="E156" s="626">
        <v>49804.483870967742</v>
      </c>
      <c r="F156" s="627">
        <v>142175.16129032261</v>
      </c>
      <c r="G156" s="628">
        <v>417975.83314794215</v>
      </c>
      <c r="H156" s="972"/>
      <c r="I156" s="629">
        <v>-3.4558590096035913E-3</v>
      </c>
      <c r="J156" s="630">
        <v>4.0190775776976932E-2</v>
      </c>
      <c r="K156" s="631">
        <v>5.9887375652244432E-2</v>
      </c>
      <c r="L156" s="632">
        <v>3.3667731816716229E-2</v>
      </c>
      <c r="M156" s="633">
        <v>5.1329708365608573E-2</v>
      </c>
      <c r="O156" s="400">
        <v>2016</v>
      </c>
      <c r="P156" s="400">
        <f t="shared" si="232"/>
        <v>2016.1538461538469</v>
      </c>
    </row>
    <row r="157" spans="1:16" ht="14.25">
      <c r="A157" s="969"/>
      <c r="B157" s="583" t="s">
        <v>16</v>
      </c>
      <c r="C157" s="650">
        <v>44601.033333333333</v>
      </c>
      <c r="D157" s="651">
        <v>54324.1</v>
      </c>
      <c r="E157" s="652">
        <v>53576.4</v>
      </c>
      <c r="F157" s="653">
        <v>152501.53333333333</v>
      </c>
      <c r="G157" s="654">
        <v>570477.36648127553</v>
      </c>
      <c r="H157" s="972"/>
      <c r="I157" s="655">
        <v>0.12415018567371827</v>
      </c>
      <c r="J157" s="656">
        <v>0.13174422399844438</v>
      </c>
      <c r="K157" s="657">
        <v>0.13119156806607712</v>
      </c>
      <c r="L157" s="658">
        <v>0.12931920139298558</v>
      </c>
      <c r="M157" s="659">
        <v>7.1103345139745144E-2</v>
      </c>
      <c r="O157" s="400">
        <v>2016</v>
      </c>
      <c r="P157" s="400">
        <f t="shared" si="232"/>
        <v>2016.23076923077</v>
      </c>
    </row>
    <row r="158" spans="1:16" ht="14.25">
      <c r="A158" s="969"/>
      <c r="B158" s="574" t="s">
        <v>17</v>
      </c>
      <c r="C158" s="624">
        <v>43616.903225806454</v>
      </c>
      <c r="D158" s="625">
        <v>55362.290322580644</v>
      </c>
      <c r="E158" s="626">
        <v>54595.272050195585</v>
      </c>
      <c r="F158" s="627">
        <v>153574.46559858267</v>
      </c>
      <c r="G158" s="628">
        <v>724051.83207985817</v>
      </c>
      <c r="H158" s="972"/>
      <c r="I158" s="629">
        <v>6.1240187175554801E-2</v>
      </c>
      <c r="J158" s="630">
        <v>8.3507211992229546E-2</v>
      </c>
      <c r="K158" s="631">
        <v>8.1204308553895432E-2</v>
      </c>
      <c r="L158" s="632">
        <v>7.627856086114404E-2</v>
      </c>
      <c r="M158" s="633">
        <v>7.2196867475452287E-2</v>
      </c>
      <c r="O158" s="400">
        <v>2016</v>
      </c>
      <c r="P158" s="400">
        <f t="shared" si="232"/>
        <v>2016.3076923076931</v>
      </c>
    </row>
    <row r="159" spans="1:16" ht="14.25">
      <c r="A159" s="969"/>
      <c r="B159" s="583" t="s">
        <v>18</v>
      </c>
      <c r="C159" s="650">
        <v>42355.76666666667</v>
      </c>
      <c r="D159" s="651">
        <v>55511.8</v>
      </c>
      <c r="E159" s="652">
        <v>55002.5</v>
      </c>
      <c r="F159" s="653">
        <v>152870.06666666668</v>
      </c>
      <c r="G159" s="654">
        <v>876921.89874652482</v>
      </c>
      <c r="H159" s="972"/>
      <c r="I159" s="655">
        <v>2.9663729492588012E-2</v>
      </c>
      <c r="J159" s="656">
        <v>4.7177812697150948E-2</v>
      </c>
      <c r="K159" s="657">
        <v>4.7648017520877113E-2</v>
      </c>
      <c r="L159" s="658">
        <v>4.2433335217570534E-2</v>
      </c>
      <c r="M159" s="659">
        <v>6.6886605073284811E-2</v>
      </c>
      <c r="O159" s="400">
        <v>2016</v>
      </c>
      <c r="P159" s="400">
        <f t="shared" si="232"/>
        <v>2016.3846153846162</v>
      </c>
    </row>
    <row r="160" spans="1:16" ht="14.25">
      <c r="A160" s="969"/>
      <c r="B160" s="574" t="s">
        <v>19</v>
      </c>
      <c r="C160" s="650">
        <v>39043.387096774197</v>
      </c>
      <c r="D160" s="651">
        <v>52469.774193548386</v>
      </c>
      <c r="E160" s="652">
        <v>54030.93548387097</v>
      </c>
      <c r="F160" s="653">
        <v>145544.09677419355</v>
      </c>
      <c r="G160" s="654">
        <v>1022465.9955207184</v>
      </c>
      <c r="H160" s="972"/>
      <c r="I160" s="655">
        <v>1.97677445881356E-2</v>
      </c>
      <c r="J160" s="656">
        <v>3.4968688080854834E-2</v>
      </c>
      <c r="K160" s="657">
        <v>4.7569895723409257E-2</v>
      </c>
      <c r="L160" s="658">
        <v>3.5452079310759332E-2</v>
      </c>
      <c r="M160" s="659">
        <v>6.2296018482718818E-2</v>
      </c>
      <c r="O160" s="400">
        <v>2016</v>
      </c>
      <c r="P160" s="400">
        <f t="shared" si="232"/>
        <v>2016.4615384615392</v>
      </c>
    </row>
    <row r="161" spans="1:16" ht="14.25">
      <c r="A161" s="969"/>
      <c r="B161" s="583" t="s">
        <v>20</v>
      </c>
      <c r="C161" s="650">
        <v>44200.096774193546</v>
      </c>
      <c r="D161" s="651">
        <v>56313.548387096773</v>
      </c>
      <c r="E161" s="652">
        <v>57270.741935483871</v>
      </c>
      <c r="F161" s="653">
        <v>157784.38709677418</v>
      </c>
      <c r="G161" s="654">
        <v>1180250.3826174927</v>
      </c>
      <c r="H161" s="972"/>
      <c r="I161" s="655">
        <v>8.1175576627026749E-2</v>
      </c>
      <c r="J161" s="656">
        <v>0.11677477961591107</v>
      </c>
      <c r="K161" s="657">
        <v>7.6809172514336665E-2</v>
      </c>
      <c r="L161" s="658">
        <v>9.1991834476374823E-2</v>
      </c>
      <c r="M161" s="659">
        <v>6.6172101445729492E-2</v>
      </c>
      <c r="O161" s="400">
        <v>2016</v>
      </c>
      <c r="P161" s="400">
        <f t="shared" si="232"/>
        <v>2016.5384615384623</v>
      </c>
    </row>
    <row r="162" spans="1:16" ht="14.25">
      <c r="A162" s="969"/>
      <c r="B162" s="574" t="s">
        <v>211</v>
      </c>
      <c r="C162" s="624">
        <v>46498.1</v>
      </c>
      <c r="D162" s="625">
        <v>57810.833333333336</v>
      </c>
      <c r="E162" s="626">
        <v>56692.76666666667</v>
      </c>
      <c r="F162" s="627">
        <v>161001.70000000001</v>
      </c>
      <c r="G162" s="628">
        <v>1341252.0826174926</v>
      </c>
      <c r="H162" s="972"/>
      <c r="I162" s="629">
        <v>6.3424626413955063E-2</v>
      </c>
      <c r="J162" s="630">
        <v>9.7825522762001349E-2</v>
      </c>
      <c r="K162" s="631">
        <v>7.8026842977542657E-2</v>
      </c>
      <c r="L162" s="632">
        <v>8.0739447700058697E-2</v>
      </c>
      <c r="M162" s="633">
        <v>6.7899967470287592E-2</v>
      </c>
      <c r="O162" s="400">
        <v>2016</v>
      </c>
      <c r="P162" s="400">
        <f t="shared" si="232"/>
        <v>2016.6153846153854</v>
      </c>
    </row>
    <row r="163" spans="1:16" ht="14.25">
      <c r="A163" s="969"/>
      <c r="B163" s="583" t="s">
        <v>213</v>
      </c>
      <c r="C163" s="624">
        <v>44845.129032258068</v>
      </c>
      <c r="D163" s="625">
        <v>54877.838709677417</v>
      </c>
      <c r="E163" s="626">
        <v>53297.93548387097</v>
      </c>
      <c r="F163" s="627">
        <v>153020.90322580645</v>
      </c>
      <c r="G163" s="628">
        <v>1494272.9858432992</v>
      </c>
      <c r="H163" s="972"/>
      <c r="I163" s="629">
        <v>3.6569253046257286E-2</v>
      </c>
      <c r="J163" s="630">
        <v>4.1843679323798857E-2</v>
      </c>
      <c r="K163" s="631">
        <v>5.018386562968332E-2</v>
      </c>
      <c r="L163" s="632">
        <v>4.3173615921811903E-2</v>
      </c>
      <c r="M163" s="633">
        <v>6.5314125697884862E-2</v>
      </c>
      <c r="O163" s="400">
        <v>2016</v>
      </c>
      <c r="P163" s="400">
        <f t="shared" si="232"/>
        <v>2016.6923076923085</v>
      </c>
    </row>
    <row r="164" spans="1:16" ht="14.25">
      <c r="A164" s="969"/>
      <c r="B164" s="574" t="s">
        <v>216</v>
      </c>
      <c r="C164" s="624">
        <v>45747.76666666667</v>
      </c>
      <c r="D164" s="625">
        <v>57078.166666666664</v>
      </c>
      <c r="E164" s="626">
        <v>53268.533333333333</v>
      </c>
      <c r="F164" s="627">
        <v>156094.46666666667</v>
      </c>
      <c r="G164" s="628">
        <v>1650367.4525099657</v>
      </c>
      <c r="H164" s="972"/>
      <c r="I164" s="629">
        <v>7.4498268975117451E-2</v>
      </c>
      <c r="J164" s="630">
        <v>0.10593668883907149</v>
      </c>
      <c r="K164" s="631">
        <v>8.3386664641884781E-2</v>
      </c>
      <c r="L164" s="632">
        <v>8.886530075069965E-2</v>
      </c>
      <c r="M164" s="633">
        <v>6.7497922969308233E-2</v>
      </c>
      <c r="O164" s="400">
        <v>2016</v>
      </c>
      <c r="P164" s="400">
        <f t="shared" si="232"/>
        <v>2016.7692307692316</v>
      </c>
    </row>
    <row r="165" spans="1:16" ht="15" thickBot="1">
      <c r="A165" s="970"/>
      <c r="B165" s="583" t="s">
        <v>217</v>
      </c>
      <c r="C165" s="624">
        <v>45044.129032258068</v>
      </c>
      <c r="D165" s="625">
        <v>56658.225806451614</v>
      </c>
      <c r="E165" s="626">
        <v>51741.354838709674</v>
      </c>
      <c r="F165" s="627">
        <v>153443.70967741936</v>
      </c>
      <c r="G165" s="628">
        <v>1803811.1621873851</v>
      </c>
      <c r="H165" s="972"/>
      <c r="I165" s="648">
        <v>0.12203043629535054</v>
      </c>
      <c r="J165" s="636">
        <v>0.11734151849613543</v>
      </c>
      <c r="K165" s="637">
        <v>0.13178372245303455</v>
      </c>
      <c r="L165" s="638">
        <v>0.12355435607004517</v>
      </c>
      <c r="M165" s="639">
        <v>7.2047840846281241E-2</v>
      </c>
      <c r="O165" s="400">
        <v>2016</v>
      </c>
      <c r="P165" s="400">
        <f t="shared" si="232"/>
        <v>2016.8461538461547</v>
      </c>
    </row>
    <row r="166" spans="1:16" ht="16.25" thickBot="1">
      <c r="A166" s="974" t="s">
        <v>242</v>
      </c>
      <c r="B166" s="975"/>
      <c r="C166" s="381">
        <v>43300</v>
      </c>
      <c r="D166" s="381">
        <v>54200</v>
      </c>
      <c r="E166" s="381">
        <v>52800</v>
      </c>
      <c r="F166" s="381">
        <v>150300</v>
      </c>
      <c r="G166" s="660"/>
      <c r="H166" s="973"/>
      <c r="I166" s="396">
        <v>5.7257966060310084E-2</v>
      </c>
      <c r="J166" s="396">
        <v>7.9143852663016379E-2</v>
      </c>
      <c r="K166" s="397">
        <v>7.6781890486387283E-2</v>
      </c>
      <c r="L166" s="398"/>
      <c r="M166" s="397">
        <v>7.2047840846281241E-2</v>
      </c>
      <c r="P166" s="400">
        <f t="shared" si="232"/>
        <v>2016.9230769230778</v>
      </c>
    </row>
    <row r="167" spans="1:16" ht="14.25">
      <c r="A167" s="969">
        <v>2017</v>
      </c>
      <c r="B167" s="574" t="s">
        <v>191</v>
      </c>
      <c r="C167" s="624">
        <v>43322.645161290326</v>
      </c>
      <c r="D167" s="625">
        <v>53340.451612903227</v>
      </c>
      <c r="E167" s="626">
        <v>49643.838709677417</v>
      </c>
      <c r="F167" s="646">
        <v>146306.93548387097</v>
      </c>
      <c r="G167" s="647">
        <v>146306.93548387097</v>
      </c>
      <c r="H167" s="971" t="s">
        <v>244</v>
      </c>
      <c r="I167" s="619">
        <v>9.3792350794891913E-2</v>
      </c>
      <c r="J167" s="620">
        <v>9.8067835598681388E-2</v>
      </c>
      <c r="K167" s="621">
        <v>8.5755064346282578E-2</v>
      </c>
      <c r="L167" s="622">
        <v>9.2598994248547228E-2</v>
      </c>
      <c r="M167" s="623">
        <v>9.2598994248547228E-2</v>
      </c>
      <c r="O167" s="400">
        <v>2017</v>
      </c>
      <c r="P167" s="400">
        <f t="shared" si="232"/>
        <v>2017.0000000000009</v>
      </c>
    </row>
    <row r="168" spans="1:16" ht="14.25">
      <c r="A168" s="969"/>
      <c r="B168" s="583" t="s">
        <v>195</v>
      </c>
      <c r="C168" s="624">
        <v>44620.678571428572</v>
      </c>
      <c r="D168" s="625">
        <v>54880.107142857145</v>
      </c>
      <c r="E168" s="626">
        <v>51641.499946411874</v>
      </c>
      <c r="F168" s="627">
        <v>151142.28566069758</v>
      </c>
      <c r="G168" s="628">
        <v>297449.22114456852</v>
      </c>
      <c r="H168" s="972"/>
      <c r="I168" s="629">
        <v>5.798882208485056E-2</v>
      </c>
      <c r="J168" s="630">
        <v>8.059873544479236E-2</v>
      </c>
      <c r="K168" s="631">
        <v>5.5380198451284224E-2</v>
      </c>
      <c r="L168" s="632">
        <v>6.5181826417116451E-2</v>
      </c>
      <c r="M168" s="633">
        <v>7.8493461024362166E-2</v>
      </c>
      <c r="O168" s="400">
        <v>2017</v>
      </c>
      <c r="P168" s="400">
        <f t="shared" si="232"/>
        <v>2017.076923076924</v>
      </c>
    </row>
    <row r="169" spans="1:16" ht="14.25">
      <c r="A169" s="969"/>
      <c r="B169" s="574" t="s">
        <v>15</v>
      </c>
      <c r="C169" s="624">
        <v>47551.225806451614</v>
      </c>
      <c r="D169" s="625">
        <v>59029.903225806454</v>
      </c>
      <c r="E169" s="626">
        <v>56354.548387096773</v>
      </c>
      <c r="F169" s="627">
        <v>162935.67741935485</v>
      </c>
      <c r="G169" s="628">
        <v>460384.89856392337</v>
      </c>
      <c r="H169" s="972"/>
      <c r="I169" s="629">
        <v>0.14258076067772535</v>
      </c>
      <c r="J169" s="630">
        <v>0.16307539571564414</v>
      </c>
      <c r="K169" s="631">
        <v>0.13151555858100608</v>
      </c>
      <c r="L169" s="632">
        <v>0.14602069686869656</v>
      </c>
      <c r="M169" s="633">
        <v>0.10146296042185421</v>
      </c>
      <c r="O169" s="400">
        <v>2017</v>
      </c>
      <c r="P169" s="400">
        <f t="shared" si="232"/>
        <v>2017.1538461538471</v>
      </c>
    </row>
    <row r="170" spans="1:16" ht="14.25">
      <c r="A170" s="969"/>
      <c r="B170" s="583" t="s">
        <v>16</v>
      </c>
      <c r="C170" s="624">
        <v>42659.833333333336</v>
      </c>
      <c r="D170" s="625">
        <v>54475.633333333331</v>
      </c>
      <c r="E170" s="626">
        <v>63080.616666666669</v>
      </c>
      <c r="F170" s="627">
        <v>160216.08333333334</v>
      </c>
      <c r="G170" s="628">
        <v>620600.98189725669</v>
      </c>
      <c r="H170" s="972"/>
      <c r="I170" s="629">
        <v>-4.3523655281529287E-2</v>
      </c>
      <c r="J170" s="630">
        <v>2.7894310873688264E-3</v>
      </c>
      <c r="K170" s="631">
        <v>0.17739558213442239</v>
      </c>
      <c r="L170" s="632">
        <v>5.0586704483408518E-2</v>
      </c>
      <c r="M170" s="633">
        <v>8.7862583795647042E-2</v>
      </c>
      <c r="O170" s="400">
        <v>2017</v>
      </c>
      <c r="P170" s="400">
        <f t="shared" si="232"/>
        <v>2017.2307692307702</v>
      </c>
    </row>
    <row r="171" spans="1:16" ht="14.25">
      <c r="A171" s="969"/>
      <c r="B171" s="574" t="s">
        <v>17</v>
      </c>
      <c r="C171" s="624">
        <v>46689</v>
      </c>
      <c r="D171" s="625">
        <v>61210.482180166997</v>
      </c>
      <c r="E171" s="626">
        <v>58165.885569130776</v>
      </c>
      <c r="F171" s="627">
        <v>166065.36774929776</v>
      </c>
      <c r="G171" s="628">
        <v>786666.34964655444</v>
      </c>
      <c r="H171" s="972"/>
      <c r="I171" s="629">
        <v>7.0433628868358161E-2</v>
      </c>
      <c r="J171" s="630">
        <v>0.10563493351721123</v>
      </c>
      <c r="K171" s="631">
        <v>6.5401515275028285E-2</v>
      </c>
      <c r="L171" s="632">
        <v>8.1334498557619428E-2</v>
      </c>
      <c r="M171" s="633">
        <v>8.647794921923535E-2</v>
      </c>
      <c r="O171" s="400">
        <v>2017</v>
      </c>
      <c r="P171" s="400">
        <f t="shared" si="232"/>
        <v>2017.3076923076933</v>
      </c>
    </row>
    <row r="172" spans="1:16" ht="14.25">
      <c r="A172" s="969"/>
      <c r="B172" s="583" t="s">
        <v>18</v>
      </c>
      <c r="C172" s="624">
        <v>46568.26666666667</v>
      </c>
      <c r="D172" s="625">
        <v>62428.354623662672</v>
      </c>
      <c r="E172" s="626">
        <v>59982.778287697103</v>
      </c>
      <c r="F172" s="627">
        <v>168979.39957802644</v>
      </c>
      <c r="G172" s="628">
        <v>955645.74922458082</v>
      </c>
      <c r="H172" s="972"/>
      <c r="I172" s="629">
        <v>9.9455170606442406E-2</v>
      </c>
      <c r="J172" s="630">
        <v>0.12459611512620143</v>
      </c>
      <c r="K172" s="631">
        <v>9.0546398576375683E-2</v>
      </c>
      <c r="L172" s="632">
        <v>0.10537924959819756</v>
      </c>
      <c r="M172" s="633">
        <v>8.9772932561707153E-2</v>
      </c>
      <c r="O172" s="400">
        <v>2017</v>
      </c>
      <c r="P172" s="400">
        <f t="shared" si="232"/>
        <v>2017.3846153846164</v>
      </c>
    </row>
    <row r="173" spans="1:16" ht="14.25">
      <c r="A173" s="969"/>
      <c r="B173" s="574" t="s">
        <v>19</v>
      </c>
      <c r="C173" s="624">
        <v>41982.516129032258</v>
      </c>
      <c r="D173" s="625">
        <v>59796.509359393349</v>
      </c>
      <c r="E173" s="626">
        <v>57596.083340171128</v>
      </c>
      <c r="F173" s="627">
        <v>159375.10882859671</v>
      </c>
      <c r="G173" s="628">
        <v>1115020.8580531776</v>
      </c>
      <c r="H173" s="972"/>
      <c r="I173" s="629">
        <v>7.5278536285108694E-2</v>
      </c>
      <c r="J173" s="630">
        <v>0.13963725360849463</v>
      </c>
      <c r="K173" s="631">
        <v>6.5983456040001512E-2</v>
      </c>
      <c r="L173" s="632">
        <v>9.502970138226563E-2</v>
      </c>
      <c r="M173" s="633">
        <v>9.0521213358614627E-2</v>
      </c>
      <c r="O173" s="400">
        <v>2017</v>
      </c>
      <c r="P173" s="400">
        <f t="shared" si="232"/>
        <v>2017.4615384615395</v>
      </c>
    </row>
    <row r="174" spans="1:16" ht="14.25">
      <c r="A174" s="969"/>
      <c r="B174" s="583" t="s">
        <v>20</v>
      </c>
      <c r="C174" s="624">
        <v>45948.580645161288</v>
      </c>
      <c r="D174" s="625">
        <v>62799.193548387098</v>
      </c>
      <c r="E174" s="626">
        <v>59244.419354838712</v>
      </c>
      <c r="F174" s="627">
        <v>167992.19354838709</v>
      </c>
      <c r="G174" s="628">
        <v>1283013.0516015647</v>
      </c>
      <c r="H174" s="972"/>
      <c r="I174" s="629">
        <v>3.9558372007651436E-2</v>
      </c>
      <c r="J174" s="630">
        <v>0.11517024494191513</v>
      </c>
      <c r="K174" s="631">
        <v>3.4462228926215248E-2</v>
      </c>
      <c r="L174" s="632">
        <v>6.4694654771844773E-2</v>
      </c>
      <c r="M174" s="633">
        <v>8.7068532658443942E-2</v>
      </c>
      <c r="O174" s="400">
        <v>2017</v>
      </c>
      <c r="P174" s="400">
        <f t="shared" si="232"/>
        <v>2017.5384615384626</v>
      </c>
    </row>
    <row r="175" spans="1:16" ht="14.25">
      <c r="A175" s="969"/>
      <c r="B175" s="574" t="s">
        <v>211</v>
      </c>
      <c r="C175" s="624">
        <v>47964.666666666664</v>
      </c>
      <c r="D175" s="625">
        <v>65386.366666666669</v>
      </c>
      <c r="E175" s="626">
        <v>59174.8</v>
      </c>
      <c r="F175" s="627">
        <v>172525.83333333331</v>
      </c>
      <c r="G175" s="628">
        <v>1455538.884934898</v>
      </c>
      <c r="H175" s="972"/>
      <c r="I175" s="629">
        <v>3.1540356846122011E-2</v>
      </c>
      <c r="J175" s="630">
        <v>0.13104002998284633</v>
      </c>
      <c r="K175" s="631">
        <v>4.3780423487299665E-2</v>
      </c>
      <c r="L175" s="632">
        <v>7.1577712119395676E-2</v>
      </c>
      <c r="M175" s="633">
        <v>8.5209039969855072E-2</v>
      </c>
      <c r="O175" s="400">
        <v>2017</v>
      </c>
      <c r="P175" s="400">
        <f t="shared" si="232"/>
        <v>2017.6153846153857</v>
      </c>
    </row>
    <row r="176" spans="1:16" ht="14.25">
      <c r="A176" s="969"/>
      <c r="B176" s="583" t="s">
        <v>213</v>
      </c>
      <c r="C176" s="624">
        <v>47530.290322580644</v>
      </c>
      <c r="D176" s="625">
        <v>62012.258064516129</v>
      </c>
      <c r="E176" s="626">
        <v>57318.258064516129</v>
      </c>
      <c r="F176" s="627">
        <v>166860.80645161291</v>
      </c>
      <c r="G176" s="628">
        <v>1622399.6913865109</v>
      </c>
      <c r="H176" s="972"/>
      <c r="I176" s="629">
        <v>5.9876319864997633E-2</v>
      </c>
      <c r="J176" s="630">
        <v>0.13000547256575165</v>
      </c>
      <c r="K176" s="631">
        <v>7.5431112746605161E-2</v>
      </c>
      <c r="L176" s="632">
        <v>9.044452708126749E-2</v>
      </c>
      <c r="M176" s="633">
        <v>8.5745179600434707E-2</v>
      </c>
      <c r="O176" s="400">
        <v>2017</v>
      </c>
      <c r="P176" s="400">
        <f t="shared" si="232"/>
        <v>2017.6923076923088</v>
      </c>
    </row>
    <row r="177" spans="1:16" ht="14.25">
      <c r="A177" s="969"/>
      <c r="B177" s="574" t="s">
        <v>216</v>
      </c>
      <c r="C177" s="624">
        <v>47185.666666666664</v>
      </c>
      <c r="D177" s="625">
        <v>62238.633333333331</v>
      </c>
      <c r="E177" s="626">
        <v>55233</v>
      </c>
      <c r="F177" s="627">
        <v>164657.29999999999</v>
      </c>
      <c r="G177" s="628">
        <v>1787056.9913865109</v>
      </c>
      <c r="H177" s="972"/>
      <c r="I177" s="629">
        <v>3.1431042535409612E-2</v>
      </c>
      <c r="J177" s="630">
        <v>9.0410518908280765E-2</v>
      </c>
      <c r="K177" s="631">
        <v>3.6878557447298475E-2</v>
      </c>
      <c r="L177" s="632">
        <v>5.485673846222161E-2</v>
      </c>
      <c r="M177" s="633">
        <v>8.2823700060650429E-2</v>
      </c>
      <c r="O177" s="400">
        <v>2017</v>
      </c>
      <c r="P177" s="400">
        <f t="shared" si="232"/>
        <v>2017.7692307692319</v>
      </c>
    </row>
    <row r="178" spans="1:16" ht="15" thickBot="1">
      <c r="A178" s="970"/>
      <c r="B178" s="583" t="s">
        <v>217</v>
      </c>
      <c r="C178" s="624">
        <v>46341.612903225803</v>
      </c>
      <c r="D178" s="625">
        <v>61376.322580645159</v>
      </c>
      <c r="E178" s="626">
        <v>53390.354838709674</v>
      </c>
      <c r="F178" s="627">
        <v>161108.29032258064</v>
      </c>
      <c r="G178" s="628">
        <v>1948165.2817090915</v>
      </c>
      <c r="H178" s="972"/>
      <c r="I178" s="648">
        <v>2.8804727693559136E-2</v>
      </c>
      <c r="J178" s="636">
        <v>8.3272935342361187E-2</v>
      </c>
      <c r="K178" s="637">
        <v>3.1870058392176472E-2</v>
      </c>
      <c r="L178" s="638">
        <v>4.9950438902150562E-2</v>
      </c>
      <c r="M178" s="639">
        <v>8.0027290299421239E-2</v>
      </c>
      <c r="O178" s="400">
        <v>2017</v>
      </c>
      <c r="P178" s="400">
        <f t="shared" si="232"/>
        <v>2017.8461538461549</v>
      </c>
    </row>
    <row r="179" spans="1:16" ht="16.25" thickBot="1">
      <c r="A179" s="974" t="s">
        <v>242</v>
      </c>
      <c r="B179" s="975"/>
      <c r="C179" s="381">
        <v>45697.081906041996</v>
      </c>
      <c r="D179" s="381">
        <v>59914.517972639296</v>
      </c>
      <c r="E179" s="381">
        <v>56735.506930409698</v>
      </c>
      <c r="F179" s="381">
        <v>162347.10680909097</v>
      </c>
      <c r="G179" s="660"/>
      <c r="H179" s="973"/>
      <c r="I179" s="396">
        <v>5.5862916450791777E-2</v>
      </c>
      <c r="J179" s="396">
        <v>0.10522443568760109</v>
      </c>
      <c r="K179" s="397">
        <v>7.3967520472651538E-2</v>
      </c>
      <c r="L179" s="398"/>
      <c r="M179" s="397">
        <v>8.0027290299421239E-2</v>
      </c>
      <c r="N179" s="32">
        <f>AVERAGE(C167:C178)</f>
        <v>45697.081906041996</v>
      </c>
      <c r="P179" s="400">
        <f t="shared" si="232"/>
        <v>2017.923076923078</v>
      </c>
    </row>
    <row r="180" spans="1:16" ht="14.25">
      <c r="A180" s="969">
        <v>2018</v>
      </c>
      <c r="B180" s="574" t="s">
        <v>191</v>
      </c>
      <c r="C180" s="624">
        <v>44341</v>
      </c>
      <c r="D180" s="625">
        <v>57672.709677419356</v>
      </c>
      <c r="E180" s="626">
        <v>51027.516129032258</v>
      </c>
      <c r="F180" s="646">
        <v>153041.22580645164</v>
      </c>
      <c r="G180" s="647">
        <v>153041.22580645164</v>
      </c>
      <c r="H180" s="971" t="s">
        <v>245</v>
      </c>
      <c r="I180" s="619">
        <v>2.3506294108273779E-2</v>
      </c>
      <c r="J180" s="620">
        <v>8.1218998593332897E-2</v>
      </c>
      <c r="K180" s="621">
        <v>2.7872087560487362E-2</v>
      </c>
      <c r="L180" s="622">
        <v>4.6028510544006807E-2</v>
      </c>
      <c r="M180" s="623">
        <v>4.6028510544006807E-2</v>
      </c>
      <c r="O180" s="400">
        <v>2018</v>
      </c>
      <c r="P180" s="400">
        <f t="shared" ref="P180:P242" si="233">P179+$P$97</f>
        <v>2018.0000000000011</v>
      </c>
    </row>
    <row r="181" spans="1:16" ht="14.25">
      <c r="A181" s="969"/>
      <c r="B181" s="583" t="s">
        <v>195</v>
      </c>
      <c r="C181" s="624">
        <v>44942.607142857145</v>
      </c>
      <c r="D181" s="625">
        <v>57856.382854565039</v>
      </c>
      <c r="E181" s="626">
        <v>51341.142857142855</v>
      </c>
      <c r="F181" s="627">
        <v>154140.13285456505</v>
      </c>
      <c r="G181" s="628">
        <v>307181.35866101668</v>
      </c>
      <c r="H181" s="972"/>
      <c r="I181" s="629">
        <v>7.2147843048426686E-3</v>
      </c>
      <c r="J181" s="630">
        <v>5.4232323270805932E-2</v>
      </c>
      <c r="K181" s="631">
        <v>-5.8161960744884961E-3</v>
      </c>
      <c r="L181" s="632">
        <v>1.9834602743784124E-2</v>
      </c>
      <c r="M181" s="633">
        <v>3.2718651872744697E-2</v>
      </c>
      <c r="O181" s="400">
        <v>2018</v>
      </c>
      <c r="P181" s="400">
        <f t="shared" si="233"/>
        <v>2018.0769230769242</v>
      </c>
    </row>
    <row r="182" spans="1:16" ht="14.25">
      <c r="A182" s="969"/>
      <c r="B182" s="574" t="s">
        <v>15</v>
      </c>
      <c r="C182" s="624">
        <v>47113.774193548386</v>
      </c>
      <c r="D182" s="625">
        <v>62185.949659172125</v>
      </c>
      <c r="E182" s="626">
        <v>57596.806451612902</v>
      </c>
      <c r="F182" s="627">
        <v>166896.53030433343</v>
      </c>
      <c r="G182" s="628">
        <v>474077.88896535011</v>
      </c>
      <c r="H182" s="972"/>
      <c r="I182" s="629">
        <v>-9.1995864561681823E-3</v>
      </c>
      <c r="J182" s="630">
        <v>5.34652144234911E-2</v>
      </c>
      <c r="K182" s="631">
        <v>2.2043616710103252E-2</v>
      </c>
      <c r="L182" s="632">
        <v>2.4309303816771655E-2</v>
      </c>
      <c r="M182" s="633">
        <v>2.97424838306799E-2</v>
      </c>
      <c r="O182" s="400">
        <v>2018</v>
      </c>
      <c r="P182" s="400">
        <f t="shared" si="233"/>
        <v>2018.1538461538473</v>
      </c>
    </row>
    <row r="183" spans="1:16" ht="14.25">
      <c r="A183" s="969"/>
      <c r="B183" s="583" t="s">
        <v>16</v>
      </c>
      <c r="C183" s="624">
        <v>47082.9</v>
      </c>
      <c r="D183" s="625">
        <v>62561.153648976149</v>
      </c>
      <c r="E183" s="626">
        <v>57285.966666666667</v>
      </c>
      <c r="F183" s="627">
        <v>166930.02031564282</v>
      </c>
      <c r="G183" s="628">
        <v>641007.90928099293</v>
      </c>
      <c r="H183" s="972"/>
      <c r="I183" s="629">
        <v>0.10368223035720561</v>
      </c>
      <c r="J183" s="630">
        <v>0.14842453076530518</v>
      </c>
      <c r="K183" s="631">
        <v>-9.1861023341295825E-2</v>
      </c>
      <c r="L183" s="632">
        <v>4.1905511872618817E-2</v>
      </c>
      <c r="M183" s="633">
        <v>3.2882525131284313E-2</v>
      </c>
      <c r="O183" s="400">
        <v>2018</v>
      </c>
      <c r="P183" s="400">
        <f t="shared" si="233"/>
        <v>2018.2307692307704</v>
      </c>
    </row>
    <row r="184" spans="1:16" ht="14.25">
      <c r="A184" s="969"/>
      <c r="B184" s="574" t="s">
        <v>17</v>
      </c>
      <c r="C184" s="624">
        <v>47493.258064516129</v>
      </c>
      <c r="D184" s="625">
        <v>64262.548387096773</v>
      </c>
      <c r="E184" s="626">
        <v>58649</v>
      </c>
      <c r="F184" s="627">
        <v>170404.80645161291</v>
      </c>
      <c r="G184" s="628">
        <v>811412.7157326059</v>
      </c>
      <c r="H184" s="972"/>
      <c r="I184" s="629">
        <v>1.722585757921842E-2</v>
      </c>
      <c r="J184" s="630">
        <v>4.9861822652308492E-2</v>
      </c>
      <c r="K184" s="631">
        <v>8.305803756654526E-3</v>
      </c>
      <c r="L184" s="632">
        <v>2.6130907130897052E-2</v>
      </c>
      <c r="M184" s="633">
        <v>3.1457257701654529E-2</v>
      </c>
      <c r="O184" s="400">
        <v>2018</v>
      </c>
      <c r="P184" s="400">
        <f t="shared" si="233"/>
        <v>2018.3076923076935</v>
      </c>
    </row>
    <row r="185" spans="1:16" ht="14.25">
      <c r="A185" s="969"/>
      <c r="B185" s="583" t="s">
        <v>18</v>
      </c>
      <c r="C185" s="624">
        <v>47208.633333333331</v>
      </c>
      <c r="D185" s="625">
        <v>65114</v>
      </c>
      <c r="E185" s="626">
        <v>60968.333333333336</v>
      </c>
      <c r="F185" s="627">
        <v>173290.96666666667</v>
      </c>
      <c r="G185" s="628">
        <v>984703.68239927257</v>
      </c>
      <c r="H185" s="972"/>
      <c r="I185" s="629">
        <v>1.3751138114080432E-2</v>
      </c>
      <c r="J185" s="630">
        <v>4.3019640554796373E-2</v>
      </c>
      <c r="K185" s="631">
        <v>1.6430633487985284E-2</v>
      </c>
      <c r="L185" s="632">
        <v>2.5515341511492151E-2</v>
      </c>
      <c r="M185" s="633">
        <v>3.0406594910582285E-2</v>
      </c>
      <c r="O185" s="400">
        <v>2018</v>
      </c>
      <c r="P185" s="400">
        <f t="shared" si="233"/>
        <v>2018.3846153846166</v>
      </c>
    </row>
    <row r="186" spans="1:16" ht="14.25">
      <c r="A186" s="969"/>
      <c r="B186" s="574" t="s">
        <v>19</v>
      </c>
      <c r="C186" s="624">
        <v>43204.838709677417</v>
      </c>
      <c r="D186" s="625">
        <v>61430.645161290326</v>
      </c>
      <c r="E186" s="626">
        <v>58824.647880323762</v>
      </c>
      <c r="F186" s="627">
        <v>163460.13175129151</v>
      </c>
      <c r="G186" s="628">
        <v>1148163.8141505641</v>
      </c>
      <c r="H186" s="972"/>
      <c r="I186" s="629">
        <v>2.9115038672012417E-2</v>
      </c>
      <c r="J186" s="630">
        <v>2.7328280854579227E-2</v>
      </c>
      <c r="K186" s="631">
        <v>2.1330695924175046E-2</v>
      </c>
      <c r="L186" s="632">
        <v>2.5631498875323899E-2</v>
      </c>
      <c r="M186" s="633">
        <v>2.9724068261157033E-2</v>
      </c>
      <c r="O186" s="400">
        <v>2018</v>
      </c>
      <c r="P186" s="400">
        <f t="shared" si="233"/>
        <v>2018.4615384615397</v>
      </c>
    </row>
    <row r="187" spans="1:16" ht="14.25">
      <c r="A187" s="969"/>
      <c r="B187" s="583" t="s">
        <v>20</v>
      </c>
      <c r="C187" s="624">
        <v>46837.903225806454</v>
      </c>
      <c r="D187" s="625">
        <v>63517.129032258068</v>
      </c>
      <c r="E187" s="626">
        <v>61645.838709677417</v>
      </c>
      <c r="F187" s="627">
        <v>172000.87096774194</v>
      </c>
      <c r="G187" s="628">
        <v>1320164.685118306</v>
      </c>
      <c r="H187" s="972"/>
      <c r="I187" s="629">
        <v>1.935473453495714E-2</v>
      </c>
      <c r="J187" s="630">
        <v>1.1432240500314652E-2</v>
      </c>
      <c r="K187" s="631">
        <v>4.0534102300094056E-2</v>
      </c>
      <c r="L187" s="632">
        <v>2.386228392333134E-2</v>
      </c>
      <c r="M187" s="633">
        <v>2.8956551510029849E-2</v>
      </c>
      <c r="O187" s="400">
        <v>2018</v>
      </c>
      <c r="P187" s="400">
        <f t="shared" si="233"/>
        <v>2018.5384615384628</v>
      </c>
    </row>
    <row r="188" spans="1:16" ht="14.25">
      <c r="A188" s="969"/>
      <c r="B188" s="574" t="s">
        <v>211</v>
      </c>
      <c r="C188" s="624">
        <v>49113.5</v>
      </c>
      <c r="D188" s="625">
        <v>64878.033333333333</v>
      </c>
      <c r="E188" s="626">
        <v>61123.966666666667</v>
      </c>
      <c r="F188" s="627">
        <v>175115.5</v>
      </c>
      <c r="G188" s="628">
        <v>1495280.185118306</v>
      </c>
      <c r="H188" s="972"/>
      <c r="I188" s="629">
        <v>2.3951658859994215E-2</v>
      </c>
      <c r="J188" s="630">
        <v>-7.7743015745892355E-3</v>
      </c>
      <c r="K188" s="631">
        <v>3.2939134000734505E-2</v>
      </c>
      <c r="L188" s="632">
        <v>1.5010312465283171E-2</v>
      </c>
      <c r="M188" s="633">
        <v>2.7303496041732656E-2</v>
      </c>
      <c r="O188" s="400">
        <v>2018</v>
      </c>
      <c r="P188" s="400">
        <f t="shared" si="233"/>
        <v>2018.6153846153859</v>
      </c>
    </row>
    <row r="189" spans="1:16" ht="14.25">
      <c r="A189" s="969"/>
      <c r="B189" s="583" t="s">
        <v>213</v>
      </c>
      <c r="C189" s="624">
        <v>49354.387096774197</v>
      </c>
      <c r="D189" s="625">
        <v>64632.096774193546</v>
      </c>
      <c r="E189" s="626">
        <v>59720.096774193546</v>
      </c>
      <c r="F189" s="627">
        <v>173706.58064516127</v>
      </c>
      <c r="G189" s="628">
        <v>1668986.7657634672</v>
      </c>
      <c r="H189" s="972"/>
      <c r="I189" s="629">
        <v>3.837756432400672E-2</v>
      </c>
      <c r="J189" s="630">
        <v>4.2247110352791807E-2</v>
      </c>
      <c r="K189" s="631">
        <v>4.1903553785147513E-2</v>
      </c>
      <c r="L189" s="632">
        <v>4.1026855491876901E-2</v>
      </c>
      <c r="M189" s="633">
        <v>2.8714918169851611E-2</v>
      </c>
      <c r="O189" s="400">
        <v>2018</v>
      </c>
      <c r="P189" s="400">
        <f t="shared" si="233"/>
        <v>2018.692307692309</v>
      </c>
    </row>
    <row r="190" spans="1:16" ht="14.25">
      <c r="A190" s="969"/>
      <c r="B190" s="574" t="s">
        <v>216</v>
      </c>
      <c r="C190" s="624">
        <v>48557.066666666666</v>
      </c>
      <c r="D190" s="625">
        <v>64891.366666666669</v>
      </c>
      <c r="E190" s="626">
        <v>58420.066666666666</v>
      </c>
      <c r="F190" s="627">
        <v>171868.5</v>
      </c>
      <c r="G190" s="628">
        <v>1840855.2657634672</v>
      </c>
      <c r="H190" s="972"/>
      <c r="I190" s="629">
        <v>2.9063910650833264E-2</v>
      </c>
      <c r="J190" s="630">
        <v>4.2621972740404065E-2</v>
      </c>
      <c r="K190" s="631">
        <v>5.7702219084001694E-2</v>
      </c>
      <c r="L190" s="632">
        <v>4.3795203735273347E-2</v>
      </c>
      <c r="M190" s="633">
        <v>3.0104397697588992E-2</v>
      </c>
      <c r="O190" s="400">
        <v>2018</v>
      </c>
      <c r="P190" s="400">
        <f t="shared" si="233"/>
        <v>2018.7692307692321</v>
      </c>
    </row>
    <row r="191" spans="1:16" ht="15" thickBot="1">
      <c r="A191" s="970"/>
      <c r="B191" s="583" t="s">
        <v>217</v>
      </c>
      <c r="C191" s="624">
        <v>45893.451612903227</v>
      </c>
      <c r="D191" s="625">
        <v>61448.193548387098</v>
      </c>
      <c r="E191" s="626">
        <v>54599.774193548386</v>
      </c>
      <c r="F191" s="627">
        <v>161941.41935483873</v>
      </c>
      <c r="G191" s="628">
        <v>2002796.685118306</v>
      </c>
      <c r="H191" s="972"/>
      <c r="I191" s="648">
        <v>-9.6708177002484044E-3</v>
      </c>
      <c r="J191" s="636">
        <v>1.1709884971929474E-3</v>
      </c>
      <c r="K191" s="637">
        <v>2.2652394023083833E-2</v>
      </c>
      <c r="L191" s="638">
        <v>5.1712362572400306E-3</v>
      </c>
      <c r="M191" s="639">
        <v>2.8042488962377599E-2</v>
      </c>
      <c r="O191" s="400">
        <v>2018</v>
      </c>
      <c r="P191" s="400">
        <f t="shared" si="233"/>
        <v>2018.8461538461552</v>
      </c>
    </row>
    <row r="192" spans="1:16" ht="16.25" thickBot="1">
      <c r="A192" s="974" t="s">
        <v>242</v>
      </c>
      <c r="B192" s="975"/>
      <c r="C192" s="381">
        <f>AVERAGE(C180:C191)</f>
        <v>46761.943337173579</v>
      </c>
      <c r="D192" s="381">
        <f t="shared" ref="D192:G192" si="234">AVERAGE(D180:D191)</f>
        <v>62537.517395279887</v>
      </c>
      <c r="E192" s="381">
        <f t="shared" si="234"/>
        <v>57600.263027405366</v>
      </c>
      <c r="F192" s="381">
        <f t="shared" si="234"/>
        <v>166899.72375985884</v>
      </c>
      <c r="G192" s="660">
        <f t="shared" si="234"/>
        <v>1070639.3484898421</v>
      </c>
      <c r="H192" s="973"/>
      <c r="I192" s="396">
        <f>(C192-C179)/C179</f>
        <v>2.3302613355510319E-2</v>
      </c>
      <c r="J192" s="396">
        <f>(D192-D179)/D179</f>
        <v>4.3779029046656363E-2</v>
      </c>
      <c r="K192" s="396">
        <f>(E192-E179)/E179</f>
        <v>1.5241885439683404E-2</v>
      </c>
      <c r="L192" s="398">
        <f t="shared" ref="L192" si="235">(E192-E179)/E179</f>
        <v>1.5241885439683404E-2</v>
      </c>
      <c r="M192" s="397">
        <f>(F192-F179)/F179</f>
        <v>2.8042488962377606E-2</v>
      </c>
      <c r="O192" s="400"/>
      <c r="P192" s="400">
        <f t="shared" si="233"/>
        <v>2018.9230769230783</v>
      </c>
    </row>
    <row r="193" spans="1:16" ht="14.25">
      <c r="A193" s="969">
        <v>2019</v>
      </c>
      <c r="B193" s="574" t="s">
        <v>191</v>
      </c>
      <c r="C193" s="624">
        <v>44642.741935483871</v>
      </c>
      <c r="D193" s="625">
        <v>58065.774193548386</v>
      </c>
      <c r="E193" s="626">
        <v>52814.774193548386</v>
      </c>
      <c r="F193" s="646">
        <v>155523.29032258064</v>
      </c>
      <c r="G193" s="647">
        <v>155523.29032258064</v>
      </c>
      <c r="H193" s="971" t="s">
        <v>245</v>
      </c>
      <c r="I193" s="661">
        <v>6.8050322609745206E-3</v>
      </c>
      <c r="J193" s="662">
        <v>6.8154334749928915E-3</v>
      </c>
      <c r="K193" s="663">
        <v>3.502537846437058E-2</v>
      </c>
      <c r="L193" s="664">
        <v>1.6218273886985379E-2</v>
      </c>
      <c r="M193" s="665">
        <v>1.6218273886985379E-2</v>
      </c>
      <c r="O193" s="400">
        <v>2019</v>
      </c>
      <c r="P193" s="400">
        <f t="shared" si="233"/>
        <v>2019.0000000000014</v>
      </c>
    </row>
    <row r="194" spans="1:16" ht="14.25">
      <c r="A194" s="969"/>
      <c r="B194" s="583" t="s">
        <v>195</v>
      </c>
      <c r="C194" s="624">
        <v>46672.785714285717</v>
      </c>
      <c r="D194" s="625">
        <v>61999.285714285717</v>
      </c>
      <c r="E194" s="626">
        <v>56348</v>
      </c>
      <c r="F194" s="627">
        <v>165020.07142857142</v>
      </c>
      <c r="G194" s="628">
        <v>320543.36175115209</v>
      </c>
      <c r="H194" s="972"/>
      <c r="I194" s="629">
        <v>3.8497512303390137E-2</v>
      </c>
      <c r="J194" s="630">
        <v>7.1606669053867242E-2</v>
      </c>
      <c r="K194" s="631">
        <v>9.7521341836677947E-2</v>
      </c>
      <c r="L194" s="632">
        <v>7.058472295642737E-2</v>
      </c>
      <c r="M194" s="633">
        <v>4.3498743375507853E-2</v>
      </c>
      <c r="O194" s="400">
        <v>2019</v>
      </c>
      <c r="P194" s="400">
        <f t="shared" si="233"/>
        <v>2019.0769230769245</v>
      </c>
    </row>
    <row r="195" spans="1:16" ht="14.25">
      <c r="A195" s="969"/>
      <c r="B195" s="574" t="s">
        <v>15</v>
      </c>
      <c r="C195" s="624">
        <v>48267.870967741932</v>
      </c>
      <c r="D195" s="625">
        <v>63392.258064516129</v>
      </c>
      <c r="E195" s="626">
        <v>56616.741935483871</v>
      </c>
      <c r="F195" s="627">
        <v>168276.87096774194</v>
      </c>
      <c r="G195" s="628">
        <v>488820.23271889403</v>
      </c>
      <c r="H195" s="972"/>
      <c r="I195" s="629">
        <v>2.4495952488382558E-2</v>
      </c>
      <c r="J195" s="630">
        <v>1.9398407710351315E-2</v>
      </c>
      <c r="K195" s="631">
        <v>-1.7015952385352875E-2</v>
      </c>
      <c r="L195" s="632">
        <v>8.2706372678418294E-3</v>
      </c>
      <c r="M195" s="633">
        <v>3.1096881117401054E-2</v>
      </c>
      <c r="O195" s="400">
        <v>2019</v>
      </c>
      <c r="P195" s="400">
        <f t="shared" si="233"/>
        <v>2019.1538461538476</v>
      </c>
    </row>
    <row r="196" spans="1:16" ht="14.25">
      <c r="A196" s="969"/>
      <c r="B196" s="583" t="s">
        <v>16</v>
      </c>
      <c r="C196" s="624">
        <v>44721.599999999999</v>
      </c>
      <c r="D196" s="625">
        <v>61176.3</v>
      </c>
      <c r="E196" s="626">
        <v>56750.2</v>
      </c>
      <c r="F196" s="627">
        <v>162648.09999999998</v>
      </c>
      <c r="G196" s="628">
        <v>651468.332718894</v>
      </c>
      <c r="H196" s="972"/>
      <c r="I196" s="629">
        <v>-5.0151966000395107E-2</v>
      </c>
      <c r="J196" s="630">
        <v>-2.2135999229592376E-2</v>
      </c>
      <c r="K196" s="631">
        <v>-9.3524941245064098E-3</v>
      </c>
      <c r="L196" s="632">
        <v>-2.5650990202638724E-2</v>
      </c>
      <c r="M196" s="633">
        <v>1.6318711963529964E-2</v>
      </c>
      <c r="O196" s="400">
        <v>2019</v>
      </c>
      <c r="P196" s="400">
        <f t="shared" si="233"/>
        <v>2019.2307692307706</v>
      </c>
    </row>
    <row r="197" spans="1:16" ht="14.25">
      <c r="A197" s="969"/>
      <c r="B197" s="574" t="s">
        <v>17</v>
      </c>
      <c r="C197" s="624">
        <v>48394.677419354841</v>
      </c>
      <c r="D197" s="625">
        <v>67411.387096774197</v>
      </c>
      <c r="E197" s="626">
        <v>62668.322580645159</v>
      </c>
      <c r="F197" s="627">
        <v>178474.38709677418</v>
      </c>
      <c r="G197" s="628">
        <v>829942.71981566818</v>
      </c>
      <c r="H197" s="972"/>
      <c r="I197" s="629">
        <v>1.8979943503016777E-2</v>
      </c>
      <c r="J197" s="630">
        <v>4.8999592899893106E-2</v>
      </c>
      <c r="K197" s="631">
        <v>6.853181777430406E-2</v>
      </c>
      <c r="L197" s="632">
        <v>4.7355358180302565E-2</v>
      </c>
      <c r="M197" s="633">
        <v>2.2836718877805584E-2</v>
      </c>
      <c r="O197" s="400">
        <v>2019</v>
      </c>
      <c r="P197" s="400">
        <f t="shared" si="233"/>
        <v>2019.3076923076937</v>
      </c>
    </row>
    <row r="198" spans="1:16" ht="14.25">
      <c r="A198" s="969"/>
      <c r="B198" s="583" t="s">
        <v>18</v>
      </c>
      <c r="C198" s="624">
        <v>44990.2</v>
      </c>
      <c r="D198" s="625">
        <v>64227.3</v>
      </c>
      <c r="E198" s="626">
        <v>61506.366666666669</v>
      </c>
      <c r="F198" s="627">
        <v>170723.86666666667</v>
      </c>
      <c r="G198" s="628">
        <v>1000666.5864823349</v>
      </c>
      <c r="H198" s="972"/>
      <c r="I198" s="629">
        <v>-4.699211090626787E-2</v>
      </c>
      <c r="J198" s="630">
        <v>-1.3617655189360154E-2</v>
      </c>
      <c r="K198" s="631">
        <v>8.8247997594379513E-3</v>
      </c>
      <c r="L198" s="632">
        <v>-1.4813813145482357E-2</v>
      </c>
      <c r="M198" s="633">
        <v>1.6210870710027248E-2</v>
      </c>
      <c r="O198" s="400">
        <v>2019</v>
      </c>
      <c r="P198" s="400">
        <f t="shared" si="233"/>
        <v>2019.3846153846168</v>
      </c>
    </row>
    <row r="199" spans="1:16" ht="14.25">
      <c r="A199" s="969"/>
      <c r="B199" s="574" t="s">
        <v>19</v>
      </c>
      <c r="C199" s="624">
        <v>43749.258064516129</v>
      </c>
      <c r="D199" s="625">
        <v>62981.677419354841</v>
      </c>
      <c r="E199" s="626">
        <v>60408.806451612902</v>
      </c>
      <c r="F199" s="627">
        <v>167139.74193548388</v>
      </c>
      <c r="G199" s="628">
        <v>1167806.3284178188</v>
      </c>
      <c r="H199" s="972"/>
      <c r="I199" s="629">
        <v>1.2600888490685835E-2</v>
      </c>
      <c r="J199" s="630">
        <v>2.5248509990285384E-2</v>
      </c>
      <c r="K199" s="631">
        <v>2.6930183662332196E-2</v>
      </c>
      <c r="L199" s="632">
        <v>2.2510750142982872E-2</v>
      </c>
      <c r="M199" s="633">
        <v>1.7107762869000176E-2</v>
      </c>
      <c r="O199" s="400">
        <v>2019</v>
      </c>
      <c r="P199" s="400">
        <f t="shared" si="233"/>
        <v>2019.4615384615399</v>
      </c>
    </row>
    <row r="200" spans="1:16" ht="14.25">
      <c r="A200" s="969"/>
      <c r="B200" s="583" t="s">
        <v>20</v>
      </c>
      <c r="C200" s="624">
        <v>46647.354838709674</v>
      </c>
      <c r="D200" s="625">
        <v>63398.516129032258</v>
      </c>
      <c r="E200" s="626">
        <v>62568.06451612903</v>
      </c>
      <c r="F200" s="627">
        <v>172613.93548387097</v>
      </c>
      <c r="G200" s="628">
        <v>1340420.2639016898</v>
      </c>
      <c r="H200" s="972"/>
      <c r="I200" s="629">
        <v>-4.068251863840756E-3</v>
      </c>
      <c r="J200" s="630">
        <v>-1.8674160031000647E-3</v>
      </c>
      <c r="K200" s="631">
        <v>1.4960065849616526E-2</v>
      </c>
      <c r="L200" s="632">
        <v>3.564310533311188E-3</v>
      </c>
      <c r="M200" s="633">
        <v>1.5343221199382917E-2</v>
      </c>
      <c r="O200" s="400">
        <v>2019</v>
      </c>
      <c r="P200" s="400">
        <f t="shared" si="233"/>
        <v>2019.538461538463</v>
      </c>
    </row>
    <row r="201" spans="1:16" ht="14.25">
      <c r="A201" s="969"/>
      <c r="B201" s="574" t="s">
        <v>211</v>
      </c>
      <c r="C201" s="624">
        <v>48423.7</v>
      </c>
      <c r="D201" s="625">
        <v>64866.3</v>
      </c>
      <c r="E201" s="626">
        <v>62377.751281927784</v>
      </c>
      <c r="F201" s="627">
        <v>175667.75128192778</v>
      </c>
      <c r="G201" s="628">
        <v>1516088.0151836176</v>
      </c>
      <c r="H201" s="972"/>
      <c r="I201" s="629">
        <v>-1.404501817219304E-2</v>
      </c>
      <c r="J201" s="630">
        <v>-1.8085217338580347E-4</v>
      </c>
      <c r="K201" s="631">
        <v>2.0512160509780119E-2</v>
      </c>
      <c r="L201" s="632">
        <v>3.1536402084781923E-3</v>
      </c>
      <c r="M201" s="633">
        <v>1.3915672977145244E-2</v>
      </c>
      <c r="O201" s="400">
        <v>2019</v>
      </c>
      <c r="P201" s="400">
        <f t="shared" si="233"/>
        <v>2019.6153846153861</v>
      </c>
    </row>
    <row r="202" spans="1:16" ht="14.25">
      <c r="A202" s="969"/>
      <c r="B202" s="583" t="s">
        <v>213</v>
      </c>
      <c r="C202" s="650">
        <v>48885.387096774197</v>
      </c>
      <c r="D202" s="651">
        <v>66077.548387096773</v>
      </c>
      <c r="E202" s="652">
        <v>61538.261715171757</v>
      </c>
      <c r="F202" s="653">
        <v>176501.19719904271</v>
      </c>
      <c r="G202" s="654">
        <v>1692589.2123826602</v>
      </c>
      <c r="H202" s="972"/>
      <c r="I202" s="655">
        <v>-9.5027013319076113E-3</v>
      </c>
      <c r="J202" s="656">
        <v>2.2364300170443649E-2</v>
      </c>
      <c r="K202" s="657">
        <v>3.0444775530971392E-2</v>
      </c>
      <c r="L202" s="658">
        <v>1.6088144407091498E-2</v>
      </c>
      <c r="M202" s="659">
        <v>1.4141781770448114E-2</v>
      </c>
      <c r="O202" s="400">
        <v>2019</v>
      </c>
      <c r="P202" s="400">
        <f t="shared" si="233"/>
        <v>2019.6923076923092</v>
      </c>
    </row>
    <row r="203" spans="1:16" ht="14.25">
      <c r="A203" s="969"/>
      <c r="B203" s="574" t="s">
        <v>216</v>
      </c>
      <c r="C203" s="624">
        <v>47883.533333333333</v>
      </c>
      <c r="D203" s="625">
        <v>64801.866666666669</v>
      </c>
      <c r="E203" s="626">
        <v>59477.23333333333</v>
      </c>
      <c r="F203" s="627">
        <v>172162.63333333333</v>
      </c>
      <c r="G203" s="628">
        <v>1864751.8457159935</v>
      </c>
      <c r="H203" s="972"/>
      <c r="I203" s="629">
        <v>-1.3870964198825839E-2</v>
      </c>
      <c r="J203" s="630">
        <v>-1.379228156185132E-3</v>
      </c>
      <c r="K203" s="631">
        <v>1.8095951048783424E-2</v>
      </c>
      <c r="L203" s="632">
        <v>1.7113859336255199E-3</v>
      </c>
      <c r="M203" s="633">
        <v>1.2981237795800071E-2</v>
      </c>
      <c r="O203" s="400">
        <v>2019</v>
      </c>
      <c r="P203" s="400">
        <f t="shared" si="233"/>
        <v>2019.7692307692323</v>
      </c>
    </row>
    <row r="204" spans="1:16" ht="15" thickBot="1">
      <c r="A204" s="970"/>
      <c r="B204" s="583" t="s">
        <v>217</v>
      </c>
      <c r="C204" s="624">
        <v>44881.161290322583</v>
      </c>
      <c r="D204" s="625">
        <v>60800.129032258068</v>
      </c>
      <c r="E204" s="626">
        <v>54568.806451612902</v>
      </c>
      <c r="F204" s="627">
        <v>160250.09677419355</v>
      </c>
      <c r="G204" s="628">
        <v>2025001.942490187</v>
      </c>
      <c r="H204" s="972"/>
      <c r="I204" s="648">
        <v>-2.2057402243766566E-2</v>
      </c>
      <c r="J204" s="636">
        <v>-1.0546518598935134E-2</v>
      </c>
      <c r="K204" s="637">
        <v>-5.6717710636876621E-4</v>
      </c>
      <c r="L204" s="638">
        <v>-1.0444039501341096E-2</v>
      </c>
      <c r="M204" s="639">
        <v>1.1087125087072547E-2</v>
      </c>
      <c r="O204" s="400">
        <v>2019</v>
      </c>
      <c r="P204" s="400">
        <f t="shared" si="233"/>
        <v>2019.8461538461554</v>
      </c>
    </row>
    <row r="205" spans="1:16" ht="16.25" thickBot="1">
      <c r="A205" s="974" t="s">
        <v>242</v>
      </c>
      <c r="B205" s="975"/>
      <c r="C205" s="666">
        <v>46510</v>
      </c>
      <c r="D205" s="666">
        <v>63270</v>
      </c>
      <c r="E205" s="666">
        <v>58970</v>
      </c>
      <c r="F205" s="666">
        <v>168750</v>
      </c>
      <c r="G205" s="660"/>
      <c r="H205" s="973"/>
      <c r="I205" s="396">
        <v>-5.3464499572284385E-3</v>
      </c>
      <c r="J205" s="396">
        <v>1.1672529581068014E-2</v>
      </c>
      <c r="K205" s="397">
        <v>2.3784722222222276E-2</v>
      </c>
      <c r="L205" s="667"/>
      <c r="M205" s="397">
        <v>1.1087125087072547E-2</v>
      </c>
      <c r="P205" s="400">
        <f t="shared" si="233"/>
        <v>2019.9230769230785</v>
      </c>
    </row>
    <row r="206" spans="1:16" ht="14.25" customHeight="1">
      <c r="A206" s="1015">
        <v>2020</v>
      </c>
      <c r="B206" s="786" t="s">
        <v>191</v>
      </c>
      <c r="C206" s="788">
        <v>43332.290322580644</v>
      </c>
      <c r="D206" s="789">
        <v>57700.516129032258</v>
      </c>
      <c r="E206" s="790">
        <v>52034.419354838712</v>
      </c>
      <c r="F206" s="793">
        <v>153067.22580645164</v>
      </c>
      <c r="G206" s="794">
        <v>153067.22580645164</v>
      </c>
      <c r="H206" s="1017" t="s">
        <v>245</v>
      </c>
      <c r="I206" s="499">
        <v>-2.9354191881785532E-2</v>
      </c>
      <c r="J206" s="500">
        <v>-6.2904192631381833E-3</v>
      </c>
      <c r="K206" s="501">
        <v>-1.4775313359287239E-2</v>
      </c>
      <c r="L206" s="502">
        <v>-1.5792261795868123E-2</v>
      </c>
      <c r="M206" s="503">
        <v>-1.5792261795868123E-2</v>
      </c>
      <c r="O206" s="400">
        <v>2020</v>
      </c>
      <c r="P206" s="400">
        <f t="shared" si="233"/>
        <v>2020.0000000000016</v>
      </c>
    </row>
    <row r="207" spans="1:16" ht="14.25">
      <c r="A207" s="1015"/>
      <c r="B207" s="787" t="s">
        <v>195</v>
      </c>
      <c r="C207" s="788">
        <v>45272.517241379312</v>
      </c>
      <c r="D207" s="789">
        <v>61550.793103448275</v>
      </c>
      <c r="E207" s="790">
        <v>56757.310344827587</v>
      </c>
      <c r="F207" s="791">
        <v>163580.62068965519</v>
      </c>
      <c r="G207" s="792">
        <v>316647.84649610682</v>
      </c>
      <c r="H207" s="1018"/>
      <c r="I207" s="476">
        <v>-3.0001819078860088E-2</v>
      </c>
      <c r="J207" s="477">
        <v>-7.2338351268150421E-3</v>
      </c>
      <c r="K207" s="478">
        <v>7.2639728974868136E-3</v>
      </c>
      <c r="L207" s="479">
        <v>-8.7228827769554318E-3</v>
      </c>
      <c r="M207" s="480">
        <v>-1.2152849566947066E-2</v>
      </c>
      <c r="O207" s="400">
        <v>2020</v>
      </c>
      <c r="P207" s="400">
        <f t="shared" si="233"/>
        <v>2020.0769230769247</v>
      </c>
    </row>
    <row r="208" spans="1:16" ht="14.25">
      <c r="A208" s="1015"/>
      <c r="B208" s="786" t="s">
        <v>15</v>
      </c>
      <c r="C208" s="788">
        <v>35126.774193548386</v>
      </c>
      <c r="D208" s="789">
        <v>51849.741935483871</v>
      </c>
      <c r="E208" s="790">
        <v>46524.032258064515</v>
      </c>
      <c r="F208" s="791">
        <v>133500.54838709679</v>
      </c>
      <c r="G208" s="792">
        <v>450148.39488320361</v>
      </c>
      <c r="H208" s="1018"/>
      <c r="I208" s="476">
        <v>-0.27225349928891451</v>
      </c>
      <c r="J208" s="477">
        <v>-0.18208084837875796</v>
      </c>
      <c r="K208" s="478">
        <v>-0.17826369607986697</v>
      </c>
      <c r="L208" s="479">
        <v>-0.20666133367378603</v>
      </c>
      <c r="M208" s="480">
        <v>-7.9112596507291966E-2</v>
      </c>
      <c r="O208" s="400">
        <v>2020</v>
      </c>
      <c r="P208" s="400">
        <f t="shared" si="233"/>
        <v>2020.1538461538478</v>
      </c>
    </row>
    <row r="209" spans="1:16" ht="14.25">
      <c r="A209" s="1015"/>
      <c r="B209" s="787" t="s">
        <v>16</v>
      </c>
      <c r="C209" s="788">
        <v>28013.166666666668</v>
      </c>
      <c r="D209" s="789">
        <v>47126.400000000001</v>
      </c>
      <c r="E209" s="790">
        <v>42406.9</v>
      </c>
      <c r="F209" s="791">
        <v>117546.46666666667</v>
      </c>
      <c r="G209" s="792">
        <v>567694.86154987034</v>
      </c>
      <c r="H209" s="1018"/>
      <c r="I209" s="476">
        <v>-0.37360991854793502</v>
      </c>
      <c r="J209" s="477">
        <v>-0.22966246732803391</v>
      </c>
      <c r="K209" s="478">
        <v>-0.25274448371988112</v>
      </c>
      <c r="L209" s="479">
        <v>-0.27729578970386559</v>
      </c>
      <c r="M209" s="480">
        <v>-0.12859177792939869</v>
      </c>
      <c r="O209" s="400">
        <v>2020</v>
      </c>
      <c r="P209" s="400">
        <f t="shared" si="233"/>
        <v>2020.2307692307709</v>
      </c>
    </row>
    <row r="210" spans="1:16" ht="14.25">
      <c r="A210" s="1015"/>
      <c r="B210" s="786" t="s">
        <v>17</v>
      </c>
      <c r="C210" s="788">
        <v>39763.387096774197</v>
      </c>
      <c r="D210" s="789">
        <v>63616.93548387097</v>
      </c>
      <c r="E210" s="790">
        <v>58081</v>
      </c>
      <c r="F210" s="791">
        <v>161461.32258064515</v>
      </c>
      <c r="G210" s="792">
        <v>729156.18413051544</v>
      </c>
      <c r="H210" s="1018"/>
      <c r="I210" s="476">
        <v>-1.5505598997114897E-2</v>
      </c>
      <c r="J210" s="477">
        <v>3.2133272507692656E-2</v>
      </c>
      <c r="K210" s="478">
        <v>1.2254015979917479E-2</v>
      </c>
      <c r="L210" s="479">
        <v>1.2417322631711691E-2</v>
      </c>
      <c r="M210" s="480">
        <v>-9.8600876340504406E-2</v>
      </c>
      <c r="O210" s="400">
        <v>2020</v>
      </c>
      <c r="P210" s="400">
        <f t="shared" si="233"/>
        <v>2020.307692307694</v>
      </c>
    </row>
    <row r="211" spans="1:16" ht="14.25">
      <c r="A211" s="1015"/>
      <c r="B211" s="787" t="s">
        <v>18</v>
      </c>
      <c r="C211" s="788">
        <v>44292.6</v>
      </c>
      <c r="D211" s="789">
        <v>66291.133333333331</v>
      </c>
      <c r="E211" s="790">
        <v>62260.066666666666</v>
      </c>
      <c r="F211" s="791">
        <v>172843.8</v>
      </c>
      <c r="G211" s="792">
        <v>901999.98413051548</v>
      </c>
      <c r="H211" s="1018"/>
      <c r="I211" s="476">
        <v>-1.5505598997114897E-2</v>
      </c>
      <c r="J211" s="477">
        <v>3.2133272507692656E-2</v>
      </c>
      <c r="K211" s="478">
        <v>1.2254015979917479E-2</v>
      </c>
      <c r="L211" s="479">
        <v>1.2417322631711691E-2</v>
      </c>
      <c r="M211" s="480">
        <v>-9.8600876340504406E-2</v>
      </c>
      <c r="O211" s="400">
        <v>2020</v>
      </c>
      <c r="P211" s="400">
        <f t="shared" si="233"/>
        <v>2020.3846153846171</v>
      </c>
    </row>
    <row r="212" spans="1:16" ht="14.25">
      <c r="A212" s="1015"/>
      <c r="B212" s="786" t="s">
        <v>19</v>
      </c>
      <c r="C212" s="788">
        <v>39867.677419354841</v>
      </c>
      <c r="D212" s="789">
        <v>62533.677419354841</v>
      </c>
      <c r="E212" s="790">
        <v>59020.225806451614</v>
      </c>
      <c r="F212" s="791">
        <v>161421.5806451613</v>
      </c>
      <c r="G212" s="792">
        <v>1063421.5647756767</v>
      </c>
      <c r="H212" s="1018"/>
      <c r="I212" s="476">
        <v>-8.8723347935117006E-2</v>
      </c>
      <c r="J212" s="477">
        <v>-7.1131798700287642E-3</v>
      </c>
      <c r="K212" s="478">
        <v>-2.2986394314437133E-2</v>
      </c>
      <c r="L212" s="479">
        <v>-3.4211859035475745E-2</v>
      </c>
      <c r="M212" s="480">
        <v>-8.9385338220906774E-2</v>
      </c>
      <c r="O212" s="400">
        <v>2020</v>
      </c>
      <c r="P212" s="400">
        <f t="shared" si="233"/>
        <v>2020.4615384615402</v>
      </c>
    </row>
    <row r="213" spans="1:16" ht="14.25">
      <c r="A213" s="1015"/>
      <c r="B213" s="787" t="s">
        <v>20</v>
      </c>
      <c r="C213" s="788">
        <v>40612.612903225803</v>
      </c>
      <c r="D213" s="789">
        <v>61342.225806451614</v>
      </c>
      <c r="E213" s="790">
        <v>58116.096774193546</v>
      </c>
      <c r="F213" s="791">
        <v>160070.93548387097</v>
      </c>
      <c r="G213" s="792">
        <v>1223492.5002595477</v>
      </c>
      <c r="H213" s="1018"/>
      <c r="I213" s="476">
        <v>-0.12936943490900843</v>
      </c>
      <c r="J213" s="477">
        <v>-3.2434360425653577E-2</v>
      </c>
      <c r="K213" s="478">
        <v>-7.1153994875258447E-2</v>
      </c>
      <c r="L213" s="479">
        <v>-7.2665048536431853E-2</v>
      </c>
      <c r="M213" s="480">
        <v>-8.7232166501115982E-2</v>
      </c>
      <c r="O213" s="400">
        <v>2020</v>
      </c>
      <c r="P213" s="400">
        <f t="shared" si="233"/>
        <v>2020.5384615384633</v>
      </c>
    </row>
    <row r="214" spans="1:16" ht="14.25">
      <c r="A214" s="1015"/>
      <c r="B214" s="786" t="s">
        <v>211</v>
      </c>
      <c r="C214" s="788">
        <v>44213.633333333331</v>
      </c>
      <c r="D214" s="789">
        <v>64904.866666666669</v>
      </c>
      <c r="E214" s="790">
        <v>58732.26666666667</v>
      </c>
      <c r="F214" s="791">
        <v>167850.76666666666</v>
      </c>
      <c r="G214" s="792">
        <v>1391343.2669262143</v>
      </c>
      <c r="H214" s="1018"/>
      <c r="I214" s="476">
        <v>-8.6942275511096137E-2</v>
      </c>
      <c r="J214" s="477">
        <v>5.9455628988651572E-4</v>
      </c>
      <c r="K214" s="478">
        <v>-5.8442065325257905E-2</v>
      </c>
      <c r="L214" s="479">
        <v>-4.4498688906854045E-2</v>
      </c>
      <c r="M214" s="480">
        <v>-8.2280676984505474E-2</v>
      </c>
      <c r="N214" s="32"/>
      <c r="O214" s="400">
        <v>2020</v>
      </c>
      <c r="P214" s="400">
        <f t="shared" si="233"/>
        <v>2020.6153846153863</v>
      </c>
    </row>
    <row r="215" spans="1:16" ht="14.25">
      <c r="A215" s="1015"/>
      <c r="B215" s="787" t="s">
        <v>213</v>
      </c>
      <c r="C215" s="796">
        <v>35015.451612903227</v>
      </c>
      <c r="D215" s="797">
        <v>55922.645161290326</v>
      </c>
      <c r="E215" s="798">
        <v>50345.129032258068</v>
      </c>
      <c r="F215" s="799">
        <v>141283.22580645161</v>
      </c>
      <c r="G215" s="800">
        <v>1532626.492732666</v>
      </c>
      <c r="H215" s="1018"/>
      <c r="I215" s="494">
        <v>-0.2837235482336235</v>
      </c>
      <c r="J215" s="495">
        <v>-0.15368159796602618</v>
      </c>
      <c r="K215" s="496">
        <v>-0.18188899671428505</v>
      </c>
      <c r="L215" s="497">
        <v>-0.19953389524534126</v>
      </c>
      <c r="M215" s="498">
        <v>-9.4507703629290285E-2</v>
      </c>
      <c r="N215" s="32"/>
      <c r="O215" s="400">
        <v>2020</v>
      </c>
      <c r="P215" s="400">
        <f t="shared" si="233"/>
        <v>2020.6923076923094</v>
      </c>
    </row>
    <row r="216" spans="1:16" ht="14.25">
      <c r="A216" s="1015"/>
      <c r="B216" s="786" t="s">
        <v>216</v>
      </c>
      <c r="C216" s="788">
        <v>34626.9</v>
      </c>
      <c r="D216" s="789">
        <v>54664.7</v>
      </c>
      <c r="E216" s="790">
        <v>48428.2</v>
      </c>
      <c r="F216" s="791">
        <v>137719.79999999999</v>
      </c>
      <c r="G216" s="792">
        <v>1670346.292732666</v>
      </c>
      <c r="H216" s="1018"/>
      <c r="I216" s="476">
        <v>-0.27685161078338688</v>
      </c>
      <c r="J216" s="477">
        <v>-0.15643325089400723</v>
      </c>
      <c r="K216" s="478">
        <v>-0.18576912062150391</v>
      </c>
      <c r="L216" s="479">
        <v>-0.20005986587488311</v>
      </c>
      <c r="M216" s="480">
        <v>-0.10425277413182188</v>
      </c>
      <c r="O216" s="400">
        <v>2020</v>
      </c>
      <c r="P216" s="400">
        <f t="shared" si="233"/>
        <v>2020.7692307692325</v>
      </c>
    </row>
    <row r="217" spans="1:16" ht="15" thickBot="1">
      <c r="A217" s="1016"/>
      <c r="B217" s="787" t="s">
        <v>217</v>
      </c>
      <c r="C217" s="788">
        <v>38729.93548387097</v>
      </c>
      <c r="D217" s="789">
        <v>58926.419354838712</v>
      </c>
      <c r="E217" s="790">
        <v>50302.838709677417</v>
      </c>
      <c r="F217" s="791">
        <v>147959.19354838709</v>
      </c>
      <c r="G217" s="792">
        <v>1818305.4862810532</v>
      </c>
      <c r="H217" s="1018"/>
      <c r="I217" s="485">
        <v>-0.1370558521572382</v>
      </c>
      <c r="J217" s="481">
        <v>-3.081752797638377E-2</v>
      </c>
      <c r="K217" s="482">
        <v>-7.8175940053191229E-2</v>
      </c>
      <c r="L217" s="483">
        <v>-7.6698257743490927E-2</v>
      </c>
      <c r="M217" s="484">
        <v>-0.10207222614065981</v>
      </c>
      <c r="O217" s="400">
        <v>2020</v>
      </c>
      <c r="P217" s="400">
        <f t="shared" si="233"/>
        <v>2020.8461538461556</v>
      </c>
    </row>
    <row r="218" spans="1:16" ht="16.25" thickBot="1">
      <c r="A218" s="1020" t="s">
        <v>242</v>
      </c>
      <c r="B218" s="1021"/>
      <c r="C218" s="801">
        <v>39100</v>
      </c>
      <c r="D218" s="801">
        <v>58900</v>
      </c>
      <c r="E218" s="801">
        <v>53600</v>
      </c>
      <c r="F218" s="801"/>
      <c r="G218" s="795"/>
      <c r="H218" s="1019"/>
      <c r="I218" s="469"/>
      <c r="J218" s="469"/>
      <c r="K218" s="470"/>
      <c r="L218" s="505"/>
      <c r="M218" s="470">
        <v>-0.10207222614065981</v>
      </c>
      <c r="P218" s="400">
        <f t="shared" si="233"/>
        <v>2020.9230769230787</v>
      </c>
    </row>
    <row r="219" spans="1:16" ht="14.25" customHeight="1">
      <c r="A219" s="1015">
        <v>2021</v>
      </c>
      <c r="B219" s="786" t="s">
        <v>191</v>
      </c>
      <c r="C219" s="788">
        <v>38182.838709677417</v>
      </c>
      <c r="D219" s="789">
        <v>54011.193548387098</v>
      </c>
      <c r="E219" s="790">
        <v>51048.193548387098</v>
      </c>
      <c r="F219" s="793">
        <v>143242.22580645161</v>
      </c>
      <c r="G219" s="794">
        <v>143242.22580645161</v>
      </c>
      <c r="H219" s="1017" t="s">
        <v>277</v>
      </c>
      <c r="I219" s="506">
        <v>-0.11883635908854386</v>
      </c>
      <c r="J219" s="507">
        <v>-6.3939160828214173E-2</v>
      </c>
      <c r="K219" s="508">
        <v>-1.8953335478315545E-2</v>
      </c>
      <c r="L219" s="509">
        <v>-6.4187483298504433E-2</v>
      </c>
      <c r="M219" s="510">
        <v>-6.4187483298504433E-2</v>
      </c>
      <c r="O219" s="400">
        <v>2021</v>
      </c>
      <c r="P219" s="400">
        <f t="shared" si="233"/>
        <v>2021.0000000000018</v>
      </c>
    </row>
    <row r="220" spans="1:16" ht="14.25">
      <c r="A220" s="1015"/>
      <c r="B220" s="787" t="s">
        <v>195</v>
      </c>
      <c r="C220" s="788">
        <v>42442.964285714283</v>
      </c>
      <c r="D220" s="789">
        <v>63244.714285714283</v>
      </c>
      <c r="E220" s="790">
        <v>56630.821428571428</v>
      </c>
      <c r="F220" s="791">
        <v>162318.5</v>
      </c>
      <c r="G220" s="792">
        <v>305560.72580645164</v>
      </c>
      <c r="H220" s="1018"/>
      <c r="I220" s="533">
        <v>-6.2500455642409108E-2</v>
      </c>
      <c r="J220" s="477">
        <v>2.7520704394808332E-2</v>
      </c>
      <c r="K220" s="534">
        <v>-2.2285925017883909E-3</v>
      </c>
      <c r="L220" s="535">
        <v>-7.7155880955463996E-3</v>
      </c>
      <c r="M220" s="536">
        <v>-3.5014041031198095E-2</v>
      </c>
      <c r="O220" s="400">
        <v>2021</v>
      </c>
      <c r="P220" s="400">
        <f t="shared" si="233"/>
        <v>2021.0769230769249</v>
      </c>
    </row>
    <row r="221" spans="1:16" ht="14.25">
      <c r="A221" s="1015"/>
      <c r="B221" s="786" t="s">
        <v>15</v>
      </c>
      <c r="C221" s="788">
        <v>43826.612903225803</v>
      </c>
      <c r="D221" s="789">
        <v>64973.290322580644</v>
      </c>
      <c r="E221" s="790">
        <v>57674.258064516129</v>
      </c>
      <c r="F221" s="791">
        <v>166474.16129032258</v>
      </c>
      <c r="G221" s="792">
        <v>472034.88709677418</v>
      </c>
      <c r="H221" s="1018"/>
      <c r="I221" s="476">
        <v>0.24766973083669283</v>
      </c>
      <c r="J221" s="477">
        <v>0.2531073038594151</v>
      </c>
      <c r="K221" s="478">
        <v>0.23966593747941578</v>
      </c>
      <c r="L221" s="479">
        <v>0.24699234049298324</v>
      </c>
      <c r="M221" s="480">
        <v>4.8620615917666976E-2</v>
      </c>
      <c r="O221" s="400">
        <v>2021</v>
      </c>
      <c r="P221" s="400">
        <f t="shared" si="233"/>
        <v>2021.153846153848</v>
      </c>
    </row>
    <row r="222" spans="1:16" ht="14.25">
      <c r="A222" s="1015"/>
      <c r="B222" s="787" t="s">
        <v>16</v>
      </c>
      <c r="C222" s="788">
        <v>39560.366666666669</v>
      </c>
      <c r="D222" s="789">
        <v>60303</v>
      </c>
      <c r="E222" s="790">
        <v>54850</v>
      </c>
      <c r="F222" s="791">
        <v>154713.36666666667</v>
      </c>
      <c r="G222" s="792">
        <v>626748.25376344088</v>
      </c>
      <c r="H222" s="1018"/>
      <c r="I222" s="476">
        <v>0.41220616495814472</v>
      </c>
      <c r="J222" s="477">
        <v>0.27960124261560393</v>
      </c>
      <c r="K222" s="478">
        <v>0.29342158941115709</v>
      </c>
      <c r="L222" s="479">
        <v>0.31618900213645995</v>
      </c>
      <c r="M222" s="480">
        <v>0.10402312265492086</v>
      </c>
      <c r="O222" s="400">
        <v>2021</v>
      </c>
      <c r="P222" s="400">
        <f t="shared" si="233"/>
        <v>2021.2307692307711</v>
      </c>
    </row>
    <row r="223" spans="1:16" ht="14.25">
      <c r="A223" s="1015"/>
      <c r="B223" s="786" t="s">
        <v>17</v>
      </c>
      <c r="C223" s="788">
        <v>44441.838709677417</v>
      </c>
      <c r="D223" s="789">
        <v>68296.290322580651</v>
      </c>
      <c r="E223" s="790">
        <v>61616.419354838712</v>
      </c>
      <c r="F223" s="791">
        <v>174354.54838709679</v>
      </c>
      <c r="G223" s="792">
        <v>801102.80215053773</v>
      </c>
      <c r="H223" s="1018"/>
      <c r="I223" s="476">
        <v>0.11765727103470919</v>
      </c>
      <c r="J223" s="477">
        <v>7.3555175255118274E-2</v>
      </c>
      <c r="K223" s="478">
        <v>6.0870497319927552E-2</v>
      </c>
      <c r="L223" s="479">
        <v>7.9853339489473374E-2</v>
      </c>
      <c r="M223" s="480">
        <v>9.8671066070454172E-2</v>
      </c>
      <c r="O223" s="400">
        <v>2021</v>
      </c>
      <c r="P223" s="400">
        <f t="shared" si="233"/>
        <v>2021.3076923076942</v>
      </c>
    </row>
    <row r="224" spans="1:16" ht="14.25">
      <c r="A224" s="1015"/>
      <c r="B224" s="787" t="s">
        <v>18</v>
      </c>
      <c r="C224" s="788">
        <v>45660.23333333333</v>
      </c>
      <c r="D224" s="789">
        <v>65958.133333333331</v>
      </c>
      <c r="E224" s="790">
        <v>62163.833333333336</v>
      </c>
      <c r="F224" s="791">
        <v>173782.2</v>
      </c>
      <c r="G224" s="792">
        <v>974885.00215053768</v>
      </c>
      <c r="H224" s="1018"/>
      <c r="I224" s="476">
        <v>3.08772420976265E-2</v>
      </c>
      <c r="J224" s="803">
        <v>-5.0232962276503543E-3</v>
      </c>
      <c r="K224" s="534">
        <v>-1.5456670460787054E-3</v>
      </c>
      <c r="L224" s="479">
        <v>5.4291794093859203E-3</v>
      </c>
      <c r="M224" s="480">
        <v>8.0803790800816788E-2</v>
      </c>
      <c r="O224" s="400">
        <v>2021</v>
      </c>
      <c r="P224" s="400">
        <f t="shared" si="233"/>
        <v>2021.3846153846173</v>
      </c>
    </row>
    <row r="225" spans="1:17" ht="14.25">
      <c r="A225" s="1015"/>
      <c r="B225" s="786" t="s">
        <v>19</v>
      </c>
      <c r="C225" s="788">
        <v>39546.290322580644</v>
      </c>
      <c r="D225" s="789">
        <v>62136.580645161288</v>
      </c>
      <c r="E225" s="790">
        <v>54735.290322580644</v>
      </c>
      <c r="F225" s="791">
        <v>156418.16129032258</v>
      </c>
      <c r="G225" s="792">
        <v>1131303.1634408603</v>
      </c>
      <c r="H225" s="1018"/>
      <c r="I225" s="533">
        <v>-8.0613448682659104E-3</v>
      </c>
      <c r="J225" s="803">
        <v>-6.3501266930232883E-3</v>
      </c>
      <c r="K225" s="534">
        <v>-7.2601136734427321E-2</v>
      </c>
      <c r="L225" s="535">
        <v>-3.0995975475158422E-2</v>
      </c>
      <c r="M225" s="480">
        <v>6.3833197401355068E-2</v>
      </c>
      <c r="O225" s="400">
        <v>2021</v>
      </c>
      <c r="P225" s="400">
        <f t="shared" si="233"/>
        <v>2021.4615384615404</v>
      </c>
    </row>
    <row r="226" spans="1:17" ht="14.25">
      <c r="A226" s="1015"/>
      <c r="B226" s="787" t="s">
        <v>20</v>
      </c>
      <c r="C226" s="788">
        <v>42802.645161290326</v>
      </c>
      <c r="D226" s="789">
        <v>64501.580645161288</v>
      </c>
      <c r="E226" s="790">
        <v>62020.645161290326</v>
      </c>
      <c r="F226" s="791">
        <v>169324.87096774194</v>
      </c>
      <c r="G226" s="792">
        <v>1300628.0344086024</v>
      </c>
      <c r="H226" s="1018"/>
      <c r="I226" s="476">
        <v>5.3924928772326568E-2</v>
      </c>
      <c r="J226" s="477">
        <v>5.1503752874539351E-2</v>
      </c>
      <c r="K226" s="478">
        <v>6.7185317043359921E-2</v>
      </c>
      <c r="L226" s="479">
        <v>5.7811466247121412E-2</v>
      </c>
      <c r="M226" s="480">
        <v>6.304536736652766E-2</v>
      </c>
      <c r="O226" s="400">
        <v>2021</v>
      </c>
      <c r="P226" s="400">
        <f t="shared" si="233"/>
        <v>2021.5384615384635</v>
      </c>
    </row>
    <row r="227" spans="1:17" ht="14.25">
      <c r="A227" s="1015"/>
      <c r="B227" s="786" t="s">
        <v>211</v>
      </c>
      <c r="C227" s="788">
        <v>46498.3</v>
      </c>
      <c r="D227" s="789">
        <v>68422.633333333331</v>
      </c>
      <c r="E227" s="790">
        <v>62940.167687527741</v>
      </c>
      <c r="F227" s="791">
        <v>177861.10102086107</v>
      </c>
      <c r="G227" s="792">
        <v>1478489.1354294633</v>
      </c>
      <c r="H227" s="1018"/>
      <c r="I227" s="476">
        <v>5.1673352638590471E-2</v>
      </c>
      <c r="J227" s="477">
        <v>5.4198812004852166E-2</v>
      </c>
      <c r="K227" s="478">
        <v>7.1645472917687567E-2</v>
      </c>
      <c r="L227" s="479">
        <v>5.9638299859981148E-2</v>
      </c>
      <c r="M227" s="480">
        <v>6.2634340909827113E-2</v>
      </c>
      <c r="O227" s="400">
        <v>2021</v>
      </c>
      <c r="P227" s="400">
        <f t="shared" si="233"/>
        <v>2021.6153846153866</v>
      </c>
    </row>
    <row r="228" spans="1:17" ht="14.25">
      <c r="A228" s="1015"/>
      <c r="B228" s="787" t="s">
        <v>213</v>
      </c>
      <c r="C228" s="788">
        <v>46942.258064516129</v>
      </c>
      <c r="D228" s="789">
        <v>67603.612903225803</v>
      </c>
      <c r="E228" s="790">
        <v>62112.842373264546</v>
      </c>
      <c r="F228" s="791">
        <v>176658.71334100649</v>
      </c>
      <c r="G228" s="792">
        <v>1655147.8487704699</v>
      </c>
      <c r="H228" s="1018"/>
      <c r="I228" s="476">
        <v>0.34061552549611734</v>
      </c>
      <c r="J228" s="477">
        <v>0.20887723941250633</v>
      </c>
      <c r="K228" s="478">
        <v>0.23374085174091916</v>
      </c>
      <c r="L228" s="479">
        <v>0.25038703167081477</v>
      </c>
      <c r="M228" s="480">
        <v>7.9942084140375957E-2</v>
      </c>
      <c r="O228" s="400">
        <v>2021</v>
      </c>
      <c r="P228" s="400">
        <f t="shared" si="233"/>
        <v>2021.6923076923097</v>
      </c>
    </row>
    <row r="229" spans="1:17" ht="14.25">
      <c r="A229" s="1015"/>
      <c r="B229" s="786" t="s">
        <v>216</v>
      </c>
      <c r="C229" s="788">
        <v>45325.166666666664</v>
      </c>
      <c r="D229" s="789">
        <v>65288.9</v>
      </c>
      <c r="E229" s="790">
        <v>58818.666666666664</v>
      </c>
      <c r="F229" s="791">
        <v>169432.73333333334</v>
      </c>
      <c r="G229" s="792">
        <v>1824580.5821038033</v>
      </c>
      <c r="H229" s="1018"/>
      <c r="I229" s="476">
        <v>0.30895825692356699</v>
      </c>
      <c r="J229" s="477">
        <v>0.19435211388702409</v>
      </c>
      <c r="K229" s="478">
        <v>0.21455405459353574</v>
      </c>
      <c r="L229" s="479">
        <v>0.23027141582643429</v>
      </c>
      <c r="M229" s="480">
        <v>9.2336714872945258E-2</v>
      </c>
      <c r="O229" s="400">
        <v>2021</v>
      </c>
      <c r="P229" s="400">
        <f t="shared" si="233"/>
        <v>2021.7692307692328</v>
      </c>
    </row>
    <row r="230" spans="1:17" ht="15" thickBot="1">
      <c r="A230" s="1016"/>
      <c r="B230" s="787" t="s">
        <v>217</v>
      </c>
      <c r="C230" s="788">
        <v>43600.709677419356</v>
      </c>
      <c r="D230" s="789">
        <v>64090.193548387098</v>
      </c>
      <c r="E230" s="790">
        <v>56334.709677419356</v>
      </c>
      <c r="F230" s="804">
        <v>164025.61290322582</v>
      </c>
      <c r="G230" s="792">
        <v>1988606.195007029</v>
      </c>
      <c r="H230" s="1018"/>
      <c r="I230" s="485">
        <v>0.12576251761578106</v>
      </c>
      <c r="J230" s="481">
        <v>8.7630883567751783E-2</v>
      </c>
      <c r="K230" s="482">
        <v>0.11991114462853383</v>
      </c>
      <c r="L230" s="483">
        <v>0.10858682701311517</v>
      </c>
      <c r="M230" s="484">
        <v>9.3659019351192141E-2</v>
      </c>
      <c r="O230" s="400">
        <v>2021</v>
      </c>
      <c r="P230" s="400">
        <f t="shared" si="233"/>
        <v>2021.8461538461559</v>
      </c>
    </row>
    <row r="231" spans="1:17" ht="16.25" thickBot="1">
      <c r="A231" s="1020" t="s">
        <v>242</v>
      </c>
      <c r="B231" s="1021"/>
      <c r="C231" s="801">
        <v>43200</v>
      </c>
      <c r="D231" s="801">
        <v>64100</v>
      </c>
      <c r="E231" s="801">
        <v>58400</v>
      </c>
      <c r="F231" s="802"/>
      <c r="G231" s="795"/>
      <c r="H231" s="1019"/>
      <c r="I231" s="529"/>
      <c r="J231" s="529"/>
      <c r="K231" s="530"/>
      <c r="L231" s="531"/>
      <c r="M231" s="470">
        <v>9.3659019351192141E-2</v>
      </c>
      <c r="O231" s="400"/>
      <c r="P231" s="400">
        <f>P230+$P$97</f>
        <v>2021.923076923079</v>
      </c>
    </row>
    <row r="232" spans="1:17" ht="14.25" customHeight="1">
      <c r="A232" s="1033">
        <v>2022</v>
      </c>
      <c r="B232" s="873" t="s">
        <v>191</v>
      </c>
      <c r="C232" s="860">
        <v>36873.161290322583</v>
      </c>
      <c r="D232" s="861">
        <v>54462.354838709674</v>
      </c>
      <c r="E232" s="862">
        <v>48774.580645161288</v>
      </c>
      <c r="F232" s="870">
        <v>140110.09677419355</v>
      </c>
      <c r="G232" s="871">
        <v>140110.09677419355</v>
      </c>
      <c r="H232" s="1035" t="s">
        <v>642</v>
      </c>
      <c r="I232" s="506">
        <v>-3.4300158490387374E-2</v>
      </c>
      <c r="J232" s="868">
        <v>8.353107211348576E-3</v>
      </c>
      <c r="K232" s="508">
        <v>-4.4538557492161186E-2</v>
      </c>
      <c r="L232" s="509">
        <v>-2.186596176249167E-2</v>
      </c>
      <c r="M232" s="510">
        <v>-2.186596176249167E-2</v>
      </c>
      <c r="O232" s="400">
        <v>2022</v>
      </c>
      <c r="P232" s="400">
        <f t="shared" si="233"/>
        <v>2022.000000000002</v>
      </c>
    </row>
    <row r="233" spans="1:17" ht="14.25">
      <c r="A233" s="1033"/>
      <c r="B233" s="874" t="s">
        <v>195</v>
      </c>
      <c r="C233" s="860">
        <v>39569.678571428572</v>
      </c>
      <c r="D233" s="861">
        <v>57265.75</v>
      </c>
      <c r="E233" s="862">
        <v>50600.25</v>
      </c>
      <c r="F233" s="863">
        <v>147435.67857142858</v>
      </c>
      <c r="G233" s="864">
        <v>287545.7753456221</v>
      </c>
      <c r="H233" s="1036"/>
      <c r="I233" s="533">
        <v>-6.7697573971119127E-2</v>
      </c>
      <c r="J233" s="803">
        <v>-9.4536979939599655E-2</v>
      </c>
      <c r="K233" s="534">
        <v>-0.10648920987624733</v>
      </c>
      <c r="L233" s="535">
        <v>-9.168900296991056E-2</v>
      </c>
      <c r="M233" s="536">
        <v>-5.8957022088763411E-2</v>
      </c>
      <c r="O233" s="400">
        <v>2022</v>
      </c>
      <c r="P233" s="400">
        <f>P232+$P$97</f>
        <v>2022.0769230769251</v>
      </c>
    </row>
    <row r="234" spans="1:17" ht="14.25">
      <c r="A234" s="1033"/>
      <c r="B234" s="873" t="s">
        <v>15</v>
      </c>
      <c r="C234" s="860">
        <v>45219.193548387098</v>
      </c>
      <c r="D234" s="861">
        <v>64136.93548387097</v>
      </c>
      <c r="E234" s="862">
        <v>57494.419354838712</v>
      </c>
      <c r="F234" s="863">
        <v>166850.54838709679</v>
      </c>
      <c r="G234" s="864">
        <v>454396.32373271888</v>
      </c>
      <c r="H234" s="1036"/>
      <c r="I234" s="476">
        <v>3.17747722881591E-2</v>
      </c>
      <c r="J234" s="803">
        <v>-1.2872286974498656E-2</v>
      </c>
      <c r="K234" s="534">
        <v>-3.1181798554953907E-3</v>
      </c>
      <c r="L234" s="479">
        <v>2.2609340323860305E-3</v>
      </c>
      <c r="M234" s="536">
        <v>-3.7367075710315278E-2</v>
      </c>
      <c r="O234" s="400">
        <v>2022</v>
      </c>
      <c r="P234" s="400">
        <f t="shared" si="233"/>
        <v>2022.1538461538482</v>
      </c>
    </row>
    <row r="235" spans="1:17" ht="14.25">
      <c r="A235" s="1033"/>
      <c r="B235" s="874" t="s">
        <v>16</v>
      </c>
      <c r="C235" s="860">
        <v>44058.9</v>
      </c>
      <c r="D235" s="861">
        <v>64241.566666666666</v>
      </c>
      <c r="E235" s="862">
        <v>59686.5</v>
      </c>
      <c r="F235" s="863">
        <v>167986.96666666667</v>
      </c>
      <c r="G235" s="864">
        <v>622383.29039938562</v>
      </c>
      <c r="H235" s="1036"/>
      <c r="I235" s="476">
        <v>0.11371313545290697</v>
      </c>
      <c r="J235" s="477">
        <v>6.5312947393440887E-2</v>
      </c>
      <c r="K235" s="478">
        <v>8.8176845943482227E-2</v>
      </c>
      <c r="L235" s="479">
        <v>8.5794784807432078E-2</v>
      </c>
      <c r="M235" s="536">
        <v>-6.9644603520551129E-3</v>
      </c>
      <c r="O235" s="400">
        <v>2022</v>
      </c>
      <c r="P235" s="400">
        <f t="shared" si="233"/>
        <v>2022.2307692307713</v>
      </c>
    </row>
    <row r="236" spans="1:17" ht="14.25">
      <c r="A236" s="1033"/>
      <c r="B236" s="873" t="s">
        <v>17</v>
      </c>
      <c r="C236" s="860">
        <v>47849.451612903227</v>
      </c>
      <c r="D236" s="861">
        <v>70441.645161290318</v>
      </c>
      <c r="E236" s="862">
        <v>64904.225806451614</v>
      </c>
      <c r="F236" s="863">
        <v>183195.32258064515</v>
      </c>
      <c r="G236" s="864">
        <v>805578.61298003071</v>
      </c>
      <c r="H236" s="1036"/>
      <c r="I236" s="476">
        <v>7.667578574969687E-2</v>
      </c>
      <c r="J236" s="477">
        <v>3.1412465136490042E-2</v>
      </c>
      <c r="K236" s="478">
        <v>5.3359258555401787E-2</v>
      </c>
      <c r="L236" s="479">
        <v>5.0705727354587449E-2</v>
      </c>
      <c r="M236" s="480">
        <v>5.5870617572149062E-3</v>
      </c>
      <c r="O236" s="400">
        <v>2022</v>
      </c>
      <c r="P236" s="400">
        <f t="shared" si="233"/>
        <v>2022.3076923076944</v>
      </c>
    </row>
    <row r="237" spans="1:17" ht="14.25">
      <c r="A237" s="1033"/>
      <c r="B237" s="874" t="s">
        <v>18</v>
      </c>
      <c r="C237" s="860">
        <v>45144.4272360377</v>
      </c>
      <c r="D237" s="861">
        <v>68527.233333333337</v>
      </c>
      <c r="E237" s="862">
        <v>64417.5</v>
      </c>
      <c r="F237" s="863">
        <v>178089.16056937104</v>
      </c>
      <c r="G237" s="864">
        <v>983667.77354940178</v>
      </c>
      <c r="H237" s="1036"/>
      <c r="I237" s="533">
        <v>-1.1296615449380024E-2</v>
      </c>
      <c r="J237" s="477">
        <v>3.895046554784256E-2</v>
      </c>
      <c r="K237" s="478">
        <v>3.6253663035580669E-2</v>
      </c>
      <c r="L237" s="479">
        <v>2.4783669267456787E-2</v>
      </c>
      <c r="M237" s="480">
        <v>9.0090332495522674E-3</v>
      </c>
      <c r="O237" s="400">
        <v>2022</v>
      </c>
      <c r="P237" s="400">
        <f t="shared" si="233"/>
        <v>2022.3846153846175</v>
      </c>
    </row>
    <row r="238" spans="1:17" ht="14.25">
      <c r="A238" s="1033"/>
      <c r="B238" s="873" t="s">
        <v>19</v>
      </c>
      <c r="C238" s="860">
        <v>39422.725928347616</v>
      </c>
      <c r="D238" s="861">
        <v>61731.419354838712</v>
      </c>
      <c r="E238" s="862">
        <v>59338.838709677417</v>
      </c>
      <c r="F238" s="863">
        <v>160492.98399286374</v>
      </c>
      <c r="G238" s="864">
        <v>1144160.7575422656</v>
      </c>
      <c r="H238" s="1036"/>
      <c r="I238" s="533">
        <v>-3.1245508295495829E-3</v>
      </c>
      <c r="J238" s="803">
        <v>-6.5204954330573828E-3</v>
      </c>
      <c r="K238" s="478">
        <v>8.4105672226563719E-2</v>
      </c>
      <c r="L238" s="479">
        <v>2.6050828554224026E-2</v>
      </c>
      <c r="M238" s="480">
        <v>1.1365294924393865E-2</v>
      </c>
      <c r="O238" s="400">
        <v>2022</v>
      </c>
      <c r="P238" s="400">
        <f t="shared" si="233"/>
        <v>2022.4615384615406</v>
      </c>
    </row>
    <row r="239" spans="1:17" ht="14.25">
      <c r="A239" s="1033"/>
      <c r="B239" s="874" t="s">
        <v>20</v>
      </c>
      <c r="C239" s="860">
        <v>46657.959749207759</v>
      </c>
      <c r="D239" s="861">
        <v>66778.967741935485</v>
      </c>
      <c r="E239" s="862">
        <v>64609.903225806454</v>
      </c>
      <c r="F239" s="863">
        <v>178046.83071694971</v>
      </c>
      <c r="G239" s="864">
        <v>1322207.5882592152</v>
      </c>
      <c r="H239" s="1036"/>
      <c r="I239" s="476">
        <v>9.0071876945682E-2</v>
      </c>
      <c r="J239" s="477">
        <v>3.5307461832643314E-2</v>
      </c>
      <c r="K239" s="478">
        <v>4.174832521948986E-2</v>
      </c>
      <c r="L239" s="479">
        <v>5.1510210516382937E-2</v>
      </c>
      <c r="M239" s="480">
        <v>1.6591641329971152E-2</v>
      </c>
      <c r="O239" s="400">
        <v>2022</v>
      </c>
      <c r="P239" s="400">
        <f t="shared" si="233"/>
        <v>2022.5384615384637</v>
      </c>
    </row>
    <row r="240" spans="1:17" ht="14.25">
      <c r="A240" s="1033"/>
      <c r="B240" s="873" t="s">
        <v>211</v>
      </c>
      <c r="C240" s="860">
        <v>48525.282323483843</v>
      </c>
      <c r="D240" s="861">
        <v>69028.333333333328</v>
      </c>
      <c r="E240" s="862">
        <v>64900.566666666666</v>
      </c>
      <c r="F240" s="863">
        <v>182454.18232348384</v>
      </c>
      <c r="G240" s="864">
        <v>1504661.770582699</v>
      </c>
      <c r="H240" s="1036"/>
      <c r="I240" s="476">
        <v>4.3592611417704312E-2</v>
      </c>
      <c r="J240" s="477">
        <v>8.8523339499258832E-3</v>
      </c>
      <c r="K240" s="478">
        <v>3.1147025042441993E-2</v>
      </c>
      <c r="L240" s="479">
        <v>2.5823978802897773E-2</v>
      </c>
      <c r="M240" s="480">
        <v>1.7702284396992285E-2</v>
      </c>
      <c r="O240" s="400">
        <v>2022</v>
      </c>
      <c r="P240" s="400">
        <f t="shared" si="233"/>
        <v>2022.6153846153868</v>
      </c>
      <c r="Q240" s="25"/>
    </row>
    <row r="241" spans="1:16" ht="14.25">
      <c r="A241" s="1033"/>
      <c r="B241" s="874" t="s">
        <v>213</v>
      </c>
      <c r="C241" s="860">
        <v>47235.470685454842</v>
      </c>
      <c r="D241" s="861">
        <v>67575.709677419349</v>
      </c>
      <c r="E241" s="862">
        <v>62039.129032258068</v>
      </c>
      <c r="F241" s="863">
        <v>176850.30939513227</v>
      </c>
      <c r="G241" s="864">
        <v>1681512.0799778313</v>
      </c>
      <c r="H241" s="1036"/>
      <c r="I241" s="476">
        <v>6.2462402327499913E-3</v>
      </c>
      <c r="J241" s="477">
        <v>-4.1274755309894076E-4</v>
      </c>
      <c r="K241" s="877">
        <v>-1.1867648974023882E-3</v>
      </c>
      <c r="L241" s="479">
        <v>1.0845547921314314E-3</v>
      </c>
      <c r="M241" s="480">
        <v>1.5928626090379927E-2</v>
      </c>
      <c r="O241" s="400">
        <v>2022</v>
      </c>
      <c r="P241" s="400">
        <f t="shared" si="233"/>
        <v>2022.6923076923099</v>
      </c>
    </row>
    <row r="242" spans="1:16" ht="14.25">
      <c r="A242" s="1033"/>
      <c r="B242" s="873" t="s">
        <v>216</v>
      </c>
      <c r="C242" s="860">
        <v>47506.468197195856</v>
      </c>
      <c r="D242" s="861">
        <v>68336.2</v>
      </c>
      <c r="E242" s="862">
        <v>61746.23333333333</v>
      </c>
      <c r="F242" s="863">
        <v>177588.9015305292</v>
      </c>
      <c r="G242" s="864">
        <v>1859100.9815083605</v>
      </c>
      <c r="H242" s="1036"/>
      <c r="I242" s="476">
        <v>4.8125615214414184E-2</v>
      </c>
      <c r="J242" s="477">
        <v>4.667409008269393E-2</v>
      </c>
      <c r="K242" s="478">
        <v>4.9772747880491443E-2</v>
      </c>
      <c r="L242" s="479">
        <v>4.8138090183257765E-2</v>
      </c>
      <c r="M242" s="480">
        <v>1.8919635418214398E-2</v>
      </c>
      <c r="O242" s="400">
        <v>2022</v>
      </c>
      <c r="P242" s="400">
        <f t="shared" si="233"/>
        <v>2022.769230769233</v>
      </c>
    </row>
    <row r="243" spans="1:16" ht="15" thickBot="1">
      <c r="A243" s="1034"/>
      <c r="B243" s="874" t="s">
        <v>217</v>
      </c>
      <c r="C243" s="860">
        <v>43473.430209587808</v>
      </c>
      <c r="D243" s="861">
        <v>62781.93548387097</v>
      </c>
      <c r="E243" s="862">
        <v>54417.838709677417</v>
      </c>
      <c r="F243" s="876">
        <v>160673.20440313619</v>
      </c>
      <c r="G243" s="864">
        <v>2019774.1859114966</v>
      </c>
      <c r="H243" s="1036"/>
      <c r="I243" s="878">
        <v>-2.9192063334112475E-3</v>
      </c>
      <c r="J243" s="879">
        <v>-2.0412765075025312E-2</v>
      </c>
      <c r="K243" s="880">
        <v>-3.4026463945908622E-2</v>
      </c>
      <c r="L243" s="881">
        <v>-2.0438323263986424E-2</v>
      </c>
      <c r="M243" s="484">
        <v>1.5673284626551043E-2</v>
      </c>
      <c r="O243" s="400">
        <v>2022</v>
      </c>
      <c r="P243" s="400">
        <f>P242+$P$97</f>
        <v>2022.8461538461561</v>
      </c>
    </row>
    <row r="244" spans="1:16" ht="16.25" thickBot="1">
      <c r="A244" s="1038" t="s">
        <v>242</v>
      </c>
      <c r="B244" s="1039"/>
      <c r="C244" s="859">
        <v>44300</v>
      </c>
      <c r="D244" s="859">
        <v>64600</v>
      </c>
      <c r="E244" s="859">
        <v>59400</v>
      </c>
      <c r="F244" s="875"/>
      <c r="G244" s="872"/>
      <c r="H244" s="1037"/>
      <c r="I244" s="469">
        <v>2.5462962962963021E-2</v>
      </c>
      <c r="J244" s="469">
        <v>7.8003120124805481E-3</v>
      </c>
      <c r="K244" s="470">
        <v>1.7123287671232834E-2</v>
      </c>
      <c r="L244" s="531"/>
      <c r="M244" s="470">
        <v>1.5673284626551043E-2</v>
      </c>
      <c r="P244" s="400">
        <f>P243+$P$97</f>
        <v>2022.9230769230792</v>
      </c>
    </row>
    <row r="245" spans="1:16">
      <c r="A245" s="1033" t="s">
        <v>689</v>
      </c>
      <c r="B245" s="873" t="s">
        <v>191</v>
      </c>
      <c r="C245" s="860">
        <v>42391.624152076824</v>
      </c>
      <c r="D245" s="861">
        <v>60890.612903225803</v>
      </c>
      <c r="E245" s="862">
        <v>53770.129032258068</v>
      </c>
      <c r="F245" s="870">
        <v>157052.36608756069</v>
      </c>
      <c r="G245" s="871">
        <v>157052.36608756069</v>
      </c>
      <c r="H245" s="1035" t="s">
        <v>642</v>
      </c>
      <c r="I245" s="867">
        <v>0.14966069272727558</v>
      </c>
      <c r="J245" s="868">
        <v>0.1180312177751664</v>
      </c>
      <c r="K245" s="869">
        <v>0.10242114480572918</v>
      </c>
      <c r="L245" s="865">
        <v>0.12092111634661062</v>
      </c>
      <c r="M245" s="866">
        <v>0.12092111634661062</v>
      </c>
    </row>
    <row r="246" spans="1:16">
      <c r="A246" s="1033"/>
      <c r="B246" s="874" t="s">
        <v>195</v>
      </c>
      <c r="C246" s="860">
        <v>44129.510624159026</v>
      </c>
      <c r="D246" s="861">
        <v>63744.964285714283</v>
      </c>
      <c r="E246" s="862">
        <v>57329.428571428572</v>
      </c>
      <c r="F246" s="863">
        <v>165203.90348130188</v>
      </c>
      <c r="G246" s="864">
        <v>322256.26956886257</v>
      </c>
      <c r="H246" s="1036"/>
      <c r="I246" s="476">
        <v>0.11523550904006827</v>
      </c>
      <c r="J246" s="477">
        <v>0.11314292200336645</v>
      </c>
      <c r="K246" s="478">
        <v>0.13298706175223585</v>
      </c>
      <c r="L246" s="479">
        <v>0.12051509568130125</v>
      </c>
      <c r="M246" s="480">
        <v>0.12071293407638972</v>
      </c>
    </row>
    <row r="247" spans="1:16">
      <c r="A247" s="1033"/>
      <c r="B247" s="873" t="s">
        <v>15</v>
      </c>
      <c r="C247" s="860">
        <v>48082.44939519911</v>
      </c>
      <c r="D247" s="861">
        <v>69048.290322580651</v>
      </c>
      <c r="E247" s="862">
        <v>63702.516129032258</v>
      </c>
      <c r="F247" s="863">
        <v>180833.25584681204</v>
      </c>
      <c r="G247" s="864">
        <v>503089.52541567461</v>
      </c>
      <c r="H247" s="1036"/>
      <c r="I247" s="476">
        <v>6.3319480559691221E-2</v>
      </c>
      <c r="J247" s="477">
        <v>7.6576075886020153E-2</v>
      </c>
      <c r="K247" s="478">
        <v>0.1079773801328263</v>
      </c>
      <c r="L247" s="479">
        <v>8.3803784853466956E-2</v>
      </c>
      <c r="M247" s="480">
        <v>0.10716020165602758</v>
      </c>
    </row>
    <row r="248" spans="1:16">
      <c r="A248" s="1033"/>
      <c r="B248" s="874" t="s">
        <v>16</v>
      </c>
      <c r="C248" s="860">
        <v>43619.579449772435</v>
      </c>
      <c r="D248" s="861">
        <v>64263.866666666669</v>
      </c>
      <c r="E248" s="862">
        <v>56594.26666666667</v>
      </c>
      <c r="F248" s="863">
        <v>164477.71278310576</v>
      </c>
      <c r="G248" s="864">
        <v>667567.23819878034</v>
      </c>
      <c r="H248" s="1036"/>
      <c r="I248" s="533">
        <v>-9.971210135240936E-3</v>
      </c>
      <c r="J248" s="477">
        <v>3.4712727533112636E-4</v>
      </c>
      <c r="K248" s="534">
        <v>-5.180791859689092E-2</v>
      </c>
      <c r="L248" s="535">
        <v>-2.0890036609353513E-2</v>
      </c>
      <c r="M248" s="536">
        <v>7.2598266207307693E-2</v>
      </c>
    </row>
    <row r="249" spans="1:16">
      <c r="A249" s="1033"/>
      <c r="B249" s="873" t="s">
        <v>17</v>
      </c>
      <c r="C249" s="860"/>
      <c r="D249" s="861"/>
      <c r="E249" s="862"/>
      <c r="F249" s="863"/>
      <c r="G249" s="864"/>
      <c r="H249" s="1036"/>
      <c r="I249" s="476"/>
      <c r="J249" s="477"/>
      <c r="K249" s="478"/>
      <c r="L249" s="479"/>
      <c r="M249" s="480"/>
    </row>
    <row r="250" spans="1:16">
      <c r="A250" s="1033"/>
      <c r="B250" s="874" t="s">
        <v>18</v>
      </c>
      <c r="C250" s="860"/>
      <c r="D250" s="861"/>
      <c r="E250" s="862"/>
      <c r="F250" s="863"/>
      <c r="G250" s="864"/>
      <c r="H250" s="1036"/>
      <c r="I250" s="533"/>
      <c r="J250" s="477"/>
      <c r="K250" s="478"/>
      <c r="L250" s="479"/>
      <c r="M250" s="480"/>
    </row>
    <row r="251" spans="1:16">
      <c r="A251" s="1033"/>
      <c r="B251" s="873" t="s">
        <v>19</v>
      </c>
      <c r="C251" s="860"/>
      <c r="D251" s="861"/>
      <c r="E251" s="862"/>
      <c r="F251" s="863"/>
      <c r="G251" s="864"/>
      <c r="H251" s="1036"/>
      <c r="I251" s="533"/>
      <c r="J251" s="803"/>
      <c r="K251" s="478"/>
      <c r="L251" s="479"/>
      <c r="M251" s="480"/>
    </row>
    <row r="252" spans="1:16">
      <c r="A252" s="1033"/>
      <c r="B252" s="874" t="s">
        <v>20</v>
      </c>
      <c r="C252" s="860"/>
      <c r="D252" s="861"/>
      <c r="E252" s="862"/>
      <c r="F252" s="863"/>
      <c r="G252" s="864"/>
      <c r="H252" s="1036"/>
      <c r="I252" s="476"/>
      <c r="J252" s="477"/>
      <c r="K252" s="478"/>
      <c r="L252" s="479"/>
      <c r="M252" s="480"/>
    </row>
    <row r="253" spans="1:16">
      <c r="A253" s="1033"/>
      <c r="B253" s="873" t="s">
        <v>211</v>
      </c>
      <c r="C253" s="860"/>
      <c r="D253" s="861"/>
      <c r="E253" s="862"/>
      <c r="F253" s="863"/>
      <c r="G253" s="864"/>
      <c r="H253" s="1036"/>
      <c r="I253" s="476"/>
      <c r="J253" s="477"/>
      <c r="K253" s="478"/>
      <c r="L253" s="479"/>
      <c r="M253" s="480"/>
    </row>
    <row r="254" spans="1:16">
      <c r="A254" s="1033"/>
      <c r="B254" s="874" t="s">
        <v>213</v>
      </c>
      <c r="C254" s="860"/>
      <c r="D254" s="861"/>
      <c r="E254" s="862"/>
      <c r="F254" s="863"/>
      <c r="G254" s="864"/>
      <c r="H254" s="1036"/>
      <c r="I254" s="476"/>
      <c r="J254" s="477"/>
      <c r="K254" s="877"/>
      <c r="L254" s="479"/>
      <c r="M254" s="480"/>
    </row>
    <row r="255" spans="1:16">
      <c r="A255" s="1033"/>
      <c r="B255" s="873" t="s">
        <v>216</v>
      </c>
      <c r="C255" s="860"/>
      <c r="D255" s="861"/>
      <c r="E255" s="862"/>
      <c r="F255" s="863"/>
      <c r="G255" s="864"/>
      <c r="H255" s="1036"/>
      <c r="I255" s="476"/>
      <c r="J255" s="477"/>
      <c r="K255" s="478"/>
      <c r="L255" s="479"/>
      <c r="M255" s="480"/>
    </row>
    <row r="256" spans="1:16" ht="13.75" thickBot="1">
      <c r="A256" s="1034"/>
      <c r="B256" s="874" t="s">
        <v>217</v>
      </c>
      <c r="C256" s="860"/>
      <c r="D256" s="861"/>
      <c r="E256" s="862"/>
      <c r="F256" s="876"/>
      <c r="G256" s="864"/>
      <c r="H256" s="1036"/>
      <c r="I256" s="878"/>
      <c r="J256" s="879"/>
      <c r="K256" s="880"/>
      <c r="L256" s="881"/>
      <c r="M256" s="484"/>
    </row>
    <row r="257" spans="1:13" ht="16.25" thickBot="1">
      <c r="A257" s="1038" t="s">
        <v>242</v>
      </c>
      <c r="B257" s="1039"/>
      <c r="C257" s="859"/>
      <c r="D257" s="859"/>
      <c r="E257" s="859"/>
      <c r="F257" s="875"/>
      <c r="G257" s="872"/>
      <c r="H257" s="1037"/>
      <c r="I257" s="469"/>
      <c r="J257" s="469"/>
      <c r="K257" s="470"/>
      <c r="L257" s="531"/>
      <c r="M257" s="470"/>
    </row>
  </sheetData>
  <mergeCells count="71">
    <mergeCell ref="A245:A256"/>
    <mergeCell ref="H245:H257"/>
    <mergeCell ref="A257:B257"/>
    <mergeCell ref="A232:A243"/>
    <mergeCell ref="H232:H244"/>
    <mergeCell ref="A244:B244"/>
    <mergeCell ref="BR8:BW8"/>
    <mergeCell ref="BR15:BW15"/>
    <mergeCell ref="BR22:BW22"/>
    <mergeCell ref="BR29:BW29"/>
    <mergeCell ref="A219:A230"/>
    <mergeCell ref="H219:H231"/>
    <mergeCell ref="A231:B231"/>
    <mergeCell ref="A206:A217"/>
    <mergeCell ref="H206:H218"/>
    <mergeCell ref="A218:B218"/>
    <mergeCell ref="A24:A35"/>
    <mergeCell ref="H24:H36"/>
    <mergeCell ref="A9:B9"/>
    <mergeCell ref="I9:K9"/>
    <mergeCell ref="L9:M9"/>
    <mergeCell ref="C10:E10"/>
    <mergeCell ref="GO8:GT8"/>
    <mergeCell ref="GO15:GT15"/>
    <mergeCell ref="GO22:GT22"/>
    <mergeCell ref="EY8:FD8"/>
    <mergeCell ref="EY15:FD15"/>
    <mergeCell ref="EY22:FD22"/>
    <mergeCell ref="A4:M4"/>
    <mergeCell ref="A5:B7"/>
    <mergeCell ref="C5:M5"/>
    <mergeCell ref="G6:G8"/>
    <mergeCell ref="H6:M6"/>
    <mergeCell ref="I8:K8"/>
    <mergeCell ref="L8:M8"/>
    <mergeCell ref="A11:A22"/>
    <mergeCell ref="A37:A48"/>
    <mergeCell ref="H37:H49"/>
    <mergeCell ref="A115:A126"/>
    <mergeCell ref="H115:H127"/>
    <mergeCell ref="A50:A61"/>
    <mergeCell ref="H50:H62"/>
    <mergeCell ref="A63:A74"/>
    <mergeCell ref="H63:H75"/>
    <mergeCell ref="A76:A87"/>
    <mergeCell ref="H76:H88"/>
    <mergeCell ref="A193:A204"/>
    <mergeCell ref="H193:H205"/>
    <mergeCell ref="A205:B205"/>
    <mergeCell ref="A154:A165"/>
    <mergeCell ref="H154:H166"/>
    <mergeCell ref="A166:B166"/>
    <mergeCell ref="A167:A178"/>
    <mergeCell ref="H167:H179"/>
    <mergeCell ref="A179:B179"/>
    <mergeCell ref="AA8:AF8"/>
    <mergeCell ref="AA15:AF15"/>
    <mergeCell ref="AA22:AF22"/>
    <mergeCell ref="AA29:AF29"/>
    <mergeCell ref="A180:A191"/>
    <mergeCell ref="H180:H192"/>
    <mergeCell ref="A192:B192"/>
    <mergeCell ref="A128:A139"/>
    <mergeCell ref="H128:H140"/>
    <mergeCell ref="A141:A152"/>
    <mergeCell ref="H141:H153"/>
    <mergeCell ref="A153:B153"/>
    <mergeCell ref="A89:A100"/>
    <mergeCell ref="H89:H101"/>
    <mergeCell ref="A102:A113"/>
    <mergeCell ref="H102:H114"/>
  </mergeCells>
  <dataValidations count="1">
    <dataValidation type="list" allowBlank="1" showInputMessage="1" showErrorMessage="1" sqref="O15" xr:uid="{3C840561-915A-47E1-95BE-FA586403B6E8}">
      <formula1>$O$18:$O$25</formula1>
    </dataValidation>
  </dataValidations>
  <hyperlinks>
    <hyperlink ref="EY37" r:id="rId1" xr:uid="{53D515FD-128B-418F-B4E0-B6F2E4970C9D}"/>
    <hyperlink ref="GO37" r:id="rId2" xr:uid="{EE58C559-43BA-43DA-A82F-5C0800BAABC0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6962-8373-4E6E-B212-39FFE7E8774A}">
  <dimension ref="A1:W84"/>
  <sheetViews>
    <sheetView showGridLines="0" topLeftCell="A10" workbookViewId="0">
      <selection activeCell="F26" sqref="F26"/>
    </sheetView>
  </sheetViews>
  <sheetFormatPr defaultRowHeight="13"/>
  <cols>
    <col min="3" max="3" width="15" customWidth="1"/>
    <col min="4" max="4" width="13.26953125" customWidth="1"/>
    <col min="5" max="5" width="12.54296875" customWidth="1"/>
    <col min="6" max="7" width="13.7265625" customWidth="1"/>
    <col min="8" max="8" width="13.86328125" customWidth="1"/>
    <col min="9" max="9" width="15.54296875" customWidth="1"/>
    <col min="10" max="10" width="12.1328125" customWidth="1"/>
    <col min="11" max="11" width="24.26953125" customWidth="1"/>
    <col min="12" max="12" width="26.40625" customWidth="1"/>
    <col min="16" max="16" width="37.40625" bestFit="1" customWidth="1"/>
    <col min="17" max="17" width="14.1328125" customWidth="1"/>
    <col min="18" max="18" width="15" customWidth="1"/>
    <col min="19" max="20" width="14.1328125" customWidth="1"/>
    <col min="21" max="21" width="18" customWidth="1"/>
    <col min="22" max="22" width="15.7265625" customWidth="1"/>
    <col min="23" max="23" width="12.40625" customWidth="1"/>
    <col min="26" max="26" width="13.40625" customWidth="1"/>
    <col min="27" max="27" width="11.54296875" customWidth="1"/>
  </cols>
  <sheetData>
    <row r="1" spans="1:23" ht="21.25" thickBot="1">
      <c r="B1" s="43" t="s">
        <v>80</v>
      </c>
      <c r="C1" s="43"/>
    </row>
    <row r="2" spans="1:23" ht="14.5">
      <c r="P2" s="61" t="s">
        <v>114</v>
      </c>
      <c r="Q2" s="62">
        <v>2018</v>
      </c>
      <c r="R2" s="63">
        <v>2019</v>
      </c>
      <c r="S2" s="64">
        <v>2020</v>
      </c>
      <c r="T2" s="833">
        <v>2021</v>
      </c>
      <c r="U2" s="833">
        <v>2022</v>
      </c>
    </row>
    <row r="3" spans="1:23" ht="15.25" thickBot="1">
      <c r="B3" s="44"/>
      <c r="C3" t="s">
        <v>81</v>
      </c>
      <c r="P3" s="65"/>
      <c r="Q3" s="66" t="s">
        <v>68</v>
      </c>
      <c r="R3" s="67" t="s">
        <v>68</v>
      </c>
      <c r="S3" s="68" t="s">
        <v>68</v>
      </c>
      <c r="T3" s="834" t="s">
        <v>68</v>
      </c>
      <c r="U3" s="834" t="s">
        <v>68</v>
      </c>
    </row>
    <row r="4" spans="1:23">
      <c r="P4" s="69" t="s">
        <v>115</v>
      </c>
      <c r="Q4" s="70">
        <v>792968429</v>
      </c>
      <c r="R4" s="71">
        <v>784052813</v>
      </c>
      <c r="S4" s="72">
        <v>756080790</v>
      </c>
      <c r="T4" s="835">
        <v>761761999.28499877</v>
      </c>
      <c r="U4" s="887">
        <v>776494772</v>
      </c>
    </row>
    <row r="5" spans="1:23" ht="13.75" thickBot="1">
      <c r="P5" s="73" t="s">
        <v>116</v>
      </c>
      <c r="Q5" s="74">
        <v>11589116</v>
      </c>
      <c r="R5" s="75">
        <v>12540999</v>
      </c>
      <c r="S5" s="76">
        <v>13820892</v>
      </c>
      <c r="T5" s="836">
        <v>14275018.440999985</v>
      </c>
      <c r="U5" s="838">
        <v>14551103</v>
      </c>
    </row>
    <row r="6" spans="1:23" ht="18">
      <c r="C6" s="45" t="s">
        <v>67</v>
      </c>
      <c r="P6" s="69" t="s">
        <v>117</v>
      </c>
      <c r="Q6" s="70">
        <f>Q4+Q5</f>
        <v>804557545</v>
      </c>
      <c r="R6" s="71">
        <f>R4+R5</f>
        <v>796593812</v>
      </c>
      <c r="S6" s="72">
        <f>S4+S5</f>
        <v>769901682</v>
      </c>
      <c r="T6" s="835">
        <f>T4+T5</f>
        <v>776037017.72599876</v>
      </c>
      <c r="U6" s="887">
        <v>791045875</v>
      </c>
    </row>
    <row r="7" spans="1:23" ht="15.25" thickBot="1">
      <c r="D7" s="1040" t="s">
        <v>82</v>
      </c>
      <c r="E7" s="1040"/>
      <c r="F7" s="1040"/>
      <c r="G7" s="46"/>
      <c r="P7" s="77" t="s">
        <v>118</v>
      </c>
      <c r="Q7" s="78">
        <f>Q14/Q13*Q6</f>
        <v>30623776.80246878</v>
      </c>
      <c r="R7" s="79">
        <f>R14/R13*R6</f>
        <v>28003857.148948714</v>
      </c>
      <c r="S7" s="80">
        <f>S14/S13*S6</f>
        <v>35352695.902842365</v>
      </c>
      <c r="T7" s="837">
        <f>T14/T13*T6</f>
        <v>35634421.041589469</v>
      </c>
      <c r="U7" s="888">
        <v>36323605</v>
      </c>
      <c r="W7">
        <v>35634421.041589469</v>
      </c>
    </row>
    <row r="8" spans="1:23" ht="15.25" thickBot="1">
      <c r="C8" s="47" t="s">
        <v>83</v>
      </c>
      <c r="D8" s="47" t="s">
        <v>84</v>
      </c>
      <c r="E8" s="47" t="s">
        <v>85</v>
      </c>
      <c r="F8" s="47" t="s">
        <v>86</v>
      </c>
      <c r="G8" s="47" t="s">
        <v>87</v>
      </c>
      <c r="H8" s="47" t="s">
        <v>88</v>
      </c>
      <c r="I8" s="47" t="s">
        <v>89</v>
      </c>
      <c r="J8" s="47" t="s">
        <v>90</v>
      </c>
      <c r="K8" s="48" t="s">
        <v>91</v>
      </c>
      <c r="L8" s="49"/>
      <c r="P8" s="81" t="s">
        <v>79</v>
      </c>
      <c r="Q8" s="82">
        <f>Q6+Q7</f>
        <v>835181321.80246878</v>
      </c>
      <c r="R8" s="83">
        <f>R6+R7</f>
        <v>824597669.14894867</v>
      </c>
      <c r="S8" s="84">
        <f>S6+S7</f>
        <v>805254377.9028424</v>
      </c>
      <c r="T8" s="84">
        <f>T6+T7</f>
        <v>811671438.76758826</v>
      </c>
      <c r="U8" s="889">
        <v>827369479</v>
      </c>
    </row>
    <row r="9" spans="1:23" ht="15.25" thickTop="1">
      <c r="C9">
        <v>2019</v>
      </c>
      <c r="D9" s="52">
        <v>523.1</v>
      </c>
      <c r="E9" s="52">
        <v>447.8</v>
      </c>
      <c r="F9" s="31">
        <f>D9+E9</f>
        <v>970.90000000000009</v>
      </c>
      <c r="G9" s="32">
        <f>F9*1*10^6</f>
        <v>970900000.00000012</v>
      </c>
      <c r="H9" s="56">
        <v>8</v>
      </c>
      <c r="I9" s="32">
        <f>G9*$H$9</f>
        <v>7767200000.000001</v>
      </c>
      <c r="J9" s="32">
        <f>I9/(1000*1000)</f>
        <v>7767.2000000000007</v>
      </c>
      <c r="K9" s="50" t="s">
        <v>92</v>
      </c>
      <c r="L9" s="51"/>
      <c r="P9" s="85" t="s">
        <v>119</v>
      </c>
      <c r="Q9" s="86"/>
      <c r="R9" s="86"/>
      <c r="S9" s="86"/>
    </row>
    <row r="10" spans="1:23" ht="14.5">
      <c r="A10" s="858"/>
      <c r="C10">
        <v>2018</v>
      </c>
      <c r="D10" s="52">
        <v>494.8</v>
      </c>
      <c r="E10" s="52">
        <v>452.6</v>
      </c>
      <c r="F10" s="31">
        <f>D10+E10</f>
        <v>947.40000000000009</v>
      </c>
      <c r="G10" s="32">
        <f>F10*1*10^6</f>
        <v>947400000.00000012</v>
      </c>
      <c r="H10" s="56">
        <v>7.9</v>
      </c>
      <c r="I10" s="32">
        <f>G10*$H$10</f>
        <v>7484460000.000001</v>
      </c>
      <c r="J10" s="32">
        <f>I10/(1000*1000)</f>
        <v>7484.4600000000009</v>
      </c>
      <c r="K10" s="51" t="s">
        <v>92</v>
      </c>
      <c r="L10" s="51"/>
      <c r="P10" s="49"/>
      <c r="Q10" s="86"/>
      <c r="R10" s="86"/>
      <c r="S10" s="86"/>
    </row>
    <row r="11" spans="1:23" ht="14.25">
      <c r="C11">
        <v>2017</v>
      </c>
      <c r="D11" s="52">
        <v>573.9</v>
      </c>
      <c r="E11" s="52">
        <v>511.5</v>
      </c>
      <c r="F11" s="31">
        <f>D11+E11</f>
        <v>1085.4000000000001</v>
      </c>
      <c r="G11" s="32">
        <f>F11*1*10^6</f>
        <v>1085400000</v>
      </c>
      <c r="H11" s="56">
        <v>8.1</v>
      </c>
      <c r="I11" s="32">
        <f>G11*$H$11</f>
        <v>8791740000</v>
      </c>
      <c r="J11" s="32">
        <f>I11/(1000*1000)</f>
        <v>8791.74</v>
      </c>
      <c r="K11" s="51" t="s">
        <v>92</v>
      </c>
      <c r="L11" s="51"/>
      <c r="Q11" s="87"/>
      <c r="R11" s="87"/>
      <c r="S11" s="87"/>
    </row>
    <row r="12" spans="1:23" ht="15.25" thickBot="1">
      <c r="C12">
        <v>2016</v>
      </c>
      <c r="D12" s="52">
        <v>512</v>
      </c>
      <c r="E12" s="52">
        <v>471.2</v>
      </c>
      <c r="F12" s="31">
        <f>D12+E12</f>
        <v>983.2</v>
      </c>
      <c r="G12" s="32">
        <f>F12*1*10^6</f>
        <v>983200000</v>
      </c>
      <c r="H12" s="55">
        <v>8.9</v>
      </c>
      <c r="I12" s="32">
        <f>G12*$H$12</f>
        <v>8750480000</v>
      </c>
      <c r="J12" s="32">
        <f>I12/(1000*1000)</f>
        <v>8750.48</v>
      </c>
      <c r="K12" s="51" t="s">
        <v>92</v>
      </c>
      <c r="L12" s="51"/>
      <c r="P12" s="49" t="s">
        <v>120</v>
      </c>
      <c r="Q12" s="32"/>
      <c r="R12" s="32"/>
      <c r="S12" s="32"/>
    </row>
    <row r="13" spans="1:23" ht="14.25">
      <c r="D13" s="52"/>
      <c r="E13" s="52"/>
      <c r="F13" s="52"/>
      <c r="G13" s="32"/>
      <c r="H13" s="53"/>
      <c r="I13" s="32"/>
      <c r="J13" s="38"/>
      <c r="K13" s="51"/>
      <c r="L13" s="51"/>
      <c r="P13" s="69" t="s">
        <v>121</v>
      </c>
      <c r="Q13" s="70">
        <v>1126269152</v>
      </c>
      <c r="R13" s="71">
        <v>1107024245</v>
      </c>
      <c r="S13" s="72">
        <v>1073651628</v>
      </c>
      <c r="T13" s="835">
        <v>1090940006.7269988</v>
      </c>
      <c r="U13" s="835">
        <v>1155932000</v>
      </c>
    </row>
    <row r="14" spans="1:23" ht="15" thickBot="1">
      <c r="D14" s="47" t="s">
        <v>98</v>
      </c>
      <c r="E14" s="47" t="s">
        <v>99</v>
      </c>
      <c r="F14" s="47" t="s">
        <v>100</v>
      </c>
      <c r="G14" s="47" t="s">
        <v>87</v>
      </c>
      <c r="H14" s="47" t="s">
        <v>88</v>
      </c>
      <c r="I14" s="47" t="s">
        <v>89</v>
      </c>
      <c r="J14" s="47" t="s">
        <v>90</v>
      </c>
      <c r="K14" s="51"/>
      <c r="L14" s="51" t="s">
        <v>622</v>
      </c>
      <c r="P14" s="73" t="s">
        <v>122</v>
      </c>
      <c r="Q14" s="74">
        <v>42869046.899999902</v>
      </c>
      <c r="R14" s="75">
        <v>38916883.799999699</v>
      </c>
      <c r="S14" s="76">
        <v>49300424.194002002</v>
      </c>
      <c r="T14" s="838">
        <f>S14/S13*T13</f>
        <v>50094279.838272117</v>
      </c>
      <c r="U14" s="838">
        <v>53078612</v>
      </c>
      <c r="W14">
        <f>U8/1000+F26</f>
        <v>4978762.9655234125</v>
      </c>
    </row>
    <row r="15" spans="1:23" ht="14.5" thickTop="1" thickBot="1">
      <c r="C15">
        <v>2022</v>
      </c>
      <c r="D15" s="32">
        <f>U4</f>
        <v>776494772</v>
      </c>
      <c r="E15" s="32">
        <f>U5</f>
        <v>14551103</v>
      </c>
      <c r="F15" s="52">
        <f>D15+E15</f>
        <v>791045875</v>
      </c>
      <c r="G15" s="92">
        <f>U8</f>
        <v>827369479</v>
      </c>
      <c r="H15" s="885">
        <f>7.6+0.4</f>
        <v>8</v>
      </c>
      <c r="I15" s="32">
        <f>G15*$H15</f>
        <v>6618955832</v>
      </c>
      <c r="J15" s="32">
        <f>I15/(1000*1000)</f>
        <v>6618.9558319999996</v>
      </c>
      <c r="K15" s="31">
        <f>J15-L15</f>
        <v>6328.3669919999993</v>
      </c>
      <c r="L15" s="31">
        <f>U7*H15/1000000</f>
        <v>290.58884</v>
      </c>
      <c r="P15" s="69" t="s">
        <v>123</v>
      </c>
      <c r="Q15" s="70">
        <f>Q13+Q14</f>
        <v>1169138198.8999999</v>
      </c>
      <c r="R15" s="71">
        <f>R13+R14</f>
        <v>1145941128.7999997</v>
      </c>
      <c r="S15" s="72">
        <f>S13+S14</f>
        <v>1122952052.1940019</v>
      </c>
      <c r="T15" s="839">
        <f>T13+T14</f>
        <v>1141034286.5652709</v>
      </c>
      <c r="U15" s="839">
        <f>U13+U14</f>
        <v>1209010612</v>
      </c>
    </row>
    <row r="16" spans="1:23" ht="13.75" thickBot="1">
      <c r="C16">
        <v>2021</v>
      </c>
      <c r="D16" s="52">
        <f>T4</f>
        <v>761761999.28499877</v>
      </c>
      <c r="E16" s="52">
        <f>T5</f>
        <v>14275018.440999985</v>
      </c>
      <c r="F16" s="52">
        <f>D16+E16</f>
        <v>776037017.72599876</v>
      </c>
      <c r="G16" s="52">
        <f>F16+T7</f>
        <v>811671438.76758826</v>
      </c>
      <c r="H16">
        <f>7.4+0.3</f>
        <v>7.7</v>
      </c>
      <c r="I16" s="32">
        <f>G16*$H16</f>
        <v>6249870078.5104294</v>
      </c>
      <c r="J16" s="31">
        <f>I16/1000000</f>
        <v>6249.8700785104293</v>
      </c>
      <c r="K16" s="31">
        <f>J16-L16</f>
        <v>5975.4850364901904</v>
      </c>
      <c r="L16" s="31">
        <f>T7*H16/1000000</f>
        <v>274.38504202023893</v>
      </c>
      <c r="P16" s="88" t="s">
        <v>124</v>
      </c>
      <c r="Q16" s="89">
        <f>Q14/Q15*100</f>
        <v>3.6667219444488128</v>
      </c>
      <c r="R16" s="90">
        <f>R14/R15*100</f>
        <v>3.3960630980015933</v>
      </c>
      <c r="S16" s="91">
        <f>S14/S15*100</f>
        <v>4.3902519344151685</v>
      </c>
      <c r="T16" s="91">
        <f>T14/T15*100</f>
        <v>4.3902519344151685</v>
      </c>
      <c r="U16" s="91">
        <f>U14/U15*100</f>
        <v>4.3902519525610249</v>
      </c>
    </row>
    <row r="17" spans="3:21" ht="14.25">
      <c r="C17">
        <v>2020</v>
      </c>
      <c r="D17" s="32">
        <f>S4</f>
        <v>756080790</v>
      </c>
      <c r="E17" s="32">
        <f>S5</f>
        <v>13820892</v>
      </c>
      <c r="F17" s="32">
        <f>S6</f>
        <v>769901682</v>
      </c>
      <c r="G17" s="32">
        <f>S8</f>
        <v>805254377.9028424</v>
      </c>
      <c r="H17" s="55">
        <v>8.3000000000000007</v>
      </c>
      <c r="I17" s="32">
        <f>G17*$H17</f>
        <v>6683611336.5935926</v>
      </c>
      <c r="J17" s="32">
        <f>I17/(1000*1000)</f>
        <v>6683.6113365935926</v>
      </c>
      <c r="K17" s="51"/>
      <c r="L17" s="760">
        <f>H17*S7/10^6</f>
        <v>293.42737599359168</v>
      </c>
      <c r="M17" s="32">
        <f>J17-L17</f>
        <v>6390.1839606000012</v>
      </c>
      <c r="S17" s="92"/>
    </row>
    <row r="18" spans="3:21" ht="15" thickBot="1">
      <c r="C18">
        <v>2019</v>
      </c>
      <c r="D18" s="32">
        <f>R4</f>
        <v>784052813</v>
      </c>
      <c r="E18" s="32">
        <f>R5</f>
        <v>12540999</v>
      </c>
      <c r="F18" s="32">
        <f>R6</f>
        <v>796593812</v>
      </c>
      <c r="G18" s="32">
        <f>R8</f>
        <v>824597669.14894867</v>
      </c>
      <c r="H18" s="55">
        <v>8</v>
      </c>
      <c r="I18" s="32">
        <f>G18*$H18</f>
        <v>6596781353.1915894</v>
      </c>
      <c r="J18" s="32">
        <f>I18/(1000*1000)</f>
        <v>6596.781353191589</v>
      </c>
      <c r="K18" s="51"/>
      <c r="L18" s="760">
        <f>H18*R7/10^6</f>
        <v>224.03085719158972</v>
      </c>
      <c r="Q18" t="s">
        <v>125</v>
      </c>
      <c r="S18" s="92"/>
    </row>
    <row r="19" spans="3:21" ht="14.25">
      <c r="C19">
        <v>2018</v>
      </c>
      <c r="D19" s="32">
        <f>Q4</f>
        <v>792968429</v>
      </c>
      <c r="E19" s="32">
        <f>Q5</f>
        <v>11589116</v>
      </c>
      <c r="F19" s="32">
        <f>Q6</f>
        <v>804557545</v>
      </c>
      <c r="G19" s="32">
        <f>Q8</f>
        <v>835181321.80246878</v>
      </c>
      <c r="H19" s="55">
        <v>7.9</v>
      </c>
      <c r="I19" s="32">
        <f>G19*$H19</f>
        <v>6597932442.2395039</v>
      </c>
      <c r="J19" s="32">
        <f>I19/(1000*1000)</f>
        <v>6597.9324422395039</v>
      </c>
      <c r="K19" s="51"/>
      <c r="L19" s="760">
        <f>H19*Q7/10^6</f>
        <v>241.92783673950339</v>
      </c>
      <c r="P19" s="69" t="s">
        <v>126</v>
      </c>
      <c r="Q19" s="70">
        <f>Q6*Q16/100</f>
        <v>29500888.058233634</v>
      </c>
      <c r="R19" s="71">
        <f>R6*R16/100</f>
        <v>27052828.490296189</v>
      </c>
      <c r="S19" s="72">
        <f>S6*S16/100</f>
        <v>33800623.487099916</v>
      </c>
      <c r="T19" s="72">
        <f>T6*T16/100</f>
        <v>34069980.182493441</v>
      </c>
      <c r="U19" s="72">
        <f>U6*U16/100</f>
        <v>34728906.972840942</v>
      </c>
    </row>
    <row r="20" spans="3:21" ht="15" thickBot="1">
      <c r="C20" s="54"/>
      <c r="D20" s="54"/>
      <c r="E20" s="54"/>
      <c r="F20" s="54"/>
      <c r="G20" s="54"/>
      <c r="H20" s="54"/>
      <c r="I20" s="54"/>
      <c r="J20" s="54"/>
      <c r="K20" s="54"/>
      <c r="L20" s="54"/>
      <c r="P20" s="88" t="s">
        <v>127</v>
      </c>
      <c r="Q20" s="93">
        <f>Q7-Q19</f>
        <v>1122888.7442351468</v>
      </c>
      <c r="R20" s="94">
        <f>R7-R19</f>
        <v>951028.6586525254</v>
      </c>
      <c r="S20" s="95">
        <f>S7-S19</f>
        <v>1552072.4157424495</v>
      </c>
      <c r="T20" s="95">
        <f>T7-T19</f>
        <v>1564440.8590960279</v>
      </c>
      <c r="U20" s="95">
        <f>U7-U19</f>
        <v>1594698.0271590576</v>
      </c>
    </row>
    <row r="21" spans="3:21" ht="14.25">
      <c r="C21" s="54"/>
      <c r="D21" s="54"/>
      <c r="E21" s="54"/>
      <c r="F21" s="54"/>
      <c r="G21" s="54"/>
      <c r="H21" s="54"/>
      <c r="I21" s="54"/>
      <c r="J21" s="54"/>
      <c r="K21" s="54"/>
      <c r="L21" s="54"/>
      <c r="Q21" s="32"/>
      <c r="R21" s="32"/>
      <c r="S21" s="32"/>
      <c r="T21" s="32"/>
      <c r="U21" s="32"/>
    </row>
    <row r="22" spans="3:21" ht="14.25">
      <c r="C22" s="54"/>
      <c r="D22" s="54"/>
      <c r="E22" s="54"/>
      <c r="F22" s="54"/>
      <c r="G22" s="54"/>
      <c r="H22" s="54"/>
      <c r="I22" s="54"/>
      <c r="J22" s="54"/>
      <c r="K22" s="99"/>
      <c r="L22" s="54"/>
      <c r="Q22" s="32"/>
      <c r="R22" s="32"/>
      <c r="S22" s="32"/>
      <c r="T22" s="32"/>
    </row>
    <row r="23" spans="3:21" ht="18">
      <c r="C23" s="45" t="s">
        <v>93</v>
      </c>
      <c r="D23" s="54"/>
      <c r="E23" s="54"/>
      <c r="F23" s="54"/>
      <c r="G23" s="54"/>
      <c r="H23" s="54"/>
      <c r="I23" s="54"/>
      <c r="J23" s="54"/>
      <c r="K23" s="54"/>
      <c r="L23" s="54"/>
      <c r="Q23" s="32"/>
      <c r="R23" s="32"/>
      <c r="S23" s="32"/>
      <c r="T23" s="32"/>
    </row>
    <row r="24" spans="3:21" ht="14.25">
      <c r="C24" s="54"/>
      <c r="D24" s="54"/>
      <c r="E24" s="54"/>
      <c r="F24" s="54"/>
      <c r="G24" s="54"/>
      <c r="H24" s="54"/>
      <c r="I24" s="54"/>
      <c r="J24" s="54"/>
      <c r="K24" s="54"/>
    </row>
    <row r="25" spans="3:21" ht="15.25" thickBot="1">
      <c r="C25" s="47" t="s">
        <v>83</v>
      </c>
      <c r="D25" s="97" t="s">
        <v>128</v>
      </c>
      <c r="E25" s="97" t="s">
        <v>129</v>
      </c>
      <c r="F25" s="97" t="s">
        <v>133</v>
      </c>
      <c r="G25" s="47" t="s">
        <v>88</v>
      </c>
      <c r="H25" s="47"/>
      <c r="I25" s="47" t="s">
        <v>134</v>
      </c>
      <c r="J25" s="47" t="s">
        <v>90</v>
      </c>
      <c r="K25" s="48" t="s">
        <v>95</v>
      </c>
      <c r="L25" s="1041" t="s">
        <v>94</v>
      </c>
      <c r="M25" s="1041"/>
    </row>
    <row r="26" spans="3:21" ht="15.25" thickTop="1">
      <c r="C26">
        <v>2022</v>
      </c>
      <c r="D26" s="25">
        <v>79.819999999999993</v>
      </c>
      <c r="E26" s="25">
        <f>E27*D26/D27</f>
        <v>473.90336604148547</v>
      </c>
      <c r="F26" s="32">
        <f t="shared" ref="F26:F33" si="0">E26*8760</f>
        <v>4151393.4865234126</v>
      </c>
      <c r="G26">
        <v>4.0999999999999996</v>
      </c>
      <c r="H26" s="31">
        <f>F26*1000*G26/10^6</f>
        <v>17020.71329474599</v>
      </c>
      <c r="I26" s="885">
        <v>237.8</v>
      </c>
      <c r="J26" s="31">
        <f>D26*I26/10^6*10^6</f>
        <v>18981.196</v>
      </c>
      <c r="K26" s="99" t="s">
        <v>744</v>
      </c>
      <c r="L26" s="46"/>
      <c r="M26" s="46"/>
    </row>
    <row r="27" spans="3:21" ht="14.5">
      <c r="C27">
        <v>2021</v>
      </c>
      <c r="D27" s="25">
        <v>80.510000000000005</v>
      </c>
      <c r="E27" s="25">
        <v>478</v>
      </c>
      <c r="F27" s="32">
        <f t="shared" si="0"/>
        <v>4187280</v>
      </c>
      <c r="G27" s="25">
        <v>3.8</v>
      </c>
      <c r="H27" s="31">
        <f>F27*1000*G27/10^6</f>
        <v>15911.664000000001</v>
      </c>
      <c r="I27">
        <f>3.8*58</f>
        <v>220.39999999999998</v>
      </c>
      <c r="J27" s="31">
        <f>D27*I27/10^6*10^6</f>
        <v>17744.403999999999</v>
      </c>
      <c r="K27" s="99" t="s">
        <v>745</v>
      </c>
      <c r="L27" s="46"/>
      <c r="M27" s="46"/>
    </row>
    <row r="28" spans="3:21" ht="15.75" customHeight="1">
      <c r="C28">
        <v>2020</v>
      </c>
      <c r="D28" s="25">
        <v>82.53</v>
      </c>
      <c r="E28" s="25">
        <v>489.7</v>
      </c>
      <c r="F28" s="32">
        <f t="shared" si="0"/>
        <v>4289772</v>
      </c>
      <c r="G28" s="25">
        <v>3.7</v>
      </c>
      <c r="H28" s="31">
        <f>F28*1000*G28/10^6</f>
        <v>15872.1564</v>
      </c>
      <c r="I28">
        <v>226.2</v>
      </c>
      <c r="J28" s="31">
        <f t="shared" ref="J28:J33" si="1">D28*I28/10^6*10^6</f>
        <v>18668.286</v>
      </c>
      <c r="K28" s="99" t="s">
        <v>130</v>
      </c>
      <c r="L28" s="1042" t="s">
        <v>97</v>
      </c>
      <c r="M28" s="1042"/>
    </row>
    <row r="29" spans="3:21" ht="14.25" customHeight="1">
      <c r="C29">
        <v>2019</v>
      </c>
      <c r="D29">
        <v>75.430000000000007</v>
      </c>
      <c r="E29">
        <v>456.2</v>
      </c>
      <c r="F29" s="32">
        <f t="shared" si="0"/>
        <v>3996312</v>
      </c>
      <c r="G29">
        <v>3.7</v>
      </c>
      <c r="H29" s="31">
        <f t="shared" ref="H29:H33" si="2">F29*1000*G29/10^6</f>
        <v>14786.3544</v>
      </c>
      <c r="I29">
        <v>197.2</v>
      </c>
      <c r="J29" s="31">
        <f t="shared" si="1"/>
        <v>14874.796</v>
      </c>
      <c r="K29" s="99" t="s">
        <v>131</v>
      </c>
      <c r="L29" s="1042"/>
      <c r="M29" s="1042"/>
    </row>
    <row r="30" spans="3:21" ht="14.25" customHeight="1">
      <c r="C30">
        <v>2018</v>
      </c>
      <c r="D30">
        <v>77.52</v>
      </c>
      <c r="E30">
        <v>472.6</v>
      </c>
      <c r="F30" s="32">
        <f t="shared" si="0"/>
        <v>4139976</v>
      </c>
      <c r="G30">
        <v>3.7</v>
      </c>
      <c r="H30" s="31">
        <f t="shared" si="2"/>
        <v>15317.9112</v>
      </c>
      <c r="I30">
        <v>197.2</v>
      </c>
      <c r="J30" s="31">
        <f t="shared" si="1"/>
        <v>15286.943999999998</v>
      </c>
      <c r="K30" s="99" t="s">
        <v>132</v>
      </c>
      <c r="L30" s="1042"/>
      <c r="M30" s="1042"/>
    </row>
    <row r="31" spans="3:21" ht="14.25" customHeight="1">
      <c r="C31">
        <v>2017</v>
      </c>
      <c r="D31">
        <v>72.64</v>
      </c>
      <c r="E31">
        <v>446</v>
      </c>
      <c r="F31" s="32">
        <f t="shared" si="0"/>
        <v>3906960</v>
      </c>
      <c r="G31">
        <v>3.7</v>
      </c>
      <c r="H31" s="31">
        <f t="shared" si="2"/>
        <v>14455.752</v>
      </c>
      <c r="I31">
        <v>203</v>
      </c>
      <c r="J31" s="31">
        <f t="shared" si="1"/>
        <v>14745.92</v>
      </c>
      <c r="K31" s="99" t="s">
        <v>137</v>
      </c>
      <c r="L31" s="1042"/>
      <c r="M31" s="1042"/>
    </row>
    <row r="32" spans="3:21" ht="14.25" customHeight="1">
      <c r="C32">
        <v>2016</v>
      </c>
      <c r="D32">
        <v>69.45</v>
      </c>
      <c r="E32">
        <v>426</v>
      </c>
      <c r="F32" s="32">
        <f t="shared" si="0"/>
        <v>3731760</v>
      </c>
      <c r="G32">
        <v>3.7</v>
      </c>
      <c r="H32" s="31">
        <f t="shared" si="2"/>
        <v>13807.512000000001</v>
      </c>
      <c r="I32">
        <v>220.4</v>
      </c>
      <c r="J32" s="31">
        <f t="shared" si="1"/>
        <v>15306.78</v>
      </c>
      <c r="K32" s="99" t="s">
        <v>138</v>
      </c>
      <c r="L32" s="1042"/>
      <c r="M32" s="1042"/>
    </row>
    <row r="33" spans="3:13" ht="14.25" customHeight="1">
      <c r="C33">
        <v>2015</v>
      </c>
      <c r="F33" s="32">
        <f t="shared" si="0"/>
        <v>0</v>
      </c>
      <c r="G33">
        <v>3.7</v>
      </c>
      <c r="H33" s="31">
        <f t="shared" si="2"/>
        <v>0</v>
      </c>
      <c r="I33">
        <v>261</v>
      </c>
      <c r="J33" s="31">
        <f t="shared" si="1"/>
        <v>0</v>
      </c>
      <c r="K33" s="99" t="s">
        <v>139</v>
      </c>
      <c r="L33" s="1042"/>
      <c r="M33" s="1042"/>
    </row>
    <row r="34" spans="3:13" ht="14.25" customHeight="1">
      <c r="L34" s="39"/>
      <c r="M34" s="39"/>
    </row>
    <row r="35" spans="3:13" ht="14.25" customHeight="1">
      <c r="G35" s="858" t="s">
        <v>694</v>
      </c>
    </row>
    <row r="36" spans="3:13">
      <c r="G36" s="858"/>
    </row>
    <row r="37" spans="3:13">
      <c r="G37" s="858"/>
    </row>
    <row r="45" spans="3:13">
      <c r="G45" s="858"/>
      <c r="M45" s="858"/>
    </row>
    <row r="46" spans="3:13">
      <c r="M46" s="25"/>
    </row>
    <row r="59" spans="16:16">
      <c r="P59" s="25" t="s">
        <v>688</v>
      </c>
    </row>
    <row r="84" spans="13:13">
      <c r="M84" s="25"/>
    </row>
  </sheetData>
  <mergeCells count="3">
    <mergeCell ref="D7:F7"/>
    <mergeCell ref="L25:M25"/>
    <mergeCell ref="L28:M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D1D03-1111-4588-A619-DB459D40EA78}">
  <dimension ref="A1:CG118"/>
  <sheetViews>
    <sheetView showGridLines="0" topLeftCell="N71" zoomScale="60" zoomScaleNormal="60" workbookViewId="0">
      <selection activeCell="AH99" sqref="AH99"/>
    </sheetView>
  </sheetViews>
  <sheetFormatPr defaultColWidth="9.1328125" defaultRowHeight="13"/>
  <cols>
    <col min="2" max="2" width="18.86328125" customWidth="1"/>
    <col min="7" max="8" width="13.40625" customWidth="1"/>
    <col min="10" max="10" width="12.86328125" customWidth="1"/>
    <col min="11" max="11" width="13.26953125" customWidth="1"/>
    <col min="14" max="15" width="10.1328125" bestFit="1" customWidth="1"/>
    <col min="20" max="20" width="12.86328125" customWidth="1"/>
    <col min="34" max="34" width="11" customWidth="1"/>
    <col min="66" max="66" width="14.54296875" customWidth="1"/>
    <col min="70" max="70" width="10.54296875" bestFit="1" customWidth="1"/>
    <col min="80" max="80" width="12" bestFit="1" customWidth="1"/>
    <col min="84" max="84" width="12" bestFit="1" customWidth="1"/>
  </cols>
  <sheetData>
    <row r="1" spans="1:78" ht="14.25">
      <c r="A1" s="400"/>
      <c r="B1" s="400"/>
      <c r="C1" s="400"/>
      <c r="D1" s="400"/>
      <c r="E1" s="400"/>
      <c r="F1" s="400"/>
      <c r="G1" s="400"/>
      <c r="H1" s="400"/>
      <c r="I1" s="400"/>
      <c r="J1" s="400"/>
      <c r="K1" s="400"/>
    </row>
    <row r="2" spans="1:78" ht="17.5" thickBot="1">
      <c r="A2" s="984" t="s">
        <v>266</v>
      </c>
      <c r="B2" s="984"/>
      <c r="C2" s="984"/>
      <c r="D2" s="984"/>
      <c r="E2" s="984"/>
      <c r="F2" s="984"/>
      <c r="G2" s="984"/>
      <c r="H2" s="984"/>
      <c r="I2" s="984"/>
      <c r="J2" s="984"/>
      <c r="K2" s="984"/>
      <c r="BM2">
        <f>1/12</f>
        <v>8.3333333333333329E-2</v>
      </c>
    </row>
    <row r="3" spans="1:78" ht="25.25">
      <c r="A3" s="985"/>
      <c r="B3" s="986"/>
      <c r="C3" s="991" t="s">
        <v>280</v>
      </c>
      <c r="D3" s="992"/>
      <c r="E3" s="992"/>
      <c r="F3" s="992"/>
      <c r="G3" s="992"/>
      <c r="H3" s="992"/>
      <c r="I3" s="992"/>
      <c r="J3" s="992"/>
      <c r="K3" s="992"/>
      <c r="L3" s="422"/>
      <c r="M3" s="991" t="s">
        <v>281</v>
      </c>
      <c r="N3" s="992"/>
      <c r="O3" s="992"/>
      <c r="P3" s="992"/>
      <c r="Q3" s="992"/>
      <c r="R3" s="992"/>
      <c r="S3" s="992"/>
      <c r="T3" s="992"/>
      <c r="U3" s="992"/>
      <c r="V3" s="423"/>
      <c r="AD3" s="991" t="s">
        <v>364</v>
      </c>
      <c r="AE3" s="992"/>
      <c r="AF3" s="992"/>
      <c r="AG3" s="992"/>
      <c r="AH3" s="992"/>
      <c r="AI3" s="992"/>
      <c r="AJ3" s="992"/>
      <c r="AK3" s="992"/>
      <c r="AL3" s="992"/>
      <c r="BL3" t="s">
        <v>278</v>
      </c>
      <c r="BM3">
        <f>2015+6*BM2</f>
        <v>2015.5</v>
      </c>
      <c r="BN3" s="401">
        <v>54618.400000000001</v>
      </c>
      <c r="BP3" s="133"/>
    </row>
    <row r="4" spans="1:78" ht="25.25">
      <c r="A4" s="987"/>
      <c r="B4" s="988"/>
      <c r="C4" s="323"/>
      <c r="D4" s="324"/>
      <c r="E4" s="325"/>
      <c r="F4" s="327"/>
      <c r="G4" s="994"/>
      <c r="H4" s="328"/>
      <c r="I4" s="1045" t="s">
        <v>363</v>
      </c>
      <c r="J4" s="1046"/>
      <c r="K4" s="1046"/>
      <c r="L4" s="422"/>
      <c r="M4" s="323"/>
      <c r="N4" s="324"/>
      <c r="O4" s="325"/>
      <c r="P4" s="327"/>
      <c r="Q4" s="994"/>
      <c r="R4" s="994"/>
      <c r="S4" s="997" t="s">
        <v>362</v>
      </c>
      <c r="T4" s="998"/>
      <c r="U4" s="998"/>
      <c r="V4" s="423"/>
      <c r="AD4" s="323"/>
      <c r="AE4" s="324"/>
      <c r="AF4" s="325"/>
      <c r="AG4" s="327"/>
      <c r="AH4" s="994"/>
      <c r="AI4" s="994"/>
      <c r="AJ4" s="997" t="s">
        <v>362</v>
      </c>
      <c r="AK4" s="998"/>
      <c r="AL4" s="998"/>
      <c r="BL4" t="s">
        <v>279</v>
      </c>
      <c r="BM4">
        <f t="shared" ref="BM4:BM35" si="0">BM3+$BM$2</f>
        <v>2015.5833333333333</v>
      </c>
      <c r="BN4" s="401">
        <v>48661</v>
      </c>
      <c r="BP4" s="133"/>
      <c r="BW4" s="402" t="s">
        <v>279</v>
      </c>
      <c r="BX4" s="403">
        <v>47144.9</v>
      </c>
    </row>
    <row r="5" spans="1:78" ht="25.25">
      <c r="A5" s="989"/>
      <c r="B5" s="990"/>
      <c r="C5" s="329"/>
      <c r="D5" s="330"/>
      <c r="E5" s="331"/>
      <c r="F5" s="333"/>
      <c r="G5" s="995"/>
      <c r="H5" s="334"/>
      <c r="I5" s="335"/>
      <c r="J5" s="336"/>
      <c r="K5" s="336"/>
      <c r="L5" s="422"/>
      <c r="M5" s="329"/>
      <c r="N5" s="330"/>
      <c r="O5" s="331"/>
      <c r="P5" s="333"/>
      <c r="Q5" s="995"/>
      <c r="R5" s="995"/>
      <c r="S5" s="1043"/>
      <c r="T5" s="1044"/>
      <c r="U5" s="1044"/>
      <c r="V5" s="423"/>
      <c r="AD5" s="329"/>
      <c r="AE5" s="330"/>
      <c r="AF5" s="331"/>
      <c r="AG5" s="333"/>
      <c r="AH5" s="995"/>
      <c r="AI5" s="995"/>
      <c r="AJ5" s="1043"/>
      <c r="AK5" s="1044"/>
      <c r="AL5" s="1044"/>
      <c r="BL5" t="s">
        <v>282</v>
      </c>
      <c r="BM5">
        <f t="shared" si="0"/>
        <v>2015.6666666666665</v>
      </c>
      <c r="BN5" s="401">
        <v>56252.4</v>
      </c>
      <c r="BP5" s="133"/>
      <c r="BW5" s="402" t="s">
        <v>282</v>
      </c>
      <c r="BX5" s="403">
        <v>47830.5</v>
      </c>
    </row>
    <row r="6" spans="1:78" ht="14.75">
      <c r="A6" s="338"/>
      <c r="B6" s="339"/>
      <c r="C6" s="340"/>
      <c r="D6" s="341">
        <v>28</v>
      </c>
      <c r="E6" s="342">
        <v>265</v>
      </c>
      <c r="F6" s="343"/>
      <c r="G6" s="996"/>
      <c r="H6" s="334"/>
      <c r="I6" s="344"/>
      <c r="J6" s="414"/>
      <c r="K6" s="345"/>
      <c r="L6" s="422"/>
      <c r="M6" s="340"/>
      <c r="N6" s="341">
        <v>28</v>
      </c>
      <c r="O6" s="341">
        <v>265</v>
      </c>
      <c r="P6" s="343"/>
      <c r="Q6" s="996"/>
      <c r="R6" s="996"/>
      <c r="S6" s="344"/>
      <c r="T6" s="414"/>
      <c r="U6" s="345"/>
      <c r="V6" s="423"/>
      <c r="AD6" s="340"/>
      <c r="AE6" s="341">
        <v>28</v>
      </c>
      <c r="AF6" s="342">
        <v>265</v>
      </c>
      <c r="AG6" s="343"/>
      <c r="AH6" s="996"/>
      <c r="AI6" s="996"/>
      <c r="AJ6" s="344"/>
      <c r="AK6" s="414"/>
      <c r="AL6" s="345"/>
      <c r="BL6" t="s">
        <v>283</v>
      </c>
      <c r="BM6">
        <f t="shared" si="0"/>
        <v>2015.7499999999998</v>
      </c>
      <c r="BN6" s="401">
        <v>50844.5</v>
      </c>
      <c r="BP6" s="133"/>
      <c r="BW6" s="402" t="s">
        <v>283</v>
      </c>
      <c r="BX6" s="403">
        <v>46838</v>
      </c>
    </row>
    <row r="7" spans="1:78" ht="27.5" thickBot="1">
      <c r="A7" s="1025" t="s">
        <v>268</v>
      </c>
      <c r="B7" s="1026"/>
      <c r="C7" s="347" t="s">
        <v>176</v>
      </c>
      <c r="D7" s="348" t="s">
        <v>177</v>
      </c>
      <c r="E7" s="349" t="s">
        <v>178</v>
      </c>
      <c r="F7" s="404"/>
      <c r="G7" s="350" t="s">
        <v>164</v>
      </c>
      <c r="H7" s="405" t="s">
        <v>11</v>
      </c>
      <c r="I7" s="351"/>
      <c r="J7" s="419" t="s">
        <v>350</v>
      </c>
      <c r="K7" s="420" t="s">
        <v>65</v>
      </c>
      <c r="L7" s="422"/>
      <c r="M7" s="347" t="s">
        <v>176</v>
      </c>
      <c r="N7" s="348" t="s">
        <v>177</v>
      </c>
      <c r="O7" s="349" t="s">
        <v>178</v>
      </c>
      <c r="P7" s="404"/>
      <c r="Q7" s="350" t="s">
        <v>164</v>
      </c>
      <c r="R7" s="350" t="s">
        <v>11</v>
      </c>
      <c r="S7" s="351"/>
      <c r="T7" s="419" t="s">
        <v>350</v>
      </c>
      <c r="U7" s="420" t="s">
        <v>65</v>
      </c>
      <c r="V7" s="423"/>
      <c r="AD7" s="347" t="s">
        <v>176</v>
      </c>
      <c r="AE7" s="348" t="s">
        <v>177</v>
      </c>
      <c r="AF7" s="349" t="s">
        <v>178</v>
      </c>
      <c r="AG7" s="355" t="s">
        <v>273</v>
      </c>
      <c r="AH7" s="355" t="s">
        <v>273</v>
      </c>
      <c r="AI7" s="355" t="s">
        <v>273</v>
      </c>
      <c r="AJ7" s="351"/>
      <c r="AK7" s="419" t="s">
        <v>350</v>
      </c>
      <c r="AL7" s="420" t="s">
        <v>65</v>
      </c>
      <c r="BL7" t="s">
        <v>284</v>
      </c>
      <c r="BM7">
        <f t="shared" si="0"/>
        <v>2015.833333333333</v>
      </c>
      <c r="BN7" s="401">
        <v>51994.1</v>
      </c>
      <c r="BP7" s="133"/>
      <c r="BW7" s="402" t="s">
        <v>284</v>
      </c>
      <c r="BX7" s="403">
        <v>51495.7</v>
      </c>
    </row>
    <row r="8" spans="1:78" ht="27.5" thickBot="1">
      <c r="A8" s="352"/>
      <c r="B8" s="353" t="s">
        <v>65</v>
      </c>
      <c r="C8" s="1031" t="s">
        <v>287</v>
      </c>
      <c r="D8" s="1032"/>
      <c r="E8" s="1032"/>
      <c r="F8" s="354" t="s">
        <v>273</v>
      </c>
      <c r="G8" s="355" t="s">
        <v>273</v>
      </c>
      <c r="H8" s="356"/>
      <c r="I8" s="357"/>
      <c r="J8" s="415"/>
      <c r="K8" s="421"/>
      <c r="L8" s="422"/>
      <c r="M8" s="1031" t="s">
        <v>287</v>
      </c>
      <c r="N8" s="1032"/>
      <c r="O8" s="1032"/>
      <c r="P8" s="354" t="s">
        <v>273</v>
      </c>
      <c r="Q8" s="355" t="s">
        <v>273</v>
      </c>
      <c r="R8" s="355"/>
      <c r="S8" s="357"/>
      <c r="T8" s="415"/>
      <c r="U8" s="421"/>
      <c r="V8" s="423"/>
      <c r="AD8" s="1031" t="s">
        <v>287</v>
      </c>
      <c r="AE8" s="1032"/>
      <c r="AF8" s="1032"/>
      <c r="AG8" s="404" t="s">
        <v>65</v>
      </c>
      <c r="AH8" s="350" t="s">
        <v>164</v>
      </c>
      <c r="AI8" s="350" t="s">
        <v>11</v>
      </c>
      <c r="AJ8" s="357"/>
      <c r="AK8" s="415"/>
      <c r="AL8" s="421"/>
      <c r="BL8" t="s">
        <v>285</v>
      </c>
      <c r="BM8">
        <f t="shared" si="0"/>
        <v>2015.9166666666663</v>
      </c>
      <c r="BN8" s="401">
        <v>57347.5</v>
      </c>
      <c r="BP8" s="133"/>
      <c r="BW8" s="402" t="s">
        <v>285</v>
      </c>
      <c r="BX8" s="403">
        <v>48080.800000000003</v>
      </c>
    </row>
    <row r="9" spans="1:78" ht="15" customHeight="1">
      <c r="A9" s="976">
        <v>2016</v>
      </c>
      <c r="B9" s="358" t="s">
        <v>289</v>
      </c>
      <c r="C9" s="359">
        <v>62.2</v>
      </c>
      <c r="D9" s="360">
        <f>0.725/1000</f>
        <v>7.2499999999999995E-4</v>
      </c>
      <c r="E9" s="361">
        <f>2.47/1000</f>
        <v>2.4700000000000004E-3</v>
      </c>
      <c r="F9" s="362">
        <f>C9+D9*$D$6+E9*$E$6</f>
        <v>62.874850000000002</v>
      </c>
      <c r="G9" s="406">
        <f>F9</f>
        <v>62.874850000000002</v>
      </c>
      <c r="H9" s="406">
        <v>3</v>
      </c>
      <c r="I9" s="363"/>
      <c r="J9" s="364"/>
      <c r="K9" s="365"/>
      <c r="L9" s="423"/>
      <c r="M9" s="359">
        <v>0</v>
      </c>
      <c r="N9" s="360">
        <v>0</v>
      </c>
      <c r="O9" s="361">
        <v>0</v>
      </c>
      <c r="P9" s="362">
        <f>M9+N9*$N$6+O9*$O$6</f>
        <v>0</v>
      </c>
      <c r="Q9" s="406">
        <f>P9</f>
        <v>0</v>
      </c>
      <c r="R9" s="406">
        <v>0</v>
      </c>
      <c r="S9" s="363"/>
      <c r="T9" s="364"/>
      <c r="U9" s="365"/>
      <c r="V9" s="423"/>
      <c r="AD9" s="359">
        <f t="shared" ref="AD9:AD40" si="1">M9+C9</f>
        <v>62.2</v>
      </c>
      <c r="AE9" s="360">
        <f t="shared" ref="AE9:AE40" si="2">N9+D9</f>
        <v>7.2499999999999995E-4</v>
      </c>
      <c r="AF9" s="361">
        <f t="shared" ref="AF9:AF40" si="3">O9+E9</f>
        <v>2.4700000000000004E-3</v>
      </c>
      <c r="AG9" s="362">
        <f>AD9+AE9*$AE$6+AF9*$AF$6</f>
        <v>62.874850000000002</v>
      </c>
      <c r="AH9" s="406">
        <f>AG9</f>
        <v>62.874850000000002</v>
      </c>
      <c r="AI9" s="406">
        <f t="shared" ref="AI9:AI40" si="4">R9+H9</f>
        <v>3</v>
      </c>
      <c r="AJ9" s="363"/>
      <c r="AK9" s="364"/>
      <c r="AL9" s="365"/>
      <c r="BL9" t="s">
        <v>286</v>
      </c>
      <c r="BM9">
        <f t="shared" si="0"/>
        <v>2015.9999999999995</v>
      </c>
      <c r="BN9" s="401">
        <v>46533.1</v>
      </c>
      <c r="BP9" s="133"/>
      <c r="BW9" s="402" t="s">
        <v>286</v>
      </c>
      <c r="BX9" s="403">
        <v>45877.599999999999</v>
      </c>
    </row>
    <row r="10" spans="1:78" ht="14.75">
      <c r="A10" s="969"/>
      <c r="B10" s="366" t="s">
        <v>291</v>
      </c>
      <c r="C10" s="367">
        <v>8500</v>
      </c>
      <c r="D10" s="368">
        <f>108/1000</f>
        <v>0.108</v>
      </c>
      <c r="E10" s="369">
        <v>0.34399999999999997</v>
      </c>
      <c r="F10" s="370">
        <f t="shared" ref="F10:F60" si="5">C10+D10*$D$6+E10*$E$6</f>
        <v>8594.1839999999993</v>
      </c>
      <c r="G10" s="407">
        <f>F10+F9</f>
        <v>8657.0588499999994</v>
      </c>
      <c r="H10" s="407">
        <v>233</v>
      </c>
      <c r="I10" s="363"/>
      <c r="J10" s="364"/>
      <c r="K10" s="371"/>
      <c r="L10" s="423"/>
      <c r="M10" s="367">
        <v>19.5</v>
      </c>
      <c r="N10" s="368">
        <f>0.232/1000</f>
        <v>2.32E-4</v>
      </c>
      <c r="O10" s="369">
        <f>0.77/1000</f>
        <v>7.7000000000000007E-4</v>
      </c>
      <c r="P10" s="370">
        <f>M10+N10*$N$6+O10*$O$6</f>
        <v>19.710545999999997</v>
      </c>
      <c r="Q10" s="407">
        <f>P10+P9</f>
        <v>19.710545999999997</v>
      </c>
      <c r="R10" s="407">
        <v>4</v>
      </c>
      <c r="S10" s="363"/>
      <c r="T10" s="364"/>
      <c r="U10" s="371"/>
      <c r="V10" s="423"/>
      <c r="AD10" s="367">
        <f t="shared" si="1"/>
        <v>8519.5</v>
      </c>
      <c r="AE10" s="368">
        <f t="shared" si="2"/>
        <v>0.10823199999999999</v>
      </c>
      <c r="AF10" s="369">
        <f t="shared" si="3"/>
        <v>0.34476999999999997</v>
      </c>
      <c r="AG10" s="370">
        <f t="shared" ref="AG10:AG60" si="6">AD10+AE10*$AE$6+AF10*$AF$6</f>
        <v>8613.8945459999995</v>
      </c>
      <c r="AH10" s="407">
        <f>AG10+AG9</f>
        <v>8676.7693959999997</v>
      </c>
      <c r="AI10" s="407">
        <f t="shared" si="4"/>
        <v>237</v>
      </c>
      <c r="AJ10" s="363"/>
      <c r="AK10" s="364"/>
      <c r="AL10" s="371"/>
      <c r="BL10" t="s">
        <v>288</v>
      </c>
      <c r="BM10">
        <f t="shared" si="0"/>
        <v>2016.0833333333328</v>
      </c>
      <c r="BN10" s="401">
        <v>45365.2</v>
      </c>
      <c r="BP10" s="133"/>
      <c r="BW10" s="402" t="s">
        <v>288</v>
      </c>
      <c r="BX10" s="403">
        <v>42520.5</v>
      </c>
    </row>
    <row r="11" spans="1:78" ht="14.75">
      <c r="A11" s="969"/>
      <c r="B11" s="366" t="s">
        <v>293</v>
      </c>
      <c r="C11" s="367">
        <v>1500</v>
      </c>
      <c r="D11" s="368">
        <f>17.6/1000</f>
        <v>1.7600000000000001E-2</v>
      </c>
      <c r="E11" s="369">
        <f>64.9/1000</f>
        <v>6.4899999999999999E-2</v>
      </c>
      <c r="F11" s="370">
        <f t="shared" si="5"/>
        <v>1517.6913</v>
      </c>
      <c r="G11" s="407">
        <f>F11+F10+F9</f>
        <v>10174.75015</v>
      </c>
      <c r="H11" s="407">
        <v>144</v>
      </c>
      <c r="I11" s="372"/>
      <c r="J11" s="364"/>
      <c r="K11" s="364"/>
      <c r="L11" s="423"/>
      <c r="M11" s="367">
        <v>20.3</v>
      </c>
      <c r="N11" s="368">
        <f>0.234/1000</f>
        <v>2.3400000000000002E-4</v>
      </c>
      <c r="O11" s="369">
        <f>0.877/1000</f>
        <v>8.7699999999999996E-4</v>
      </c>
      <c r="P11" s="370">
        <f>M11+N11*$N$6+O11*$O$6</f>
        <v>20.538957</v>
      </c>
      <c r="Q11" s="407">
        <f>P11+P10+P9</f>
        <v>40.249502999999997</v>
      </c>
      <c r="R11" s="407">
        <v>3</v>
      </c>
      <c r="S11" s="372"/>
      <c r="T11" s="364"/>
      <c r="U11" s="364"/>
      <c r="V11" s="423"/>
      <c r="AD11" s="367">
        <f t="shared" si="1"/>
        <v>1520.3</v>
      </c>
      <c r="AE11" s="368">
        <f t="shared" si="2"/>
        <v>1.7834000000000003E-2</v>
      </c>
      <c r="AF11" s="369">
        <f t="shared" si="3"/>
        <v>6.5777000000000002E-2</v>
      </c>
      <c r="AG11" s="370">
        <f t="shared" si="6"/>
        <v>1538.2302569999999</v>
      </c>
      <c r="AH11" s="407">
        <f>AG11+AG10+AG9</f>
        <v>10214.999652999999</v>
      </c>
      <c r="AI11" s="407">
        <f t="shared" si="4"/>
        <v>147</v>
      </c>
      <c r="AJ11" s="372"/>
      <c r="AK11" s="364"/>
      <c r="AL11" s="364"/>
      <c r="BL11" t="s">
        <v>290</v>
      </c>
      <c r="BM11">
        <f t="shared" si="0"/>
        <v>2016.1666666666661</v>
      </c>
      <c r="BN11" s="401">
        <v>66309</v>
      </c>
      <c r="BP11" s="133"/>
      <c r="BW11" s="402" t="s">
        <v>290</v>
      </c>
      <c r="BX11" s="403">
        <v>44203.1</v>
      </c>
    </row>
    <row r="12" spans="1:78" ht="14.75">
      <c r="A12" s="969"/>
      <c r="B12" s="366" t="s">
        <v>295</v>
      </c>
      <c r="C12" s="367">
        <v>78.2</v>
      </c>
      <c r="D12" s="368">
        <f>0.819/1000</f>
        <v>8.1899999999999996E-4</v>
      </c>
      <c r="E12" s="369">
        <f>3.51/1000</f>
        <v>3.5099999999999997E-3</v>
      </c>
      <c r="F12" s="370">
        <f t="shared" si="5"/>
        <v>79.153081999999998</v>
      </c>
      <c r="G12" s="407">
        <f>SUM(F9:F12)</f>
        <v>10253.903232000001</v>
      </c>
      <c r="H12" s="407">
        <v>6</v>
      </c>
      <c r="I12" s="372"/>
      <c r="J12" s="364"/>
      <c r="K12" s="364"/>
      <c r="L12" s="423"/>
      <c r="M12" s="367">
        <v>1100</v>
      </c>
      <c r="N12" s="368">
        <f>13.2/1000</f>
        <v>1.32E-2</v>
      </c>
      <c r="O12" s="369">
        <f>43.8/1000</f>
        <v>4.3799999999999999E-2</v>
      </c>
      <c r="P12" s="370">
        <f t="shared" ref="P12:P59" si="7">M12+N12*$N$6+O12*$O$6</f>
        <v>1111.9766</v>
      </c>
      <c r="Q12" s="407">
        <f>SUM(P9:P12)</f>
        <v>1152.226103</v>
      </c>
      <c r="R12" s="407">
        <v>106</v>
      </c>
      <c r="S12" s="372"/>
      <c r="T12" s="364"/>
      <c r="U12" s="364"/>
      <c r="V12" s="423"/>
      <c r="AD12" s="367">
        <f t="shared" si="1"/>
        <v>1178.2</v>
      </c>
      <c r="AE12" s="368">
        <f t="shared" si="2"/>
        <v>1.4019E-2</v>
      </c>
      <c r="AF12" s="369">
        <f t="shared" si="3"/>
        <v>4.7309999999999998E-2</v>
      </c>
      <c r="AG12" s="370">
        <f t="shared" si="6"/>
        <v>1191.1296820000002</v>
      </c>
      <c r="AH12" s="407">
        <f>SUM(AG9:AG12)</f>
        <v>11406.129335</v>
      </c>
      <c r="AI12" s="407">
        <f t="shared" si="4"/>
        <v>112</v>
      </c>
      <c r="AJ12" s="372"/>
      <c r="AK12" s="364"/>
      <c r="AL12" s="364"/>
      <c r="BL12" t="s">
        <v>292</v>
      </c>
      <c r="BM12">
        <f t="shared" si="0"/>
        <v>2016.2499999999993</v>
      </c>
      <c r="BN12" s="401">
        <v>53810.1</v>
      </c>
      <c r="BP12" s="133"/>
      <c r="BW12" s="402" t="s">
        <v>292</v>
      </c>
      <c r="BX12" s="403">
        <v>47222.8</v>
      </c>
    </row>
    <row r="13" spans="1:78" ht="14.75">
      <c r="A13" s="969"/>
      <c r="B13" s="400" t="s">
        <v>297</v>
      </c>
      <c r="C13" s="367">
        <f>SUM(C9:C12)</f>
        <v>10140.400000000001</v>
      </c>
      <c r="D13" s="368">
        <f>SUM(D9:D12)</f>
        <v>0.12714399999999998</v>
      </c>
      <c r="E13" s="369">
        <f>SUM(E9:E12)</f>
        <v>0.41488000000000003</v>
      </c>
      <c r="F13" s="408">
        <f t="shared" si="5"/>
        <v>10253.903232000001</v>
      </c>
      <c r="G13" s="407">
        <f>SUM(F13)</f>
        <v>10253.903232000001</v>
      </c>
      <c r="H13" s="407">
        <f>SUM(H9:H12)</f>
        <v>386</v>
      </c>
      <c r="I13" s="372"/>
      <c r="J13" s="364"/>
      <c r="K13" s="364"/>
      <c r="L13" s="423"/>
      <c r="M13" s="367">
        <f>SUM(M9:M12)</f>
        <v>1139.8</v>
      </c>
      <c r="N13" s="368">
        <f>SUM(N9:N12)</f>
        <v>1.3665999999999999E-2</v>
      </c>
      <c r="O13" s="369">
        <f>SUM(O9:O12)</f>
        <v>4.5447000000000001E-2</v>
      </c>
      <c r="P13" s="408">
        <f t="shared" si="7"/>
        <v>1152.226103</v>
      </c>
      <c r="Q13" s="407">
        <f>SUM(P13)</f>
        <v>1152.226103</v>
      </c>
      <c r="R13" s="407">
        <f>SUM(R9:R12)</f>
        <v>113</v>
      </c>
      <c r="S13" s="372"/>
      <c r="T13" s="364"/>
      <c r="U13" s="364"/>
      <c r="V13" s="423"/>
      <c r="AD13" s="367">
        <f t="shared" si="1"/>
        <v>11280.2</v>
      </c>
      <c r="AE13" s="368">
        <f t="shared" si="2"/>
        <v>0.14080999999999999</v>
      </c>
      <c r="AF13" s="369">
        <f t="shared" si="3"/>
        <v>0.46032700000000004</v>
      </c>
      <c r="AG13" s="408">
        <f t="shared" si="6"/>
        <v>11406.129335000001</v>
      </c>
      <c r="AH13" s="407">
        <f>SUM(AG13)</f>
        <v>11406.129335000001</v>
      </c>
      <c r="AI13" s="407">
        <f t="shared" si="4"/>
        <v>499</v>
      </c>
      <c r="AJ13" s="372"/>
      <c r="AK13" s="364"/>
      <c r="AL13" s="364"/>
      <c r="BL13" t="s">
        <v>294</v>
      </c>
      <c r="BM13">
        <f t="shared" si="0"/>
        <v>2016.3333333333326</v>
      </c>
      <c r="BN13" s="401">
        <v>64035.6</v>
      </c>
      <c r="BP13" s="133"/>
      <c r="BW13" s="402" t="s">
        <v>294</v>
      </c>
      <c r="BX13" s="403">
        <v>46768.7</v>
      </c>
    </row>
    <row r="14" spans="1:78" ht="18">
      <c r="A14" s="969"/>
      <c r="B14" s="366" t="s">
        <v>299</v>
      </c>
      <c r="C14" s="367">
        <v>0</v>
      </c>
      <c r="D14" s="368">
        <v>0</v>
      </c>
      <c r="E14" s="369">
        <v>0</v>
      </c>
      <c r="F14" s="408">
        <f t="shared" si="5"/>
        <v>0</v>
      </c>
      <c r="G14" s="407">
        <f>F13+F14</f>
        <v>10253.903232000001</v>
      </c>
      <c r="H14" s="407">
        <v>0</v>
      </c>
      <c r="I14" s="372"/>
      <c r="J14" s="364"/>
      <c r="K14" s="364"/>
      <c r="L14" s="423"/>
      <c r="M14" s="367">
        <v>242</v>
      </c>
      <c r="N14" s="368">
        <f>3.12/1000</f>
        <v>3.1199999999999999E-3</v>
      </c>
      <c r="O14" s="369">
        <f>10.3/1000</f>
        <v>1.03E-2</v>
      </c>
      <c r="P14" s="408">
        <f>M14+N14*$N$6+O14*$O$6</f>
        <v>244.81685999999999</v>
      </c>
      <c r="Q14" s="407">
        <f>P13+P14</f>
        <v>1397.0429629999999</v>
      </c>
      <c r="R14" s="407">
        <v>8</v>
      </c>
      <c r="S14" s="372"/>
      <c r="T14" s="364"/>
      <c r="U14" s="364"/>
      <c r="V14" s="423"/>
      <c r="AD14" s="367">
        <f t="shared" si="1"/>
        <v>242</v>
      </c>
      <c r="AE14" s="368">
        <f t="shared" si="2"/>
        <v>3.1199999999999999E-3</v>
      </c>
      <c r="AF14" s="369">
        <f t="shared" si="3"/>
        <v>1.03E-2</v>
      </c>
      <c r="AG14" s="408">
        <f t="shared" si="6"/>
        <v>244.81685999999999</v>
      </c>
      <c r="AH14" s="407">
        <f>AG13+AG14</f>
        <v>11650.946195000002</v>
      </c>
      <c r="AI14" s="407">
        <f t="shared" si="4"/>
        <v>8</v>
      </c>
      <c r="AJ14" s="372"/>
      <c r="AK14" s="364"/>
      <c r="AL14" s="364"/>
      <c r="AO14" s="430" t="s">
        <v>301</v>
      </c>
      <c r="BL14" t="s">
        <v>296</v>
      </c>
      <c r="BM14">
        <f t="shared" si="0"/>
        <v>2016.4166666666658</v>
      </c>
      <c r="BN14" s="401">
        <v>63030.7</v>
      </c>
      <c r="BP14" s="133"/>
      <c r="BW14" s="402" t="s">
        <v>296</v>
      </c>
      <c r="BX14" s="403">
        <v>48352.9</v>
      </c>
    </row>
    <row r="15" spans="1:78" ht="14.75">
      <c r="A15" s="969"/>
      <c r="B15" s="366" t="s">
        <v>301</v>
      </c>
      <c r="C15" s="367">
        <v>12500</v>
      </c>
      <c r="D15" s="368">
        <v>0.124</v>
      </c>
      <c r="E15" s="369">
        <v>0.46500000000000002</v>
      </c>
      <c r="F15" s="370">
        <f t="shared" si="5"/>
        <v>12626.697</v>
      </c>
      <c r="G15" s="407">
        <f>F15+F14+F13</f>
        <v>22880.600232000001</v>
      </c>
      <c r="H15" s="407">
        <v>62</v>
      </c>
      <c r="I15" s="372"/>
      <c r="J15" s="364"/>
      <c r="K15" s="364"/>
      <c r="L15" s="423"/>
      <c r="M15" s="367">
        <v>1200</v>
      </c>
      <c r="N15" s="368">
        <f>14.7/1000</f>
        <v>1.47E-2</v>
      </c>
      <c r="O15" s="369">
        <f>47.5/1000</f>
        <v>4.7500000000000001E-2</v>
      </c>
      <c r="P15" s="370">
        <f t="shared" si="7"/>
        <v>1212.9991</v>
      </c>
      <c r="Q15" s="407">
        <f>P15+P14+P13</f>
        <v>2610.0420629999999</v>
      </c>
      <c r="R15" s="407">
        <v>40</v>
      </c>
      <c r="S15" s="372"/>
      <c r="T15" s="364"/>
      <c r="U15" s="364"/>
      <c r="V15" s="423"/>
      <c r="AD15" s="367">
        <f t="shared" si="1"/>
        <v>13700</v>
      </c>
      <c r="AE15" s="368">
        <f t="shared" si="2"/>
        <v>0.13869999999999999</v>
      </c>
      <c r="AF15" s="369">
        <f t="shared" si="3"/>
        <v>0.51250000000000007</v>
      </c>
      <c r="AG15" s="370">
        <f t="shared" si="6"/>
        <v>13839.696099999999</v>
      </c>
      <c r="AH15" s="407">
        <f>AG15+AG14+AG13</f>
        <v>25490.642295000001</v>
      </c>
      <c r="AI15" s="407">
        <f t="shared" si="4"/>
        <v>102</v>
      </c>
      <c r="AJ15" s="372"/>
      <c r="AK15" s="364"/>
      <c r="AL15" s="364"/>
      <c r="BL15" t="s">
        <v>298</v>
      </c>
      <c r="BM15">
        <f t="shared" si="0"/>
        <v>2016.4999999999991</v>
      </c>
      <c r="BN15" s="401">
        <v>53653.5</v>
      </c>
      <c r="BP15" s="133">
        <f>(BN15-BN3)/BN3</f>
        <v>-1.76662077248693E-2</v>
      </c>
      <c r="BW15" s="402" t="s">
        <v>298</v>
      </c>
      <c r="BX15" s="403">
        <v>43861.5</v>
      </c>
      <c r="BZ15" s="133" t="e">
        <f>(BX15-BX3)/BX3</f>
        <v>#DIV/0!</v>
      </c>
    </row>
    <row r="16" spans="1:78" ht="14.75">
      <c r="A16" s="969"/>
      <c r="B16" s="366" t="s">
        <v>303</v>
      </c>
      <c r="C16" s="367">
        <f>C15+C14</f>
        <v>12500</v>
      </c>
      <c r="D16" s="368">
        <f>D15+D14</f>
        <v>0.124</v>
      </c>
      <c r="E16" s="369">
        <f>E15+E14</f>
        <v>0.46500000000000002</v>
      </c>
      <c r="F16" s="370">
        <f t="shared" si="5"/>
        <v>12626.697</v>
      </c>
      <c r="G16" s="407">
        <f>F16+F13</f>
        <v>22880.600232000001</v>
      </c>
      <c r="H16" s="407">
        <f>H15+H14</f>
        <v>62</v>
      </c>
      <c r="I16" s="372"/>
      <c r="J16" s="364"/>
      <c r="K16" s="364"/>
      <c r="L16" s="423"/>
      <c r="M16" s="367">
        <f>M15+M14</f>
        <v>1442</v>
      </c>
      <c r="N16" s="368">
        <f>N15+N14</f>
        <v>1.7819999999999999E-2</v>
      </c>
      <c r="O16" s="369">
        <f>O15+O14</f>
        <v>5.7800000000000004E-2</v>
      </c>
      <c r="P16" s="370">
        <f t="shared" si="7"/>
        <v>1457.8159599999999</v>
      </c>
      <c r="Q16" s="407">
        <f>P16+P13</f>
        <v>2610.0420629999999</v>
      </c>
      <c r="R16" s="407">
        <f>R15+R14</f>
        <v>48</v>
      </c>
      <c r="S16" s="372"/>
      <c r="T16" s="364"/>
      <c r="U16" s="364"/>
      <c r="V16" s="423"/>
      <c r="AD16" s="367">
        <f t="shared" si="1"/>
        <v>13942</v>
      </c>
      <c r="AE16" s="368">
        <f t="shared" si="2"/>
        <v>0.14182</v>
      </c>
      <c r="AF16" s="369">
        <f t="shared" si="3"/>
        <v>0.52280000000000004</v>
      </c>
      <c r="AG16" s="370">
        <f t="shared" si="6"/>
        <v>14084.51296</v>
      </c>
      <c r="AH16" s="407">
        <f>AG16+AG13</f>
        <v>25490.642295000001</v>
      </c>
      <c r="AI16" s="407">
        <f t="shared" si="4"/>
        <v>110</v>
      </c>
      <c r="AJ16" s="372"/>
      <c r="AK16" s="364"/>
      <c r="AL16" s="364"/>
      <c r="AO16" s="218" t="s">
        <v>344</v>
      </c>
      <c r="AP16" s="25" t="s">
        <v>125</v>
      </c>
      <c r="BL16" t="s">
        <v>300</v>
      </c>
      <c r="BM16">
        <f t="shared" si="0"/>
        <v>2016.5833333333323</v>
      </c>
      <c r="BN16" s="401">
        <v>53547.7</v>
      </c>
      <c r="BP16" s="133">
        <f t="shared" ref="BP16:BP21" si="8">(BN16-BN4)/BN4</f>
        <v>0.100423336963893</v>
      </c>
      <c r="BW16" s="402" t="s">
        <v>300</v>
      </c>
      <c r="BX16" s="403">
        <v>40617.4</v>
      </c>
      <c r="BZ16" s="133">
        <f t="shared" ref="BZ16:BZ21" si="9">(BX16-BX4)/BX4</f>
        <v>-0.13845612144685851</v>
      </c>
    </row>
    <row r="17" spans="1:78" ht="14.75">
      <c r="A17" s="969"/>
      <c r="B17" s="366" t="s">
        <v>305</v>
      </c>
      <c r="C17" s="367">
        <f>C16+C13</f>
        <v>22640.400000000001</v>
      </c>
      <c r="D17" s="409">
        <f>D16+D13</f>
        <v>0.25114399999999998</v>
      </c>
      <c r="E17" s="410">
        <f>E16+E13</f>
        <v>0.87988</v>
      </c>
      <c r="F17" s="370">
        <f t="shared" si="5"/>
        <v>22880.600232000001</v>
      </c>
      <c r="G17" s="407">
        <f>F17</f>
        <v>22880.600232000001</v>
      </c>
      <c r="H17" s="407">
        <f>H16+H13</f>
        <v>448</v>
      </c>
      <c r="I17" s="344"/>
      <c r="J17" s="373"/>
      <c r="K17" s="373"/>
      <c r="L17" s="423"/>
      <c r="M17" s="367">
        <f>M16+M13</f>
        <v>2581.8000000000002</v>
      </c>
      <c r="N17" s="409">
        <f>N16+N13</f>
        <v>3.1486E-2</v>
      </c>
      <c r="O17" s="410">
        <f>O16+O13</f>
        <v>0.10324700000000001</v>
      </c>
      <c r="P17" s="370">
        <f t="shared" si="7"/>
        <v>2610.0420630000003</v>
      </c>
      <c r="Q17" s="407">
        <f>P17</f>
        <v>2610.0420630000003</v>
      </c>
      <c r="R17" s="407">
        <f>R16+R13</f>
        <v>161</v>
      </c>
      <c r="S17" s="344"/>
      <c r="T17" s="373"/>
      <c r="U17" s="373"/>
      <c r="V17" s="423"/>
      <c r="AD17" s="367">
        <f t="shared" si="1"/>
        <v>25222.2</v>
      </c>
      <c r="AE17" s="368">
        <f t="shared" si="2"/>
        <v>0.28262999999999999</v>
      </c>
      <c r="AF17" s="369">
        <f t="shared" si="3"/>
        <v>0.98312699999999997</v>
      </c>
      <c r="AG17" s="370">
        <f t="shared" si="6"/>
        <v>25490.642294999998</v>
      </c>
      <c r="AH17" s="407">
        <f>AG17</f>
        <v>25490.642294999998</v>
      </c>
      <c r="AI17" s="407">
        <f t="shared" si="4"/>
        <v>609</v>
      </c>
      <c r="AJ17" s="344"/>
      <c r="AK17" s="373"/>
      <c r="AL17" s="373"/>
      <c r="AO17" s="25" t="s">
        <v>695</v>
      </c>
      <c r="AP17" s="25" t="s">
        <v>696</v>
      </c>
      <c r="AS17" t="s">
        <v>347</v>
      </c>
      <c r="AT17" t="s">
        <v>269</v>
      </c>
      <c r="AU17" s="25" t="s">
        <v>643</v>
      </c>
      <c r="AV17" s="25" t="s">
        <v>644</v>
      </c>
      <c r="AW17" t="s">
        <v>348</v>
      </c>
      <c r="AX17" t="s">
        <v>643</v>
      </c>
      <c r="AY17" t="s">
        <v>349</v>
      </c>
      <c r="AZ17" t="s">
        <v>644</v>
      </c>
      <c r="BA17" t="s">
        <v>350</v>
      </c>
      <c r="BB17" t="s">
        <v>22</v>
      </c>
      <c r="BC17" s="135" t="str">
        <f>AS17</f>
        <v>GRT</v>
      </c>
      <c r="BD17" s="135" t="str">
        <f>AT17</f>
        <v>Farþegar</v>
      </c>
      <c r="BE17" s="135" t="str">
        <f>AW17</f>
        <v>Áhöfn</v>
      </c>
      <c r="BF17" s="135" t="str">
        <f>AY17</f>
        <v>Farþegar og áhöfn</v>
      </c>
      <c r="BG17" s="135" t="str">
        <f>BA17</f>
        <v>Skipakomur</v>
      </c>
      <c r="BH17" s="135" t="str">
        <f>BB17</f>
        <v>Skip</v>
      </c>
      <c r="BI17" s="135"/>
      <c r="BJ17" s="135"/>
      <c r="BL17" t="s">
        <v>302</v>
      </c>
      <c r="BM17">
        <f t="shared" si="0"/>
        <v>2016.6666666666656</v>
      </c>
      <c r="BN17" s="401">
        <v>49609.9</v>
      </c>
      <c r="BP17" s="133">
        <f t="shared" si="8"/>
        <v>-0.11808385064459472</v>
      </c>
      <c r="BW17" s="402" t="s">
        <v>302</v>
      </c>
      <c r="BX17" s="403">
        <v>46332.4</v>
      </c>
      <c r="BZ17" s="133">
        <f t="shared" si="9"/>
        <v>-3.1321019015063581E-2</v>
      </c>
    </row>
    <row r="18" spans="1:78" ht="14.75">
      <c r="A18" s="969"/>
      <c r="B18" s="366" t="s">
        <v>35</v>
      </c>
      <c r="C18" s="367">
        <v>2040</v>
      </c>
      <c r="D18" s="368">
        <f>26.2/1000</f>
        <v>2.6199999999999998E-2</v>
      </c>
      <c r="E18" s="369">
        <f>89.6/1000</f>
        <v>8.9599999999999999E-2</v>
      </c>
      <c r="F18" s="370">
        <f t="shared" si="5"/>
        <v>2064.4776000000002</v>
      </c>
      <c r="G18" s="407">
        <f>F17+F18</f>
        <v>24945.077832000003</v>
      </c>
      <c r="H18" s="407">
        <v>70</v>
      </c>
      <c r="I18" s="344"/>
      <c r="J18" s="373"/>
      <c r="K18" s="373"/>
      <c r="L18" s="423"/>
      <c r="M18" s="367">
        <v>6140</v>
      </c>
      <c r="N18" s="368">
        <f>80/1000</f>
        <v>0.08</v>
      </c>
      <c r="O18" s="369">
        <f>261/1000</f>
        <v>0.26100000000000001</v>
      </c>
      <c r="P18" s="370">
        <f t="shared" si="7"/>
        <v>6211.4049999999997</v>
      </c>
      <c r="Q18" s="407">
        <f>P17+P18</f>
        <v>8821.4470629999996</v>
      </c>
      <c r="R18" s="407">
        <v>513</v>
      </c>
      <c r="S18" s="344"/>
      <c r="T18" s="373"/>
      <c r="U18" s="373"/>
      <c r="V18" s="423"/>
      <c r="AD18" s="367">
        <f t="shared" si="1"/>
        <v>8180</v>
      </c>
      <c r="AE18" s="368">
        <f t="shared" si="2"/>
        <v>0.1062</v>
      </c>
      <c r="AF18" s="369">
        <f t="shared" si="3"/>
        <v>0.35060000000000002</v>
      </c>
      <c r="AG18" s="370">
        <f t="shared" si="6"/>
        <v>8275.8826000000008</v>
      </c>
      <c r="AH18" s="407">
        <f>AG17+AG18</f>
        <v>33766.524894999995</v>
      </c>
      <c r="AI18" s="407">
        <f t="shared" si="4"/>
        <v>583</v>
      </c>
      <c r="AJ18" s="344"/>
      <c r="AK18" s="373"/>
      <c r="AL18" s="373"/>
      <c r="AN18">
        <v>2015</v>
      </c>
      <c r="AO18">
        <v>108</v>
      </c>
      <c r="AS18">
        <v>4044816</v>
      </c>
      <c r="AT18">
        <v>100141</v>
      </c>
      <c r="AU18">
        <v>103182</v>
      </c>
      <c r="AV18">
        <f>AT18/AU18</f>
        <v>0.97052780523734761</v>
      </c>
      <c r="AW18">
        <v>43017</v>
      </c>
      <c r="AX18">
        <v>43614</v>
      </c>
      <c r="AY18">
        <f t="shared" ref="AY18:AY24" si="10">AW18+AT18</f>
        <v>143158</v>
      </c>
      <c r="AZ18">
        <f>AY18/(AX18+AU18)</f>
        <v>0.97521730837352516</v>
      </c>
      <c r="BA18">
        <v>108</v>
      </c>
      <c r="BB18">
        <v>62</v>
      </c>
      <c r="BL18" t="s">
        <v>304</v>
      </c>
      <c r="BM18">
        <f t="shared" si="0"/>
        <v>2016.7499999999989</v>
      </c>
      <c r="BN18" s="401">
        <v>47625.599999999999</v>
      </c>
      <c r="BP18" s="133">
        <f t="shared" si="8"/>
        <v>-6.3308715790301825E-2</v>
      </c>
      <c r="BW18" s="402" t="s">
        <v>304</v>
      </c>
      <c r="BX18" s="403">
        <v>49157</v>
      </c>
      <c r="BZ18" s="133">
        <f t="shared" si="9"/>
        <v>4.9511080746402494E-2</v>
      </c>
    </row>
    <row r="19" spans="1:78" ht="14.75">
      <c r="A19" s="969"/>
      <c r="B19" s="366" t="s">
        <v>308</v>
      </c>
      <c r="C19" s="367">
        <v>0</v>
      </c>
      <c r="D19" s="368">
        <v>0</v>
      </c>
      <c r="E19" s="369">
        <v>0</v>
      </c>
      <c r="F19" s="370">
        <f t="shared" si="5"/>
        <v>0</v>
      </c>
      <c r="G19" s="407">
        <f>SUM(F17:F19)</f>
        <v>24945.077832000003</v>
      </c>
      <c r="H19" s="407">
        <v>0</v>
      </c>
      <c r="I19" s="344"/>
      <c r="J19" s="373"/>
      <c r="K19" s="373"/>
      <c r="L19" s="423"/>
      <c r="M19" s="367">
        <v>4230</v>
      </c>
      <c r="N19" s="368">
        <f>29.5/1000</f>
        <v>2.9499999999999998E-2</v>
      </c>
      <c r="O19" s="369">
        <f>199/1000</f>
        <v>0.19900000000000001</v>
      </c>
      <c r="P19" s="370">
        <f t="shared" si="7"/>
        <v>4283.5609999999997</v>
      </c>
      <c r="Q19" s="407">
        <f>SUM(P17:P19)</f>
        <v>13105.008062999999</v>
      </c>
      <c r="R19" s="407">
        <v>5607</v>
      </c>
      <c r="S19" s="344"/>
      <c r="T19" s="373"/>
      <c r="U19" s="373"/>
      <c r="V19" s="423"/>
      <c r="AD19" s="367">
        <f t="shared" si="1"/>
        <v>4230</v>
      </c>
      <c r="AE19" s="368">
        <f t="shared" si="2"/>
        <v>2.9499999999999998E-2</v>
      </c>
      <c r="AF19" s="369">
        <f t="shared" si="3"/>
        <v>0.19900000000000001</v>
      </c>
      <c r="AG19" s="370">
        <f t="shared" si="6"/>
        <v>4283.5609999999997</v>
      </c>
      <c r="AH19" s="407">
        <f>SUM(AG17:AG19)</f>
        <v>38050.085894999997</v>
      </c>
      <c r="AI19" s="407">
        <f t="shared" si="4"/>
        <v>5607</v>
      </c>
      <c r="AJ19" s="344"/>
      <c r="AK19" s="373"/>
      <c r="AL19" s="373"/>
      <c r="AN19">
        <v>2016</v>
      </c>
      <c r="AO19">
        <v>114</v>
      </c>
      <c r="AP19" s="32">
        <f>AI15</f>
        <v>102</v>
      </c>
      <c r="AQ19" s="133">
        <f t="shared" ref="AQ19:AQ23" si="11">AP19/AO19</f>
        <v>0.89473684210526316</v>
      </c>
      <c r="AS19">
        <v>3972064</v>
      </c>
      <c r="AT19">
        <v>98676</v>
      </c>
      <c r="AU19">
        <v>101688</v>
      </c>
      <c r="AV19">
        <f t="shared" ref="AV19:AV24" si="12">AT19/AU19</f>
        <v>0.97037998583903706</v>
      </c>
      <c r="AW19">
        <v>43806</v>
      </c>
      <c r="AX19">
        <v>43819</v>
      </c>
      <c r="AY19">
        <f t="shared" si="10"/>
        <v>142482</v>
      </c>
      <c r="AZ19">
        <f t="shared" ref="AZ19:AZ24" si="13">AY19/(AX19+AU19)</f>
        <v>0.97921062216938015</v>
      </c>
      <c r="BA19">
        <v>114</v>
      </c>
      <c r="BB19">
        <v>60</v>
      </c>
      <c r="BC19" s="135">
        <f t="shared" ref="BC19:BD24" si="14">(AS19-AS18)/AS18</f>
        <v>-1.79864794838628E-2</v>
      </c>
      <c r="BD19" s="135">
        <f t="shared" si="14"/>
        <v>-1.4629372584655636E-2</v>
      </c>
      <c r="BE19" s="135">
        <f t="shared" ref="BE19:BE24" si="15">(AW19-AW18)/AW18</f>
        <v>1.8341585884650253E-2</v>
      </c>
      <c r="BF19" s="135">
        <f t="shared" ref="BF19:BF24" si="16">(AY19-AY18)/AY18</f>
        <v>-4.7220553514298888E-3</v>
      </c>
      <c r="BG19" s="135">
        <f t="shared" ref="BG19:BH24" si="17">(BA19-BA18)/BA18</f>
        <v>5.5555555555555552E-2</v>
      </c>
      <c r="BH19" s="135">
        <f t="shared" si="17"/>
        <v>-3.2258064516129031E-2</v>
      </c>
      <c r="BI19" s="135"/>
      <c r="BJ19" s="135"/>
      <c r="BL19" t="s">
        <v>306</v>
      </c>
      <c r="BM19">
        <f t="shared" si="0"/>
        <v>2016.8333333333321</v>
      </c>
      <c r="BN19" s="401">
        <v>52639.6</v>
      </c>
      <c r="BP19" s="133">
        <f t="shared" si="8"/>
        <v>1.2414870148728413E-2</v>
      </c>
      <c r="BW19" s="402" t="s">
        <v>306</v>
      </c>
      <c r="BX19" s="403">
        <v>41015.199999999997</v>
      </c>
      <c r="BZ19" s="133">
        <f t="shared" si="9"/>
        <v>-0.20352184745522442</v>
      </c>
    </row>
    <row r="20" spans="1:78" ht="15.5" thickBot="1">
      <c r="A20" s="970"/>
      <c r="B20" s="366" t="s">
        <v>310</v>
      </c>
      <c r="C20" s="375">
        <v>781</v>
      </c>
      <c r="D20" s="376">
        <f>8/1000</f>
        <v>8.0000000000000002E-3</v>
      </c>
      <c r="E20" s="377">
        <f>28.9/1000</f>
        <v>2.8899999999999999E-2</v>
      </c>
      <c r="F20" s="411">
        <f t="shared" si="5"/>
        <v>788.88250000000005</v>
      </c>
      <c r="G20" s="407">
        <f>SUM(F17:F20)</f>
        <v>25733.960332000002</v>
      </c>
      <c r="H20" s="407">
        <v>30</v>
      </c>
      <c r="I20" s="344"/>
      <c r="J20" s="373"/>
      <c r="K20" s="373"/>
      <c r="L20" s="423"/>
      <c r="M20" s="375">
        <v>1170</v>
      </c>
      <c r="N20" s="376">
        <f>7.31/1000</f>
        <v>7.3099999999999997E-3</v>
      </c>
      <c r="O20" s="377">
        <f>31.1/1000</f>
        <v>3.1100000000000003E-2</v>
      </c>
      <c r="P20" s="411">
        <f t="shared" si="7"/>
        <v>1178.4461800000001</v>
      </c>
      <c r="Q20" s="407">
        <f>SUM(P17:P20)</f>
        <v>14283.454243</v>
      </c>
      <c r="R20" s="407">
        <v>114</v>
      </c>
      <c r="S20" s="344"/>
      <c r="T20" s="373"/>
      <c r="U20" s="373"/>
      <c r="V20" s="423"/>
      <c r="AD20" s="375">
        <f t="shared" si="1"/>
        <v>1951</v>
      </c>
      <c r="AE20" s="376">
        <f t="shared" si="2"/>
        <v>1.5310000000000001E-2</v>
      </c>
      <c r="AF20" s="377">
        <f t="shared" si="3"/>
        <v>0.06</v>
      </c>
      <c r="AG20" s="411">
        <f t="shared" si="6"/>
        <v>1967.3286800000001</v>
      </c>
      <c r="AH20" s="407">
        <f>SUM(AG17:AG20)</f>
        <v>40017.414574999995</v>
      </c>
      <c r="AI20" s="407">
        <f t="shared" si="4"/>
        <v>144</v>
      </c>
      <c r="AJ20" s="344"/>
      <c r="AK20" s="373"/>
      <c r="AL20" s="373"/>
      <c r="AN20">
        <v>2017</v>
      </c>
      <c r="AO20">
        <v>135</v>
      </c>
      <c r="AP20" s="32">
        <f>AI28</f>
        <v>129</v>
      </c>
      <c r="AQ20" s="133">
        <f t="shared" si="11"/>
        <v>0.9555555555555556</v>
      </c>
      <c r="AS20">
        <v>4949421</v>
      </c>
      <c r="AT20">
        <v>128275</v>
      </c>
      <c r="AU20">
        <v>129304</v>
      </c>
      <c r="AV20">
        <f t="shared" si="12"/>
        <v>0.9920420095279342</v>
      </c>
      <c r="AW20">
        <v>55400</v>
      </c>
      <c r="AX20">
        <v>55428</v>
      </c>
      <c r="AY20">
        <f t="shared" si="10"/>
        <v>183675</v>
      </c>
      <c r="AZ20">
        <f t="shared" si="13"/>
        <v>0.99427819760517944</v>
      </c>
      <c r="BA20">
        <v>133</v>
      </c>
      <c r="BB20">
        <v>69</v>
      </c>
      <c r="BC20" s="135">
        <f t="shared" si="14"/>
        <v>0.24605771709619986</v>
      </c>
      <c r="BD20" s="135">
        <f t="shared" si="14"/>
        <v>0.29996149012931211</v>
      </c>
      <c r="BE20" s="135">
        <f t="shared" si="15"/>
        <v>0.26466694060174406</v>
      </c>
      <c r="BF20" s="135">
        <f t="shared" si="16"/>
        <v>0.28911020339411292</v>
      </c>
      <c r="BG20" s="135">
        <f t="shared" si="17"/>
        <v>0.16666666666666666</v>
      </c>
      <c r="BH20" s="135">
        <f t="shared" si="17"/>
        <v>0.15</v>
      </c>
      <c r="BI20" s="135"/>
      <c r="BJ20" s="135"/>
      <c r="BL20" t="s">
        <v>307</v>
      </c>
      <c r="BM20">
        <f t="shared" si="0"/>
        <v>2016.9166666666654</v>
      </c>
      <c r="BN20" s="401">
        <v>49451.6</v>
      </c>
      <c r="BP20" s="133">
        <f t="shared" si="8"/>
        <v>-0.13768516500283362</v>
      </c>
      <c r="BW20" s="402" t="s">
        <v>307</v>
      </c>
      <c r="BX20" s="403">
        <v>41515.699999999997</v>
      </c>
      <c r="BZ20" s="133">
        <f t="shared" si="9"/>
        <v>-0.13654306916690248</v>
      </c>
    </row>
    <row r="21" spans="1:78" ht="15.5" thickBot="1">
      <c r="A21" s="379" t="s">
        <v>21</v>
      </c>
      <c r="B21" s="380">
        <f>A9</f>
        <v>2016</v>
      </c>
      <c r="C21" s="381">
        <f>SUM(C17:C20)</f>
        <v>25461.4</v>
      </c>
      <c r="D21" s="412">
        <f>SUM(D17:D20)</f>
        <v>0.28534399999999999</v>
      </c>
      <c r="E21" s="412">
        <f>SUM(E17:E20)</f>
        <v>0.99838000000000005</v>
      </c>
      <c r="F21" s="382">
        <f t="shared" si="5"/>
        <v>25733.960332000002</v>
      </c>
      <c r="G21" s="382">
        <f>G20</f>
        <v>25733.960332000002</v>
      </c>
      <c r="H21" s="382">
        <f>SUM(H17:H20)</f>
        <v>548</v>
      </c>
      <c r="I21" s="383"/>
      <c r="J21" s="384"/>
      <c r="K21" s="384"/>
      <c r="L21" s="423"/>
      <c r="M21" s="381">
        <f>SUM(M17:M20)</f>
        <v>14121.8</v>
      </c>
      <c r="N21" s="412">
        <f>SUM(N17:N20)</f>
        <v>0.14829600000000001</v>
      </c>
      <c r="O21" s="412">
        <f>SUM(O17:O20)</f>
        <v>0.59434700000000007</v>
      </c>
      <c r="P21" s="382">
        <f t="shared" si="7"/>
        <v>14283.454242999998</v>
      </c>
      <c r="Q21" s="382">
        <f>Q20</f>
        <v>14283.454243</v>
      </c>
      <c r="R21" s="382">
        <f>SUM(R17:R20)</f>
        <v>6395</v>
      </c>
      <c r="S21" s="383"/>
      <c r="T21" s="384"/>
      <c r="U21" s="384"/>
      <c r="V21" s="423"/>
      <c r="AD21" s="381">
        <f t="shared" si="1"/>
        <v>39583.199999999997</v>
      </c>
      <c r="AE21" s="381">
        <f t="shared" si="2"/>
        <v>0.43364000000000003</v>
      </c>
      <c r="AF21" s="381">
        <f t="shared" si="3"/>
        <v>1.592727</v>
      </c>
      <c r="AG21" s="382">
        <f t="shared" si="6"/>
        <v>40017.414575000003</v>
      </c>
      <c r="AH21" s="382">
        <f>AH20</f>
        <v>40017.414574999995</v>
      </c>
      <c r="AI21" s="382">
        <f t="shared" si="4"/>
        <v>6943</v>
      </c>
      <c r="AJ21" s="383"/>
      <c r="AK21" s="384"/>
      <c r="AL21" s="384"/>
      <c r="AN21">
        <v>2018</v>
      </c>
      <c r="AO21">
        <v>152</v>
      </c>
      <c r="AP21" s="32">
        <f>AI41</f>
        <v>145</v>
      </c>
      <c r="AQ21" s="133">
        <f t="shared" si="11"/>
        <v>0.95394736842105265</v>
      </c>
      <c r="AS21">
        <v>5700164</v>
      </c>
      <c r="AT21">
        <v>144658</v>
      </c>
      <c r="AU21">
        <v>148539</v>
      </c>
      <c r="AV21">
        <f t="shared" si="12"/>
        <v>0.97387218171658618</v>
      </c>
      <c r="AW21">
        <v>59839</v>
      </c>
      <c r="AX21">
        <v>64151</v>
      </c>
      <c r="AY21">
        <f t="shared" si="10"/>
        <v>204497</v>
      </c>
      <c r="AZ21">
        <f t="shared" si="13"/>
        <v>0.96147914805585599</v>
      </c>
      <c r="BA21">
        <v>166</v>
      </c>
      <c r="BB21">
        <v>72</v>
      </c>
      <c r="BC21" s="135">
        <f t="shared" si="14"/>
        <v>0.15168299483919431</v>
      </c>
      <c r="BD21" s="135">
        <f t="shared" si="14"/>
        <v>0.12771779380237772</v>
      </c>
      <c r="BE21" s="135">
        <f t="shared" si="15"/>
        <v>8.0126353790613725E-2</v>
      </c>
      <c r="BF21" s="135">
        <f t="shared" si="16"/>
        <v>0.11336327752824282</v>
      </c>
      <c r="BG21" s="135">
        <f t="shared" si="17"/>
        <v>0.24812030075187969</v>
      </c>
      <c r="BH21" s="135">
        <f t="shared" si="17"/>
        <v>4.3478260869565216E-2</v>
      </c>
      <c r="BI21" s="135"/>
      <c r="BJ21" s="135"/>
      <c r="BL21" t="s">
        <v>309</v>
      </c>
      <c r="BM21">
        <f t="shared" si="0"/>
        <v>2016.9999999999986</v>
      </c>
      <c r="BN21" s="401">
        <v>46446.7</v>
      </c>
      <c r="BP21" s="133">
        <f t="shared" si="8"/>
        <v>-1.8567428346704057E-3</v>
      </c>
      <c r="BW21" s="402" t="s">
        <v>309</v>
      </c>
      <c r="BX21" s="403">
        <v>37693.599999999999</v>
      </c>
      <c r="BZ21" s="133">
        <f t="shared" si="9"/>
        <v>-0.17838770990635955</v>
      </c>
    </row>
    <row r="22" spans="1:78" ht="15" customHeight="1">
      <c r="A22" s="969">
        <v>2017</v>
      </c>
      <c r="B22" s="358" t="s">
        <v>289</v>
      </c>
      <c r="C22" s="359">
        <v>34.4</v>
      </c>
      <c r="D22" s="360">
        <f>0.454/1000</f>
        <v>4.5400000000000003E-4</v>
      </c>
      <c r="E22" s="361">
        <f>1.44/1000</f>
        <v>1.4399999999999999E-3</v>
      </c>
      <c r="F22" s="362">
        <f t="shared" si="5"/>
        <v>34.794311999999998</v>
      </c>
      <c r="G22" s="406">
        <f>F22</f>
        <v>34.794311999999998</v>
      </c>
      <c r="H22" s="406">
        <v>2</v>
      </c>
      <c r="I22" s="1023" t="s">
        <v>244</v>
      </c>
      <c r="J22" s="416">
        <f>(H22-H9)/H9</f>
        <v>-0.33333333333333331</v>
      </c>
      <c r="K22" s="386">
        <f t="shared" ref="K22:K53" si="18">(F22-F9)/F9</f>
        <v>-0.44661001974557402</v>
      </c>
      <c r="M22" s="359">
        <v>8.9499999999999993</v>
      </c>
      <c r="N22" s="360">
        <f>0.127/1000</f>
        <v>1.27E-4</v>
      </c>
      <c r="O22" s="361">
        <f>0.371/1000</f>
        <v>3.7100000000000002E-4</v>
      </c>
      <c r="P22" s="362">
        <f t="shared" si="7"/>
        <v>9.0518709999999984</v>
      </c>
      <c r="Q22" s="406">
        <f>P22</f>
        <v>9.0518709999999984</v>
      </c>
      <c r="R22" s="406">
        <v>1</v>
      </c>
      <c r="S22" s="1023" t="s">
        <v>244</v>
      </c>
      <c r="T22" s="385" t="e">
        <f>(R22-R9)/R9</f>
        <v>#DIV/0!</v>
      </c>
      <c r="U22" s="386" t="e">
        <f t="shared" ref="U22:U53" si="19">(P22-P9)/P9</f>
        <v>#DIV/0!</v>
      </c>
      <c r="AD22" s="359">
        <f t="shared" si="1"/>
        <v>43.349999999999994</v>
      </c>
      <c r="AE22" s="360">
        <f t="shared" si="2"/>
        <v>5.8100000000000003E-4</v>
      </c>
      <c r="AF22" s="361">
        <f t="shared" si="3"/>
        <v>1.8109999999999999E-3</v>
      </c>
      <c r="AG22" s="362">
        <f t="shared" si="6"/>
        <v>43.846182999999989</v>
      </c>
      <c r="AH22" s="406">
        <f>AG22</f>
        <v>43.846182999999989</v>
      </c>
      <c r="AI22" s="406">
        <f t="shared" si="4"/>
        <v>3</v>
      </c>
      <c r="AJ22" s="1023" t="s">
        <v>244</v>
      </c>
      <c r="AK22" s="385">
        <f>(AI22-AI9)/AI9</f>
        <v>0</v>
      </c>
      <c r="AL22" s="386">
        <f t="shared" ref="AL22:AL53" si="20">(AG22-AG9)/AG9</f>
        <v>-0.30264353712175873</v>
      </c>
      <c r="AN22">
        <v>2019</v>
      </c>
      <c r="AO22">
        <v>190</v>
      </c>
      <c r="AP22" s="32">
        <f>AI54</f>
        <v>165</v>
      </c>
      <c r="AQ22" s="133">
        <f t="shared" si="11"/>
        <v>0.86842105263157898</v>
      </c>
      <c r="AS22">
        <v>7208722</v>
      </c>
      <c r="AT22">
        <v>188630</v>
      </c>
      <c r="AU22">
        <v>182508</v>
      </c>
      <c r="AV22">
        <f t="shared" si="12"/>
        <v>1.0335437350691477</v>
      </c>
      <c r="AW22">
        <v>76339</v>
      </c>
      <c r="AX22">
        <v>79853</v>
      </c>
      <c r="AY22">
        <f t="shared" si="10"/>
        <v>264969</v>
      </c>
      <c r="AZ22">
        <f t="shared" si="13"/>
        <v>1.0099405018276344</v>
      </c>
      <c r="BA22">
        <v>190</v>
      </c>
      <c r="BB22">
        <v>84</v>
      </c>
      <c r="BC22" s="135">
        <f t="shared" si="14"/>
        <v>0.2646516837059425</v>
      </c>
      <c r="BD22" s="135">
        <f t="shared" si="14"/>
        <v>0.3039721273624687</v>
      </c>
      <c r="BE22" s="135">
        <f t="shared" si="15"/>
        <v>0.27573990207055599</v>
      </c>
      <c r="BF22" s="135">
        <f t="shared" si="16"/>
        <v>0.29571093952478522</v>
      </c>
      <c r="BG22" s="135">
        <f t="shared" si="17"/>
        <v>0.14457831325301204</v>
      </c>
      <c r="BH22" s="135">
        <f t="shared" si="17"/>
        <v>0.16666666666666666</v>
      </c>
      <c r="BI22" s="135"/>
      <c r="BJ22" s="135"/>
      <c r="BL22" t="s">
        <v>311</v>
      </c>
      <c r="BM22">
        <f t="shared" si="0"/>
        <v>2017.0833333333319</v>
      </c>
      <c r="BN22" s="401">
        <v>44502.9</v>
      </c>
      <c r="BP22" s="133">
        <f>(BN22-BN10)/BN10</f>
        <v>-1.9007962050205791E-2</v>
      </c>
      <c r="BW22" s="402" t="s">
        <v>311</v>
      </c>
      <c r="BX22" s="403">
        <v>33443.599999999999</v>
      </c>
      <c r="BZ22" s="133">
        <f>(BX22-BX10)/BX10</f>
        <v>-0.21347114921038091</v>
      </c>
    </row>
    <row r="23" spans="1:78" ht="14.75">
      <c r="A23" s="969"/>
      <c r="B23" s="366" t="s">
        <v>291</v>
      </c>
      <c r="C23" s="367">
        <v>10700</v>
      </c>
      <c r="D23" s="368">
        <f>136/1000</f>
        <v>0.13600000000000001</v>
      </c>
      <c r="E23" s="369">
        <f>433/1000</f>
        <v>0.433</v>
      </c>
      <c r="F23" s="370">
        <f t="shared" si="5"/>
        <v>10818.553000000002</v>
      </c>
      <c r="G23" s="407">
        <f>F23+F22</f>
        <v>10853.347312000002</v>
      </c>
      <c r="H23" s="407">
        <v>279</v>
      </c>
      <c r="I23" s="1023"/>
      <c r="J23" s="417">
        <f t="shared" ref="J23:J60" si="21">(H23-H10)/H10</f>
        <v>0.19742489270386265</v>
      </c>
      <c r="K23" s="390">
        <f t="shared" si="18"/>
        <v>0.25882259444293987</v>
      </c>
      <c r="M23" s="367">
        <v>84.6</v>
      </c>
      <c r="N23" s="368">
        <f>1.02/1000</f>
        <v>1.0200000000000001E-3</v>
      </c>
      <c r="O23" s="369">
        <f>3.38/1000</f>
        <v>3.3799999999999998E-3</v>
      </c>
      <c r="P23" s="370">
        <f t="shared" si="7"/>
        <v>85.524259999999998</v>
      </c>
      <c r="Q23" s="407">
        <f>P23+P22</f>
        <v>94.576131000000004</v>
      </c>
      <c r="R23" s="407">
        <v>5</v>
      </c>
      <c r="S23" s="1023"/>
      <c r="T23" s="389">
        <f t="shared" ref="T23:T58" si="22">(R23-R10)/R10</f>
        <v>0.25</v>
      </c>
      <c r="U23" s="390">
        <f t="shared" si="19"/>
        <v>3.3390101928175917</v>
      </c>
      <c r="AD23" s="367">
        <f t="shared" si="1"/>
        <v>10784.6</v>
      </c>
      <c r="AE23" s="368">
        <f t="shared" si="2"/>
        <v>0.13702</v>
      </c>
      <c r="AF23" s="369">
        <f t="shared" si="3"/>
        <v>0.43637999999999999</v>
      </c>
      <c r="AG23" s="370">
        <f t="shared" si="6"/>
        <v>10904.07726</v>
      </c>
      <c r="AH23" s="407">
        <f>AG23+AG22</f>
        <v>10947.923443</v>
      </c>
      <c r="AI23" s="407">
        <f t="shared" si="4"/>
        <v>284</v>
      </c>
      <c r="AJ23" s="1023"/>
      <c r="AK23" s="389">
        <f t="shared" ref="AK23:AK57" si="23">(AI23-AI10)/AI10</f>
        <v>0.19831223628691982</v>
      </c>
      <c r="AL23" s="390">
        <f t="shared" si="20"/>
        <v>0.26587076284367606</v>
      </c>
      <c r="AN23">
        <v>2020</v>
      </c>
      <c r="AO23">
        <v>7</v>
      </c>
      <c r="AP23" s="32">
        <f>AI67</f>
        <v>7</v>
      </c>
      <c r="AQ23" s="133">
        <f t="shared" si="11"/>
        <v>1</v>
      </c>
      <c r="AS23">
        <v>106496</v>
      </c>
      <c r="AT23">
        <v>1346</v>
      </c>
      <c r="AU23">
        <v>2966</v>
      </c>
      <c r="AV23">
        <f t="shared" si="12"/>
        <v>0.45380984490896831</v>
      </c>
      <c r="AW23">
        <v>1170</v>
      </c>
      <c r="AX23">
        <v>1700</v>
      </c>
      <c r="AY23">
        <f t="shared" si="10"/>
        <v>2516</v>
      </c>
      <c r="AZ23">
        <f t="shared" si="13"/>
        <v>0.53921988855550795</v>
      </c>
      <c r="BA23">
        <v>7</v>
      </c>
      <c r="BB23">
        <v>3</v>
      </c>
      <c r="BC23" s="135">
        <f t="shared" si="14"/>
        <v>-0.98522678499739624</v>
      </c>
      <c r="BD23" s="135">
        <f t="shared" si="14"/>
        <v>-0.99286433759211157</v>
      </c>
      <c r="BE23" s="135">
        <f t="shared" si="15"/>
        <v>-0.98467362684866189</v>
      </c>
      <c r="BF23" s="135">
        <f t="shared" si="16"/>
        <v>-0.99050454958881984</v>
      </c>
      <c r="BG23" s="135">
        <f t="shared" si="17"/>
        <v>-0.9631578947368421</v>
      </c>
      <c r="BH23" s="135">
        <f t="shared" si="17"/>
        <v>-0.9642857142857143</v>
      </c>
      <c r="BI23" s="135"/>
      <c r="BJ23" s="135"/>
      <c r="BL23" t="s">
        <v>312</v>
      </c>
      <c r="BM23">
        <f t="shared" si="0"/>
        <v>2017.1666666666652</v>
      </c>
      <c r="BN23" s="401">
        <v>55858.8</v>
      </c>
      <c r="BP23" s="133">
        <f t="shared" ref="BP23:BP42" si="24">(BN23-BN11)/BN11</f>
        <v>-0.15759851603854677</v>
      </c>
      <c r="BW23" s="402" t="s">
        <v>312</v>
      </c>
      <c r="BX23" s="403">
        <v>39625.699999999997</v>
      </c>
      <c r="BZ23" s="133">
        <f t="shared" ref="BZ23:BZ42" si="25">(BX23-BX11)/BX11</f>
        <v>-0.10355382314815027</v>
      </c>
    </row>
    <row r="24" spans="1:78" ht="14.75">
      <c r="A24" s="969"/>
      <c r="B24" s="366" t="s">
        <v>293</v>
      </c>
      <c r="C24" s="367">
        <v>1610</v>
      </c>
      <c r="D24" s="368">
        <f>21.2/1000</f>
        <v>2.12E-2</v>
      </c>
      <c r="E24" s="369">
        <f>68.2/1000</f>
        <v>6.8199999999999997E-2</v>
      </c>
      <c r="F24" s="370">
        <f t="shared" si="5"/>
        <v>1628.6666</v>
      </c>
      <c r="G24" s="407">
        <f>F24+F23+F22</f>
        <v>12482.013912000002</v>
      </c>
      <c r="H24" s="407">
        <v>174</v>
      </c>
      <c r="I24" s="1023"/>
      <c r="J24" s="417">
        <f t="shared" si="21"/>
        <v>0.20833333333333334</v>
      </c>
      <c r="K24" s="390">
        <f t="shared" si="18"/>
        <v>7.3121128124013141E-2</v>
      </c>
      <c r="M24" s="367">
        <v>67.8</v>
      </c>
      <c r="N24" s="368">
        <f>0.872/1000</f>
        <v>8.7199999999999995E-4</v>
      </c>
      <c r="O24" s="369">
        <f>2.85/1000</f>
        <v>2.8500000000000001E-3</v>
      </c>
      <c r="P24" s="370">
        <f t="shared" si="7"/>
        <v>68.579666000000003</v>
      </c>
      <c r="Q24" s="407">
        <f>P24+P23+P22</f>
        <v>163.15579700000001</v>
      </c>
      <c r="R24" s="407">
        <v>8</v>
      </c>
      <c r="S24" s="1023"/>
      <c r="T24" s="389">
        <f t="shared" si="22"/>
        <v>1.6666666666666667</v>
      </c>
      <c r="U24" s="390">
        <f t="shared" si="19"/>
        <v>2.3390043126337918</v>
      </c>
      <c r="AD24" s="367">
        <f t="shared" si="1"/>
        <v>1677.8</v>
      </c>
      <c r="AE24" s="368">
        <f t="shared" si="2"/>
        <v>2.2072000000000001E-2</v>
      </c>
      <c r="AF24" s="369">
        <f t="shared" si="3"/>
        <v>7.1050000000000002E-2</v>
      </c>
      <c r="AG24" s="370">
        <f t="shared" si="6"/>
        <v>1697.2462659999999</v>
      </c>
      <c r="AH24" s="407">
        <f>AG24+AG23+AG22</f>
        <v>12645.169709</v>
      </c>
      <c r="AI24" s="407">
        <f t="shared" si="4"/>
        <v>182</v>
      </c>
      <c r="AJ24" s="1023"/>
      <c r="AK24" s="389">
        <f t="shared" si="23"/>
        <v>0.23809523809523808</v>
      </c>
      <c r="AL24" s="390">
        <f t="shared" si="20"/>
        <v>0.10337594666102055</v>
      </c>
      <c r="AN24">
        <v>2021</v>
      </c>
      <c r="AO24">
        <v>68</v>
      </c>
      <c r="AP24" s="32">
        <f>AI80</f>
        <v>58</v>
      </c>
      <c r="AQ24" s="133">
        <f>AP24/AO24</f>
        <v>0.8529411764705882</v>
      </c>
      <c r="AS24">
        <v>1717775</v>
      </c>
      <c r="AT24">
        <v>18950</v>
      </c>
      <c r="AU24">
        <v>31897</v>
      </c>
      <c r="AV24">
        <f t="shared" si="12"/>
        <v>0.59409975859798725</v>
      </c>
      <c r="AW24">
        <v>19138</v>
      </c>
      <c r="AX24">
        <v>17776</v>
      </c>
      <c r="AY24">
        <f t="shared" si="10"/>
        <v>38088</v>
      </c>
      <c r="AZ24">
        <f t="shared" si="13"/>
        <v>0.76677470658103997</v>
      </c>
      <c r="BA24">
        <v>68</v>
      </c>
      <c r="BB24">
        <v>15</v>
      </c>
      <c r="BC24" s="135">
        <f t="shared" si="14"/>
        <v>15.12994854266827</v>
      </c>
      <c r="BD24" s="135">
        <f t="shared" si="14"/>
        <v>13.078751857355126</v>
      </c>
      <c r="BE24" s="135">
        <f t="shared" si="15"/>
        <v>15.357264957264958</v>
      </c>
      <c r="BF24" s="135">
        <f t="shared" si="16"/>
        <v>14.138314785373609</v>
      </c>
      <c r="BG24" s="135">
        <f t="shared" si="17"/>
        <v>8.7142857142857135</v>
      </c>
      <c r="BH24" s="135">
        <f t="shared" si="17"/>
        <v>4</v>
      </c>
      <c r="BL24" t="s">
        <v>314</v>
      </c>
      <c r="BM24">
        <f t="shared" si="0"/>
        <v>2017.2499999999984</v>
      </c>
      <c r="BN24" s="401">
        <v>51902.9</v>
      </c>
      <c r="BP24" s="133">
        <f t="shared" si="24"/>
        <v>-3.5443160298902938E-2</v>
      </c>
      <c r="BW24" s="402" t="s">
        <v>314</v>
      </c>
      <c r="BX24" s="403">
        <v>41323.5</v>
      </c>
      <c r="BZ24" s="133">
        <f t="shared" si="25"/>
        <v>-0.12492482444920679</v>
      </c>
    </row>
    <row r="25" spans="1:78" ht="14.75">
      <c r="A25" s="969"/>
      <c r="B25" s="366" t="s">
        <v>295</v>
      </c>
      <c r="C25" s="367">
        <v>62.1</v>
      </c>
      <c r="D25" s="368">
        <f>0.747/1000</f>
        <v>7.4700000000000005E-4</v>
      </c>
      <c r="E25" s="369">
        <f>2.43/1000</f>
        <v>2.4300000000000003E-3</v>
      </c>
      <c r="F25" s="370">
        <f t="shared" si="5"/>
        <v>62.764865999999998</v>
      </c>
      <c r="G25" s="407">
        <f>SUM(F22:F25)</f>
        <v>12544.778778000002</v>
      </c>
      <c r="H25" s="407">
        <v>5</v>
      </c>
      <c r="I25" s="1023"/>
      <c r="J25" s="417">
        <f t="shared" si="21"/>
        <v>-0.16666666666666666</v>
      </c>
      <c r="K25" s="390">
        <f t="shared" si="18"/>
        <v>-0.20704457218734704</v>
      </c>
      <c r="M25" s="367">
        <v>906.5</v>
      </c>
      <c r="N25" s="368">
        <f>31.1/1000</f>
        <v>3.1100000000000003E-2</v>
      </c>
      <c r="O25" s="369">
        <f>35.4/1000</f>
        <v>3.5400000000000001E-2</v>
      </c>
      <c r="P25" s="370">
        <f t="shared" si="7"/>
        <v>916.7518</v>
      </c>
      <c r="Q25" s="407">
        <f>SUM(P22:P25)</f>
        <v>1079.9075969999999</v>
      </c>
      <c r="R25" s="407">
        <v>108</v>
      </c>
      <c r="S25" s="1023"/>
      <c r="T25" s="389">
        <f t="shared" si="22"/>
        <v>1.8867924528301886E-2</v>
      </c>
      <c r="U25" s="390">
        <f t="shared" si="19"/>
        <v>-0.17556556495883094</v>
      </c>
      <c r="AD25" s="367">
        <f t="shared" si="1"/>
        <v>968.6</v>
      </c>
      <c r="AE25" s="368">
        <f t="shared" si="2"/>
        <v>3.1847E-2</v>
      </c>
      <c r="AF25" s="369">
        <f t="shared" si="3"/>
        <v>3.7830000000000003E-2</v>
      </c>
      <c r="AG25" s="370">
        <f t="shared" si="6"/>
        <v>979.51666599999999</v>
      </c>
      <c r="AH25" s="407">
        <f>SUM(AG22:AG25)</f>
        <v>13624.686374999999</v>
      </c>
      <c r="AI25" s="407">
        <f t="shared" si="4"/>
        <v>113</v>
      </c>
      <c r="AJ25" s="1023"/>
      <c r="AK25" s="389">
        <f t="shared" si="23"/>
        <v>8.9285714285714281E-3</v>
      </c>
      <c r="AL25" s="390">
        <f t="shared" si="20"/>
        <v>-0.17765741144548206</v>
      </c>
      <c r="AN25">
        <v>2022</v>
      </c>
      <c r="AO25" s="885">
        <v>184</v>
      </c>
      <c r="AP25" s="32">
        <f>AI93</f>
        <v>179</v>
      </c>
      <c r="AQ25" s="133">
        <f>AP25/AO25</f>
        <v>0.97282608695652173</v>
      </c>
      <c r="AT25" s="858" t="s">
        <v>697</v>
      </c>
      <c r="BL25" t="s">
        <v>315</v>
      </c>
      <c r="BM25">
        <f t="shared" si="0"/>
        <v>2017.3333333333317</v>
      </c>
      <c r="BN25" s="401">
        <v>73176.800000000003</v>
      </c>
      <c r="BP25" s="133">
        <f t="shared" si="24"/>
        <v>0.14275184428661564</v>
      </c>
      <c r="BW25" s="402" t="s">
        <v>315</v>
      </c>
      <c r="BX25" s="403">
        <v>49096.9</v>
      </c>
      <c r="BZ25" s="133">
        <f t="shared" si="25"/>
        <v>4.9781157055894316E-2</v>
      </c>
    </row>
    <row r="26" spans="1:78" ht="14.75">
      <c r="A26" s="969"/>
      <c r="B26" s="400" t="s">
        <v>297</v>
      </c>
      <c r="C26" s="367">
        <f>SUM(C22:C25)</f>
        <v>12406.5</v>
      </c>
      <c r="D26" s="368">
        <f>SUM(D22:D25)</f>
        <v>0.15840100000000001</v>
      </c>
      <c r="E26" s="369">
        <f>SUM(E22:E25)</f>
        <v>0.50507000000000002</v>
      </c>
      <c r="F26" s="408">
        <f t="shared" si="5"/>
        <v>12544.778778</v>
      </c>
      <c r="G26" s="407">
        <f>SUM(F26)</f>
        <v>12544.778778</v>
      </c>
      <c r="H26" s="407">
        <f>SUM(H22:H25)</f>
        <v>460</v>
      </c>
      <c r="I26" s="1023"/>
      <c r="J26" s="417">
        <f t="shared" si="21"/>
        <v>0.19170984455958548</v>
      </c>
      <c r="K26" s="390">
        <f t="shared" si="18"/>
        <v>0.22341497614788483</v>
      </c>
      <c r="M26" s="367">
        <f>SUM(M22:M25)</f>
        <v>1067.8499999999999</v>
      </c>
      <c r="N26" s="368">
        <f>SUM(N22:N25)</f>
        <v>3.3119000000000003E-2</v>
      </c>
      <c r="O26" s="369">
        <f>SUM(O22:O25)</f>
        <v>4.2001000000000004E-2</v>
      </c>
      <c r="P26" s="408">
        <f t="shared" si="7"/>
        <v>1079.9075969999999</v>
      </c>
      <c r="Q26" s="407">
        <f>SUM(P26)</f>
        <v>1079.9075969999999</v>
      </c>
      <c r="R26" s="407">
        <f>SUM(R22:R25)</f>
        <v>122</v>
      </c>
      <c r="S26" s="1023"/>
      <c r="T26" s="389">
        <f t="shared" si="22"/>
        <v>7.9646017699115043E-2</v>
      </c>
      <c r="U26" s="390">
        <f t="shared" si="19"/>
        <v>-6.2764162182845529E-2</v>
      </c>
      <c r="AD26" s="367">
        <f t="shared" si="1"/>
        <v>13474.35</v>
      </c>
      <c r="AE26" s="368">
        <f t="shared" si="2"/>
        <v>0.19152000000000002</v>
      </c>
      <c r="AF26" s="369">
        <f t="shared" si="3"/>
        <v>0.54707099999999997</v>
      </c>
      <c r="AG26" s="408">
        <f t="shared" si="6"/>
        <v>13624.686374999999</v>
      </c>
      <c r="AH26" s="407">
        <f>SUM(AG26)</f>
        <v>13624.686374999999</v>
      </c>
      <c r="AI26" s="407">
        <f t="shared" si="4"/>
        <v>582</v>
      </c>
      <c r="AJ26" s="1023"/>
      <c r="AK26" s="389">
        <f t="shared" si="23"/>
        <v>0.16633266533066132</v>
      </c>
      <c r="AL26" s="390">
        <f t="shared" si="20"/>
        <v>0.19450568855047948</v>
      </c>
      <c r="AO26" s="858"/>
      <c r="BL26" t="s">
        <v>316</v>
      </c>
      <c r="BM26">
        <f t="shared" si="0"/>
        <v>2017.4166666666649</v>
      </c>
      <c r="BN26" s="401">
        <v>59967.5</v>
      </c>
      <c r="BP26" s="133">
        <f t="shared" si="24"/>
        <v>-4.8598540076502356E-2</v>
      </c>
      <c r="BW26" s="402" t="s">
        <v>316</v>
      </c>
      <c r="BX26" s="403">
        <v>44976</v>
      </c>
      <c r="BZ26" s="133">
        <f t="shared" si="25"/>
        <v>-6.9838623950166406E-2</v>
      </c>
    </row>
    <row r="27" spans="1:78" ht="14.75">
      <c r="A27" s="969"/>
      <c r="B27" s="366" t="s">
        <v>299</v>
      </c>
      <c r="C27" s="367">
        <v>0</v>
      </c>
      <c r="D27" s="368">
        <v>0</v>
      </c>
      <c r="E27" s="369">
        <v>0</v>
      </c>
      <c r="F27" s="408">
        <f t="shared" si="5"/>
        <v>0</v>
      </c>
      <c r="G27" s="407">
        <f>F26+F27</f>
        <v>12544.778778</v>
      </c>
      <c r="H27" s="407">
        <v>0</v>
      </c>
      <c r="I27" s="1023"/>
      <c r="J27" s="417" t="e">
        <f t="shared" si="21"/>
        <v>#DIV/0!</v>
      </c>
      <c r="K27" s="390" t="e">
        <f t="shared" si="18"/>
        <v>#DIV/0!</v>
      </c>
      <c r="M27" s="367">
        <v>188</v>
      </c>
      <c r="N27" s="368">
        <f>2.55/1000</f>
        <v>2.5499999999999997E-3</v>
      </c>
      <c r="O27" s="369">
        <f>8.02/1000</f>
        <v>8.0199999999999994E-3</v>
      </c>
      <c r="P27" s="408">
        <f t="shared" si="7"/>
        <v>190.19670000000002</v>
      </c>
      <c r="Q27" s="407">
        <f>P26+P27</f>
        <v>1270.1042969999999</v>
      </c>
      <c r="R27" s="407">
        <v>6</v>
      </c>
      <c r="S27" s="1023"/>
      <c r="T27" s="389">
        <f t="shared" si="22"/>
        <v>-0.25</v>
      </c>
      <c r="U27" s="390">
        <f t="shared" si="19"/>
        <v>-0.22310620273456644</v>
      </c>
      <c r="AD27" s="367">
        <f t="shared" si="1"/>
        <v>188</v>
      </c>
      <c r="AE27" s="368">
        <f t="shared" si="2"/>
        <v>2.5499999999999997E-3</v>
      </c>
      <c r="AF27" s="369">
        <f t="shared" si="3"/>
        <v>8.0199999999999994E-3</v>
      </c>
      <c r="AG27" s="408">
        <f t="shared" si="6"/>
        <v>190.19670000000002</v>
      </c>
      <c r="AH27" s="407">
        <f>AG26+AG27</f>
        <v>13814.883075</v>
      </c>
      <c r="AI27" s="407">
        <f t="shared" si="4"/>
        <v>6</v>
      </c>
      <c r="AJ27" s="1023"/>
      <c r="AK27" s="389">
        <f t="shared" si="23"/>
        <v>-0.25</v>
      </c>
      <c r="AL27" s="390">
        <f t="shared" si="20"/>
        <v>-0.22310620273456644</v>
      </c>
      <c r="BL27" t="s">
        <v>317</v>
      </c>
      <c r="BM27">
        <f t="shared" si="0"/>
        <v>2017.4999999999982</v>
      </c>
      <c r="BN27" s="401">
        <v>59997.599999999999</v>
      </c>
      <c r="BP27" s="133">
        <f t="shared" si="24"/>
        <v>0.11824205317453658</v>
      </c>
      <c r="BW27" s="402" t="s">
        <v>317</v>
      </c>
      <c r="BX27" s="403">
        <v>38653.1</v>
      </c>
      <c r="BZ27" s="133">
        <f t="shared" si="25"/>
        <v>-0.11874650889732456</v>
      </c>
    </row>
    <row r="28" spans="1:78" ht="18">
      <c r="A28" s="969"/>
      <c r="B28" s="366" t="s">
        <v>301</v>
      </c>
      <c r="C28" s="367">
        <v>10500</v>
      </c>
      <c r="D28" s="368">
        <v>0.112</v>
      </c>
      <c r="E28" s="369">
        <v>0.40600000000000003</v>
      </c>
      <c r="F28" s="370">
        <f t="shared" si="5"/>
        <v>10610.726000000001</v>
      </c>
      <c r="G28" s="407">
        <f>F28+F27+F26</f>
        <v>23155.504778000002</v>
      </c>
      <c r="H28" s="407">
        <v>80</v>
      </c>
      <c r="I28" s="1023"/>
      <c r="J28" s="417">
        <f t="shared" si="21"/>
        <v>0.29032258064516131</v>
      </c>
      <c r="K28" s="390">
        <f t="shared" si="18"/>
        <v>-0.15965941053309504</v>
      </c>
      <c r="M28" s="367">
        <v>929</v>
      </c>
      <c r="N28" s="368">
        <f>12/1000</f>
        <v>1.2E-2</v>
      </c>
      <c r="O28" s="369">
        <f>38.5/1000</f>
        <v>3.85E-2</v>
      </c>
      <c r="P28" s="370">
        <f t="shared" si="7"/>
        <v>939.5385</v>
      </c>
      <c r="Q28" s="407">
        <f>P28+P27+P26</f>
        <v>2209.642797</v>
      </c>
      <c r="R28" s="407">
        <v>49</v>
      </c>
      <c r="S28" s="1023"/>
      <c r="T28" s="389">
        <f t="shared" si="22"/>
        <v>0.22500000000000001</v>
      </c>
      <c r="U28" s="390">
        <f t="shared" si="19"/>
        <v>-0.22544171714554445</v>
      </c>
      <c r="AD28" s="367">
        <f t="shared" si="1"/>
        <v>11429</v>
      </c>
      <c r="AE28" s="368">
        <f t="shared" si="2"/>
        <v>0.124</v>
      </c>
      <c r="AF28" s="369">
        <f t="shared" si="3"/>
        <v>0.44450000000000001</v>
      </c>
      <c r="AG28" s="370">
        <f t="shared" si="6"/>
        <v>11550.264499999999</v>
      </c>
      <c r="AH28" s="407">
        <f>AG28+AG27+AG26</f>
        <v>25365.147574999999</v>
      </c>
      <c r="AI28" s="407">
        <f t="shared" si="4"/>
        <v>129</v>
      </c>
      <c r="AJ28" s="1023"/>
      <c r="AK28" s="389">
        <f t="shared" si="23"/>
        <v>0.26470588235294118</v>
      </c>
      <c r="AL28" s="390">
        <f t="shared" si="20"/>
        <v>-0.16542499079875028</v>
      </c>
      <c r="AO28" s="430" t="s">
        <v>310</v>
      </c>
      <c r="BL28" t="s">
        <v>318</v>
      </c>
      <c r="BM28">
        <f t="shared" si="0"/>
        <v>2017.5833333333314</v>
      </c>
      <c r="BN28" s="401">
        <v>52056.800000000003</v>
      </c>
      <c r="BP28" s="133">
        <f t="shared" si="24"/>
        <v>-2.7842465689469281E-2</v>
      </c>
      <c r="BW28" s="402" t="s">
        <v>318</v>
      </c>
      <c r="BX28" s="403">
        <v>45161.4</v>
      </c>
      <c r="BZ28" s="133">
        <f t="shared" si="25"/>
        <v>0.1118732365931842</v>
      </c>
    </row>
    <row r="29" spans="1:78" ht="14.75">
      <c r="A29" s="969"/>
      <c r="B29" s="366" t="s">
        <v>303</v>
      </c>
      <c r="C29" s="367">
        <f>C28+C27</f>
        <v>10500</v>
      </c>
      <c r="D29" s="368">
        <f>D28+D27</f>
        <v>0.112</v>
      </c>
      <c r="E29" s="369">
        <f>E28+E27</f>
        <v>0.40600000000000003</v>
      </c>
      <c r="F29" s="370">
        <f t="shared" si="5"/>
        <v>10610.726000000001</v>
      </c>
      <c r="G29" s="407">
        <f>F29+F26</f>
        <v>23155.504778000002</v>
      </c>
      <c r="H29" s="407">
        <f>H28+H27</f>
        <v>80</v>
      </c>
      <c r="I29" s="1023"/>
      <c r="J29" s="417">
        <f t="shared" si="21"/>
        <v>0.29032258064516131</v>
      </c>
      <c r="K29" s="390">
        <f t="shared" si="18"/>
        <v>-0.15965941053309504</v>
      </c>
      <c r="M29" s="367">
        <f>M28+M27</f>
        <v>1117</v>
      </c>
      <c r="N29" s="368">
        <f>N28+N27</f>
        <v>1.455E-2</v>
      </c>
      <c r="O29" s="369">
        <f>O28+O27</f>
        <v>4.6519999999999999E-2</v>
      </c>
      <c r="P29" s="370">
        <f t="shared" si="7"/>
        <v>1129.7352000000001</v>
      </c>
      <c r="Q29" s="407">
        <f>P29+P26</f>
        <v>2209.642797</v>
      </c>
      <c r="R29" s="407">
        <f>R28+R27</f>
        <v>55</v>
      </c>
      <c r="S29" s="1023"/>
      <c r="T29" s="389">
        <f t="shared" si="22"/>
        <v>0.14583333333333334</v>
      </c>
      <c r="U29" s="390">
        <f t="shared" si="19"/>
        <v>-0.22504950487714501</v>
      </c>
      <c r="AD29" s="367">
        <f t="shared" si="1"/>
        <v>11617</v>
      </c>
      <c r="AE29" s="368">
        <f t="shared" si="2"/>
        <v>0.12655</v>
      </c>
      <c r="AF29" s="369">
        <f t="shared" si="3"/>
        <v>0.45252000000000003</v>
      </c>
      <c r="AG29" s="370">
        <f t="shared" si="6"/>
        <v>11740.4612</v>
      </c>
      <c r="AH29" s="407">
        <f>AG29+AG26</f>
        <v>25365.147574999999</v>
      </c>
      <c r="AI29" s="407">
        <f t="shared" si="4"/>
        <v>135</v>
      </c>
      <c r="AJ29" s="1023"/>
      <c r="AK29" s="389">
        <f t="shared" si="23"/>
        <v>0.22727272727272727</v>
      </c>
      <c r="AL29" s="390">
        <f t="shared" si="20"/>
        <v>-0.16642760503377749</v>
      </c>
      <c r="AS29" s="173"/>
      <c r="BL29" t="s">
        <v>319</v>
      </c>
      <c r="BM29">
        <f t="shared" si="0"/>
        <v>2017.6666666666647</v>
      </c>
      <c r="BN29" s="401">
        <v>65984.7</v>
      </c>
      <c r="BP29" s="133">
        <f t="shared" si="24"/>
        <v>0.3300712156243007</v>
      </c>
      <c r="BW29" s="402" t="s">
        <v>319</v>
      </c>
      <c r="BX29" s="403">
        <v>44869.2</v>
      </c>
      <c r="BZ29" s="133">
        <f t="shared" si="25"/>
        <v>-3.1580492268909105E-2</v>
      </c>
    </row>
    <row r="30" spans="1:78" ht="14.75">
      <c r="A30" s="969"/>
      <c r="B30" s="366" t="s">
        <v>305</v>
      </c>
      <c r="C30" s="367">
        <f>C29+C26</f>
        <v>22906.5</v>
      </c>
      <c r="D30" s="409">
        <f>D29+D26</f>
        <v>0.270401</v>
      </c>
      <c r="E30" s="410">
        <f>E29+E26</f>
        <v>0.91107000000000005</v>
      </c>
      <c r="F30" s="370">
        <f t="shared" si="5"/>
        <v>23155.504778000002</v>
      </c>
      <c r="G30" s="407">
        <f>F30</f>
        <v>23155.504778000002</v>
      </c>
      <c r="H30" s="407">
        <f>H29+H26</f>
        <v>540</v>
      </c>
      <c r="I30" s="1023"/>
      <c r="J30" s="417">
        <f t="shared" si="21"/>
        <v>0.20535714285714285</v>
      </c>
      <c r="K30" s="390">
        <f t="shared" si="18"/>
        <v>1.201474363489511E-2</v>
      </c>
      <c r="M30" s="367">
        <f>M29+M26</f>
        <v>2184.85</v>
      </c>
      <c r="N30" s="409">
        <f>N29+N26</f>
        <v>4.7669000000000003E-2</v>
      </c>
      <c r="O30" s="410">
        <f>O29+O26</f>
        <v>8.8521000000000002E-2</v>
      </c>
      <c r="P30" s="370">
        <f t="shared" si="7"/>
        <v>2209.6427969999995</v>
      </c>
      <c r="Q30" s="407">
        <f>P30</f>
        <v>2209.6427969999995</v>
      </c>
      <c r="R30" s="407">
        <f>R29+R26</f>
        <v>177</v>
      </c>
      <c r="S30" s="1023"/>
      <c r="T30" s="389">
        <f t="shared" si="22"/>
        <v>9.9378881987577633E-2</v>
      </c>
      <c r="U30" s="390">
        <f t="shared" si="19"/>
        <v>-0.1534072081350977</v>
      </c>
      <c r="AD30" s="367">
        <f t="shared" si="1"/>
        <v>25091.35</v>
      </c>
      <c r="AE30" s="368">
        <f t="shared" si="2"/>
        <v>0.31807000000000002</v>
      </c>
      <c r="AF30" s="369">
        <f t="shared" si="3"/>
        <v>0.99959100000000001</v>
      </c>
      <c r="AG30" s="370">
        <f t="shared" si="6"/>
        <v>25365.147574999999</v>
      </c>
      <c r="AH30" s="407">
        <f>AG30</f>
        <v>25365.147574999999</v>
      </c>
      <c r="AI30" s="407">
        <f t="shared" si="4"/>
        <v>717</v>
      </c>
      <c r="AJ30" s="1023"/>
      <c r="AK30" s="389">
        <f t="shared" si="23"/>
        <v>0.17733990147783252</v>
      </c>
      <c r="AL30" s="390">
        <f t="shared" si="20"/>
        <v>-4.9231682178763553E-3</v>
      </c>
      <c r="AN30" s="25" t="s">
        <v>365</v>
      </c>
      <c r="AS30" s="173"/>
      <c r="BL30" t="s">
        <v>320</v>
      </c>
      <c r="BM30">
        <f t="shared" si="0"/>
        <v>2017.749999999998</v>
      </c>
      <c r="BN30" s="401">
        <v>62654.6</v>
      </c>
      <c r="BP30" s="133">
        <f t="shared" si="24"/>
        <v>0.31556557817644293</v>
      </c>
      <c r="BW30" s="402" t="s">
        <v>320</v>
      </c>
      <c r="BX30" s="403">
        <v>55768.6</v>
      </c>
      <c r="BZ30" s="133">
        <f t="shared" si="25"/>
        <v>0.13449966434078561</v>
      </c>
    </row>
    <row r="31" spans="1:78" ht="14.75">
      <c r="A31" s="969"/>
      <c r="B31" s="366" t="s">
        <v>35</v>
      </c>
      <c r="C31" s="367">
        <v>2080</v>
      </c>
      <c r="D31" s="368">
        <f>26.4/1000</f>
        <v>2.64E-2</v>
      </c>
      <c r="E31" s="369">
        <f>84.6/1000</f>
        <v>8.4599999999999995E-2</v>
      </c>
      <c r="F31" s="370">
        <f t="shared" si="5"/>
        <v>2103.1581999999999</v>
      </c>
      <c r="G31" s="407">
        <f>F30+F31</f>
        <v>25258.662978</v>
      </c>
      <c r="H31" s="407">
        <v>112</v>
      </c>
      <c r="I31" s="1023"/>
      <c r="J31" s="417">
        <f t="shared" si="21"/>
        <v>0.6</v>
      </c>
      <c r="K31" s="390">
        <f t="shared" si="18"/>
        <v>1.8736265290550832E-2</v>
      </c>
      <c r="M31" s="367">
        <v>5740</v>
      </c>
      <c r="N31" s="368">
        <f>75.3/1000</f>
        <v>7.5299999999999992E-2</v>
      </c>
      <c r="O31" s="369">
        <f>238/1000</f>
        <v>0.23799999999999999</v>
      </c>
      <c r="P31" s="370">
        <f t="shared" si="7"/>
        <v>5805.1783999999998</v>
      </c>
      <c r="Q31" s="407">
        <f>P30+P31</f>
        <v>8014.8211969999993</v>
      </c>
      <c r="R31" s="407">
        <v>356</v>
      </c>
      <c r="S31" s="1023"/>
      <c r="T31" s="389">
        <f t="shared" si="22"/>
        <v>-0.30604288499025339</v>
      </c>
      <c r="U31" s="390">
        <f t="shared" si="19"/>
        <v>-6.5400114788844069E-2</v>
      </c>
      <c r="AD31" s="367">
        <f t="shared" si="1"/>
        <v>7820</v>
      </c>
      <c r="AE31" s="368">
        <f t="shared" si="2"/>
        <v>0.10169999999999998</v>
      </c>
      <c r="AF31" s="369">
        <f t="shared" si="3"/>
        <v>0.3226</v>
      </c>
      <c r="AG31" s="370">
        <f t="shared" si="6"/>
        <v>7908.3365999999996</v>
      </c>
      <c r="AH31" s="407">
        <f>AG30+AG31</f>
        <v>33273.484174999998</v>
      </c>
      <c r="AI31" s="407">
        <f t="shared" si="4"/>
        <v>468</v>
      </c>
      <c r="AJ31" s="1023"/>
      <c r="AK31" s="389">
        <f t="shared" si="23"/>
        <v>-0.19725557461406518</v>
      </c>
      <c r="AL31" s="390">
        <f t="shared" si="20"/>
        <v>-4.4411698155312297E-2</v>
      </c>
      <c r="AN31" s="25" t="s">
        <v>65</v>
      </c>
      <c r="AS31" s="173"/>
      <c r="BL31" t="s">
        <v>321</v>
      </c>
      <c r="BM31">
        <f t="shared" si="0"/>
        <v>2017.8333333333312</v>
      </c>
      <c r="BN31" s="401">
        <v>56669.9</v>
      </c>
      <c r="BP31" s="133">
        <f t="shared" si="24"/>
        <v>7.6564031641577879E-2</v>
      </c>
      <c r="BW31" s="402" t="s">
        <v>321</v>
      </c>
      <c r="BX31" s="403">
        <v>45789.1</v>
      </c>
      <c r="BZ31" s="133">
        <f t="shared" si="25"/>
        <v>0.11639343462911315</v>
      </c>
    </row>
    <row r="32" spans="1:78" ht="14.75">
      <c r="A32" s="969"/>
      <c r="B32" s="366" t="s">
        <v>308</v>
      </c>
      <c r="C32" s="367">
        <v>0</v>
      </c>
      <c r="D32" s="368">
        <v>0</v>
      </c>
      <c r="E32" s="369">
        <v>0</v>
      </c>
      <c r="F32" s="370">
        <f t="shared" si="5"/>
        <v>0</v>
      </c>
      <c r="G32" s="407">
        <f>SUM(F30:F32)</f>
        <v>25258.662978</v>
      </c>
      <c r="H32" s="407">
        <v>0</v>
      </c>
      <c r="I32" s="1023"/>
      <c r="J32" s="417" t="e">
        <f t="shared" si="21"/>
        <v>#DIV/0!</v>
      </c>
      <c r="K32" s="390" t="e">
        <f t="shared" si="18"/>
        <v>#DIV/0!</v>
      </c>
      <c r="M32" s="367">
        <v>837</v>
      </c>
      <c r="N32" s="368">
        <f>9.9/1000</f>
        <v>9.9000000000000008E-3</v>
      </c>
      <c r="O32" s="369">
        <f>36.2/1000</f>
        <v>3.6200000000000003E-2</v>
      </c>
      <c r="P32" s="370">
        <f t="shared" si="7"/>
        <v>846.87019999999995</v>
      </c>
      <c r="Q32" s="407">
        <f>SUM(P30:P32)</f>
        <v>8861.6913969999987</v>
      </c>
      <c r="R32" s="407">
        <v>5375</v>
      </c>
      <c r="S32" s="1023"/>
      <c r="T32" s="389">
        <f t="shared" si="22"/>
        <v>-4.1376850365614413E-2</v>
      </c>
      <c r="U32" s="390">
        <f t="shared" si="19"/>
        <v>-0.80229762106807867</v>
      </c>
      <c r="AD32" s="367">
        <f t="shared" si="1"/>
        <v>837</v>
      </c>
      <c r="AE32" s="368">
        <f t="shared" si="2"/>
        <v>9.9000000000000008E-3</v>
      </c>
      <c r="AF32" s="369">
        <f t="shared" si="3"/>
        <v>3.6200000000000003E-2</v>
      </c>
      <c r="AG32" s="370">
        <f t="shared" si="6"/>
        <v>846.87019999999995</v>
      </c>
      <c r="AH32" s="407">
        <f>SUM(AG30:AG32)</f>
        <v>34120.354374999995</v>
      </c>
      <c r="AI32" s="407">
        <f t="shared" si="4"/>
        <v>5375</v>
      </c>
      <c r="AJ32" s="1023"/>
      <c r="AK32" s="389">
        <f t="shared" si="23"/>
        <v>-4.1376850365614413E-2</v>
      </c>
      <c r="AL32" s="390">
        <f t="shared" si="20"/>
        <v>-0.80229762106807867</v>
      </c>
      <c r="AO32" t="s">
        <v>297</v>
      </c>
      <c r="AP32" t="s">
        <v>303</v>
      </c>
      <c r="AQ32" s="25" t="s">
        <v>340</v>
      </c>
      <c r="AR32" t="s">
        <v>218</v>
      </c>
      <c r="AS32" s="173"/>
      <c r="BL32" t="s">
        <v>322</v>
      </c>
      <c r="BM32">
        <f t="shared" si="0"/>
        <v>2017.9166666666645</v>
      </c>
      <c r="BN32" s="401">
        <v>66853.399999999994</v>
      </c>
      <c r="BP32" s="133">
        <f t="shared" si="24"/>
        <v>0.35189559084033672</v>
      </c>
      <c r="BW32" s="402" t="s">
        <v>322</v>
      </c>
      <c r="BX32" s="403">
        <v>43211.7</v>
      </c>
      <c r="BZ32" s="133">
        <f t="shared" si="25"/>
        <v>4.0852015020823453E-2</v>
      </c>
    </row>
    <row r="33" spans="1:78" ht="15.5" thickBot="1">
      <c r="A33" s="1022"/>
      <c r="B33" s="366" t="s">
        <v>310</v>
      </c>
      <c r="C33" s="375">
        <v>646</v>
      </c>
      <c r="D33" s="376">
        <f>6.56/1000</f>
        <v>6.5599999999999999E-3</v>
      </c>
      <c r="E33" s="377">
        <f>22.8/1000</f>
        <v>2.2800000000000001E-2</v>
      </c>
      <c r="F33" s="411">
        <f t="shared" si="5"/>
        <v>652.22568000000001</v>
      </c>
      <c r="G33" s="407">
        <f>SUM(F30:F33)</f>
        <v>25910.888658</v>
      </c>
      <c r="H33" s="407">
        <v>31</v>
      </c>
      <c r="I33" s="1023"/>
      <c r="J33" s="418">
        <f t="shared" si="21"/>
        <v>3.3333333333333333E-2</v>
      </c>
      <c r="K33" s="394">
        <f t="shared" si="18"/>
        <v>-0.17322835783529236</v>
      </c>
      <c r="M33" s="375">
        <v>1170</v>
      </c>
      <c r="N33" s="376">
        <f>7.2/1000</f>
        <v>7.1999999999999998E-3</v>
      </c>
      <c r="O33" s="377">
        <f>36.2/1000</f>
        <v>3.6200000000000003E-2</v>
      </c>
      <c r="P33" s="411">
        <f t="shared" si="7"/>
        <v>1179.7946000000002</v>
      </c>
      <c r="Q33" s="407">
        <f>SUM(P30:P33)</f>
        <v>10041.485997</v>
      </c>
      <c r="R33" s="407">
        <v>30</v>
      </c>
      <c r="S33" s="1023"/>
      <c r="T33" s="393">
        <f t="shared" si="22"/>
        <v>-0.73684210526315785</v>
      </c>
      <c r="U33" s="394">
        <f t="shared" si="19"/>
        <v>1.1442355390383909E-3</v>
      </c>
      <c r="AD33" s="375">
        <f t="shared" si="1"/>
        <v>1816</v>
      </c>
      <c r="AE33" s="376">
        <f t="shared" si="2"/>
        <v>1.376E-2</v>
      </c>
      <c r="AF33" s="377">
        <f t="shared" si="3"/>
        <v>5.9000000000000004E-2</v>
      </c>
      <c r="AG33" s="411">
        <f t="shared" si="6"/>
        <v>1832.02028</v>
      </c>
      <c r="AH33" s="407">
        <f>SUM(AG30:AG33)</f>
        <v>35952.374654999992</v>
      </c>
      <c r="AI33" s="407">
        <f t="shared" si="4"/>
        <v>61</v>
      </c>
      <c r="AJ33" s="1023"/>
      <c r="AK33" s="393">
        <f t="shared" si="23"/>
        <v>-0.57638888888888884</v>
      </c>
      <c r="AL33" s="394">
        <f t="shared" si="20"/>
        <v>-6.8777729606422505E-2</v>
      </c>
      <c r="AN33">
        <v>2017</v>
      </c>
      <c r="AO33" s="173">
        <f>AL26</f>
        <v>0.19450568855047948</v>
      </c>
      <c r="AP33" s="173">
        <f>AL29</f>
        <v>-0.16642760503377749</v>
      </c>
      <c r="AQ33" s="173">
        <f>AL30</f>
        <v>-4.9231682178763553E-3</v>
      </c>
      <c r="AR33" s="173">
        <f>AL34</f>
        <v>-0.10158177291492375</v>
      </c>
      <c r="AS33" s="173"/>
      <c r="BL33" t="s">
        <v>323</v>
      </c>
      <c r="BM33">
        <f t="shared" si="0"/>
        <v>2017.9999999999977</v>
      </c>
      <c r="BN33" s="401">
        <v>51372.5</v>
      </c>
      <c r="BP33" s="133">
        <f t="shared" si="24"/>
        <v>0.10605274432844536</v>
      </c>
      <c r="BW33" s="402" t="s">
        <v>323</v>
      </c>
      <c r="BX33" s="403">
        <v>48365.2</v>
      </c>
      <c r="BZ33" s="133">
        <f t="shared" si="25"/>
        <v>0.28311437485408658</v>
      </c>
    </row>
    <row r="34" spans="1:78" ht="15.5" thickBot="1">
      <c r="A34" s="379" t="s">
        <v>21</v>
      </c>
      <c r="B34" s="380">
        <f>A22</f>
        <v>2017</v>
      </c>
      <c r="C34" s="381">
        <f>SUM(C30:C33)</f>
        <v>25632.5</v>
      </c>
      <c r="D34" s="412">
        <f>SUM(D30:D33)</f>
        <v>0.30336099999999999</v>
      </c>
      <c r="E34" s="412">
        <f>SUM(E30:E33)</f>
        <v>1.01847</v>
      </c>
      <c r="F34" s="382">
        <f t="shared" si="5"/>
        <v>25910.888658</v>
      </c>
      <c r="G34" s="382">
        <f>G33</f>
        <v>25910.888658</v>
      </c>
      <c r="H34" s="382">
        <f>SUM(H30:H33)</f>
        <v>683</v>
      </c>
      <c r="I34" s="1024"/>
      <c r="J34" s="397">
        <f t="shared" si="21"/>
        <v>0.24635036496350365</v>
      </c>
      <c r="K34" s="398">
        <f t="shared" si="18"/>
        <v>6.8752855649656195E-3</v>
      </c>
      <c r="M34" s="381">
        <f>SUM(M30:M33)</f>
        <v>9931.85</v>
      </c>
      <c r="N34" s="412">
        <f>SUM(N30:N33)</f>
        <v>0.140069</v>
      </c>
      <c r="O34" s="412">
        <f>SUM(O30:O33)</f>
        <v>0.39892100000000003</v>
      </c>
      <c r="P34" s="382">
        <f t="shared" si="7"/>
        <v>10041.485997</v>
      </c>
      <c r="Q34" s="382">
        <f>Q33</f>
        <v>10041.485997</v>
      </c>
      <c r="R34" s="382">
        <f>SUM(R30:R33)</f>
        <v>5938</v>
      </c>
      <c r="S34" s="1024"/>
      <c r="T34" s="397">
        <f t="shared" si="22"/>
        <v>-7.1462079749804536E-2</v>
      </c>
      <c r="U34" s="398">
        <f t="shared" si="19"/>
        <v>-0.29698476109718996</v>
      </c>
      <c r="AD34" s="381">
        <f t="shared" si="1"/>
        <v>35564.35</v>
      </c>
      <c r="AE34" s="381">
        <f t="shared" si="2"/>
        <v>0.44342999999999999</v>
      </c>
      <c r="AF34" s="381">
        <f t="shared" si="3"/>
        <v>1.4173910000000001</v>
      </c>
      <c r="AG34" s="382">
        <f t="shared" si="6"/>
        <v>35952.374654999992</v>
      </c>
      <c r="AH34" s="382">
        <f>AH33</f>
        <v>35952.374654999992</v>
      </c>
      <c r="AI34" s="382">
        <f t="shared" si="4"/>
        <v>6621</v>
      </c>
      <c r="AJ34" s="1024"/>
      <c r="AK34" s="397">
        <f t="shared" si="23"/>
        <v>-4.6377646550482501E-2</v>
      </c>
      <c r="AL34" s="398">
        <f t="shared" si="20"/>
        <v>-0.10158177291492375</v>
      </c>
      <c r="AN34">
        <v>2018</v>
      </c>
      <c r="AO34" s="173">
        <f>AL39</f>
        <v>6.6143747914344159E-2</v>
      </c>
      <c r="AP34" s="173">
        <f>AL42</f>
        <v>0.23491809444419443</v>
      </c>
      <c r="AQ34" s="173">
        <f>AL43</f>
        <v>0.14426230256221947</v>
      </c>
      <c r="AR34" s="173">
        <f>AL47</f>
        <v>0.15505645364164353</v>
      </c>
      <c r="BL34" t="s">
        <v>324</v>
      </c>
      <c r="BM34">
        <f t="shared" si="0"/>
        <v>2018.083333333331</v>
      </c>
      <c r="BN34" s="401">
        <v>60322.400000000001</v>
      </c>
      <c r="BP34" s="133">
        <f t="shared" si="24"/>
        <v>0.35547121648252133</v>
      </c>
      <c r="BW34" s="402" t="s">
        <v>324</v>
      </c>
      <c r="BX34" s="403">
        <v>46196.800000000003</v>
      </c>
      <c r="BZ34" s="133">
        <f t="shared" si="25"/>
        <v>0.38133454532406813</v>
      </c>
    </row>
    <row r="35" spans="1:78" ht="15" customHeight="1">
      <c r="A35" s="969">
        <v>2018</v>
      </c>
      <c r="B35" s="358" t="s">
        <v>289</v>
      </c>
      <c r="C35" s="359">
        <v>54.4</v>
      </c>
      <c r="D35" s="360">
        <v>6.9999999999999999E-4</v>
      </c>
      <c r="E35" s="361">
        <v>2.2000000000000001E-3</v>
      </c>
      <c r="F35" s="362">
        <f t="shared" si="5"/>
        <v>55.002599999999994</v>
      </c>
      <c r="G35" s="406">
        <f>F35</f>
        <v>55.002599999999994</v>
      </c>
      <c r="H35" s="406">
        <v>2</v>
      </c>
      <c r="I35" s="971" t="s">
        <v>245</v>
      </c>
      <c r="J35" s="416">
        <f t="shared" si="21"/>
        <v>0</v>
      </c>
      <c r="K35" s="386">
        <f t="shared" si="18"/>
        <v>0.58079286062618507</v>
      </c>
      <c r="M35" s="359">
        <v>0</v>
      </c>
      <c r="N35" s="360">
        <v>0</v>
      </c>
      <c r="O35" s="361">
        <v>0</v>
      </c>
      <c r="P35" s="362">
        <f t="shared" si="7"/>
        <v>0</v>
      </c>
      <c r="Q35" s="406">
        <f>P35</f>
        <v>0</v>
      </c>
      <c r="R35" s="406">
        <v>0</v>
      </c>
      <c r="S35" s="971" t="s">
        <v>245</v>
      </c>
      <c r="T35" s="385">
        <f t="shared" si="22"/>
        <v>-1</v>
      </c>
      <c r="U35" s="386">
        <f t="shared" si="19"/>
        <v>-1</v>
      </c>
      <c r="AD35" s="359">
        <f t="shared" si="1"/>
        <v>54.4</v>
      </c>
      <c r="AE35" s="360">
        <f t="shared" si="2"/>
        <v>6.9999999999999999E-4</v>
      </c>
      <c r="AF35" s="361">
        <f t="shared" si="3"/>
        <v>2.2000000000000001E-3</v>
      </c>
      <c r="AG35" s="362">
        <f t="shared" si="6"/>
        <v>55.002599999999994</v>
      </c>
      <c r="AH35" s="406">
        <f>AG35</f>
        <v>55.002599999999994</v>
      </c>
      <c r="AI35" s="406">
        <f t="shared" si="4"/>
        <v>2</v>
      </c>
      <c r="AJ35" s="971" t="s">
        <v>245</v>
      </c>
      <c r="AK35" s="385">
        <f t="shared" si="23"/>
        <v>-0.33333333333333331</v>
      </c>
      <c r="AL35" s="386">
        <f t="shared" si="20"/>
        <v>0.25444442906238857</v>
      </c>
      <c r="AN35">
        <v>2019</v>
      </c>
      <c r="AO35" s="173">
        <f>AL52</f>
        <v>0.35562797137693192</v>
      </c>
      <c r="AP35" s="173">
        <f>AL55</f>
        <v>0.32678506380264771</v>
      </c>
      <c r="AQ35" s="173">
        <f>AL56</f>
        <v>0.34122011514780265</v>
      </c>
      <c r="AR35" s="173">
        <f>AL60</f>
        <v>0.22989198096049024</v>
      </c>
      <c r="BL35" t="s">
        <v>325</v>
      </c>
      <c r="BM35">
        <f t="shared" si="0"/>
        <v>2018.1666666666642</v>
      </c>
      <c r="BN35" s="401">
        <v>57062.7</v>
      </c>
      <c r="BP35" s="133">
        <f t="shared" si="24"/>
        <v>2.1552557520032548E-2</v>
      </c>
      <c r="BW35" s="402" t="s">
        <v>325</v>
      </c>
      <c r="BX35" s="403">
        <v>45685</v>
      </c>
      <c r="BZ35" s="133">
        <f t="shared" si="25"/>
        <v>0.15291338701903065</v>
      </c>
    </row>
    <row r="36" spans="1:78" ht="14.75">
      <c r="A36" s="969"/>
      <c r="B36" s="366" t="s">
        <v>291</v>
      </c>
      <c r="C36" s="367">
        <v>11800</v>
      </c>
      <c r="D36" s="368">
        <v>0.14899999999999999</v>
      </c>
      <c r="E36" s="369">
        <v>0.47699999999999998</v>
      </c>
      <c r="F36" s="370">
        <f t="shared" si="5"/>
        <v>11930.577000000001</v>
      </c>
      <c r="G36" s="407">
        <f>F36+F35</f>
        <v>11985.579600000001</v>
      </c>
      <c r="H36" s="407">
        <v>263</v>
      </c>
      <c r="I36" s="972"/>
      <c r="J36" s="417">
        <f t="shared" si="21"/>
        <v>-5.7347670250896057E-2</v>
      </c>
      <c r="K36" s="390">
        <f t="shared" si="18"/>
        <v>0.10278860768163721</v>
      </c>
      <c r="M36" s="367">
        <v>86.7</v>
      </c>
      <c r="N36" s="368">
        <v>1.0399999999999999E-3</v>
      </c>
      <c r="O36" s="369">
        <v>3.48E-3</v>
      </c>
      <c r="P36" s="370">
        <f t="shared" si="7"/>
        <v>87.651320000000013</v>
      </c>
      <c r="Q36" s="407">
        <f>P36+P35</f>
        <v>87.651320000000013</v>
      </c>
      <c r="R36" s="407">
        <v>6</v>
      </c>
      <c r="S36" s="972"/>
      <c r="T36" s="389">
        <f t="shared" si="22"/>
        <v>0.2</v>
      </c>
      <c r="U36" s="390">
        <f t="shared" si="19"/>
        <v>2.4870837818415668E-2</v>
      </c>
      <c r="AD36" s="367">
        <f t="shared" si="1"/>
        <v>11886.7</v>
      </c>
      <c r="AE36" s="368">
        <f t="shared" si="2"/>
        <v>0.15004000000000001</v>
      </c>
      <c r="AF36" s="369">
        <f t="shared" si="3"/>
        <v>0.48047999999999996</v>
      </c>
      <c r="AG36" s="370">
        <f t="shared" si="6"/>
        <v>12018.22832</v>
      </c>
      <c r="AH36" s="407">
        <f>AG36+AG35</f>
        <v>12073.23092</v>
      </c>
      <c r="AI36" s="407">
        <f t="shared" si="4"/>
        <v>269</v>
      </c>
      <c r="AJ36" s="972"/>
      <c r="AK36" s="389">
        <f t="shared" si="23"/>
        <v>-5.2816901408450703E-2</v>
      </c>
      <c r="AL36" s="390">
        <f t="shared" si="20"/>
        <v>0.10217747301618076</v>
      </c>
      <c r="AN36">
        <v>2020</v>
      </c>
      <c r="AO36" s="173">
        <f>AL65</f>
        <v>0.1084006533125252</v>
      </c>
      <c r="AP36" s="173">
        <f>AL68</f>
        <v>-0.95455951071173983</v>
      </c>
      <c r="AQ36" s="173">
        <f>AL69</f>
        <v>-0.41686358364648496</v>
      </c>
      <c r="AR36" s="173">
        <f>AL73</f>
        <v>-0.26435214805447493</v>
      </c>
      <c r="BL36" t="s">
        <v>326</v>
      </c>
      <c r="BM36">
        <f t="shared" ref="BM36:BM64" si="26">BM35+$BM$2</f>
        <v>2018.2499999999975</v>
      </c>
      <c r="BN36" s="401">
        <v>62465.7</v>
      </c>
      <c r="BP36" s="133">
        <f t="shared" si="24"/>
        <v>0.20351078648784549</v>
      </c>
      <c r="BW36" s="402" t="s">
        <v>326</v>
      </c>
      <c r="BX36" s="403">
        <v>44121.1</v>
      </c>
      <c r="BZ36" s="133">
        <f t="shared" si="25"/>
        <v>6.7699977010659759E-2</v>
      </c>
    </row>
    <row r="37" spans="1:78" ht="14.75">
      <c r="A37" s="969"/>
      <c r="B37" s="366" t="s">
        <v>293</v>
      </c>
      <c r="C37" s="367">
        <v>1330</v>
      </c>
      <c r="D37" s="368">
        <v>1.7600000000000001E-2</v>
      </c>
      <c r="E37" s="369">
        <v>5.6599999999999998E-2</v>
      </c>
      <c r="F37" s="370">
        <f t="shared" si="5"/>
        <v>1345.4918</v>
      </c>
      <c r="G37" s="407">
        <f>F37+F36+F35</f>
        <v>13331.071400000001</v>
      </c>
      <c r="H37" s="407">
        <v>161</v>
      </c>
      <c r="I37" s="972"/>
      <c r="J37" s="417">
        <f t="shared" si="21"/>
        <v>-7.4712643678160925E-2</v>
      </c>
      <c r="K37" s="390">
        <f t="shared" si="18"/>
        <v>-0.17386910249157195</v>
      </c>
      <c r="M37" s="367">
        <v>21.4</v>
      </c>
      <c r="N37" s="368">
        <v>2.8699999999999998E-4</v>
      </c>
      <c r="O37" s="369">
        <v>9.1600000000000004E-4</v>
      </c>
      <c r="P37" s="370">
        <f t="shared" si="7"/>
        <v>21.650776</v>
      </c>
      <c r="Q37" s="407">
        <f>P37+P36+P35</f>
        <v>109.30209600000001</v>
      </c>
      <c r="R37" s="407">
        <v>5</v>
      </c>
      <c r="S37" s="972"/>
      <c r="T37" s="389">
        <f t="shared" si="22"/>
        <v>-0.375</v>
      </c>
      <c r="U37" s="390">
        <f t="shared" si="19"/>
        <v>-0.68429744175190355</v>
      </c>
      <c r="AD37" s="367">
        <f t="shared" si="1"/>
        <v>1351.4</v>
      </c>
      <c r="AE37" s="368">
        <f t="shared" si="2"/>
        <v>1.7887E-2</v>
      </c>
      <c r="AF37" s="369">
        <f t="shared" si="3"/>
        <v>5.7515999999999998E-2</v>
      </c>
      <c r="AG37" s="370">
        <f t="shared" si="6"/>
        <v>1367.142576</v>
      </c>
      <c r="AH37" s="407">
        <f>AG37+AG36+AG35</f>
        <v>13440.373496</v>
      </c>
      <c r="AI37" s="407">
        <f t="shared" si="4"/>
        <v>166</v>
      </c>
      <c r="AJ37" s="972"/>
      <c r="AK37" s="389">
        <f t="shared" si="23"/>
        <v>-8.7912087912087919E-2</v>
      </c>
      <c r="AL37" s="390">
        <f t="shared" si="20"/>
        <v>-0.19449369052257495</v>
      </c>
      <c r="AN37">
        <v>2021</v>
      </c>
      <c r="AO37" s="173">
        <f>AL78</f>
        <v>-0.20700614341005955</v>
      </c>
      <c r="AP37" s="173">
        <f>AL81</f>
        <v>6.8136475758618289</v>
      </c>
      <c r="AQ37" s="173">
        <f>AL82</f>
        <v>6.3334430726805835E-2</v>
      </c>
      <c r="AR37" s="173">
        <f>AL86</f>
        <v>-5.3555306185965657E-2</v>
      </c>
      <c r="BL37" t="s">
        <v>327</v>
      </c>
      <c r="BM37">
        <f t="shared" si="26"/>
        <v>2018.3333333333308</v>
      </c>
      <c r="BN37" s="401">
        <v>69336.2</v>
      </c>
      <c r="BP37" s="133">
        <f t="shared" si="24"/>
        <v>-5.2483847339594047E-2</v>
      </c>
      <c r="BW37" s="402" t="s">
        <v>327</v>
      </c>
      <c r="BX37" s="403">
        <v>52417.3</v>
      </c>
      <c r="BZ37" s="133">
        <f t="shared" si="25"/>
        <v>6.7629524470995142E-2</v>
      </c>
    </row>
    <row r="38" spans="1:78" ht="14.75">
      <c r="A38" s="969"/>
      <c r="B38" s="366" t="s">
        <v>295</v>
      </c>
      <c r="C38" s="367">
        <v>125</v>
      </c>
      <c r="D38" s="368">
        <v>1.5499999999999999E-3</v>
      </c>
      <c r="E38" s="369">
        <v>5.0200000000000002E-3</v>
      </c>
      <c r="F38" s="370">
        <f t="shared" si="5"/>
        <v>126.3737</v>
      </c>
      <c r="G38" s="407">
        <f>SUM(F35:F38)</f>
        <v>13457.445100000001</v>
      </c>
      <c r="H38" s="407">
        <v>9</v>
      </c>
      <c r="I38" s="972"/>
      <c r="J38" s="417">
        <f t="shared" si="21"/>
        <v>0.8</v>
      </c>
      <c r="K38" s="390">
        <f t="shared" si="18"/>
        <v>1.0134465036538118</v>
      </c>
      <c r="M38" s="367">
        <v>949</v>
      </c>
      <c r="N38" s="368">
        <v>1.15E-2</v>
      </c>
      <c r="O38" s="369">
        <v>3.6999999999999998E-2</v>
      </c>
      <c r="P38" s="370">
        <f t="shared" si="7"/>
        <v>959.12699999999995</v>
      </c>
      <c r="Q38" s="407">
        <f>SUM(P35:P38)</f>
        <v>1068.4290959999998</v>
      </c>
      <c r="R38" s="407">
        <v>112</v>
      </c>
      <c r="S38" s="972"/>
      <c r="T38" s="389">
        <f t="shared" si="22"/>
        <v>3.7037037037037035E-2</v>
      </c>
      <c r="U38" s="390">
        <f t="shared" si="19"/>
        <v>4.6223198034626115E-2</v>
      </c>
      <c r="AD38" s="367">
        <f t="shared" si="1"/>
        <v>1074</v>
      </c>
      <c r="AE38" s="368">
        <f t="shared" si="2"/>
        <v>1.3049999999999999E-2</v>
      </c>
      <c r="AF38" s="369">
        <f t="shared" si="3"/>
        <v>4.2020000000000002E-2</v>
      </c>
      <c r="AG38" s="370">
        <f t="shared" si="6"/>
        <v>1085.5006999999998</v>
      </c>
      <c r="AH38" s="407">
        <f>SUM(AG35:AG38)</f>
        <v>14525.874196000001</v>
      </c>
      <c r="AI38" s="407">
        <f t="shared" si="4"/>
        <v>121</v>
      </c>
      <c r="AJ38" s="972"/>
      <c r="AK38" s="389">
        <f t="shared" si="23"/>
        <v>7.0796460176991149E-2</v>
      </c>
      <c r="AL38" s="390">
        <f t="shared" si="20"/>
        <v>0.10820033765510208</v>
      </c>
      <c r="AN38">
        <v>2022</v>
      </c>
      <c r="AO38" s="173">
        <f>AL91</f>
        <v>1.1260623638643264E-2</v>
      </c>
      <c r="AP38" s="173">
        <f>AL94</f>
        <v>2.2562225475841875</v>
      </c>
      <c r="AQ38" s="173">
        <f>AL95</f>
        <v>0.64648418889639214</v>
      </c>
      <c r="AR38" s="173">
        <f>AL99</f>
        <v>0.47870787764938799</v>
      </c>
      <c r="BL38" t="s">
        <v>328</v>
      </c>
      <c r="BM38">
        <f t="shared" si="26"/>
        <v>2018.416666666664</v>
      </c>
      <c r="BN38" s="401">
        <v>70628.399999999994</v>
      </c>
      <c r="BP38" s="133">
        <f t="shared" si="24"/>
        <v>0.17777796306332588</v>
      </c>
      <c r="BW38" s="402" t="s">
        <v>328</v>
      </c>
      <c r="BX38" s="403">
        <v>50449.3</v>
      </c>
      <c r="BZ38" s="133">
        <f t="shared" si="25"/>
        <v>0.12169379224475282</v>
      </c>
    </row>
    <row r="39" spans="1:78" ht="14.75">
      <c r="A39" s="969"/>
      <c r="B39" s="400" t="s">
        <v>297</v>
      </c>
      <c r="C39" s="367">
        <f>SUM(C35:C38)</f>
        <v>13309.4</v>
      </c>
      <c r="D39" s="368">
        <f>SUM(D35:D38)</f>
        <v>0.16885</v>
      </c>
      <c r="E39" s="369">
        <f>SUM(E35:E38)</f>
        <v>0.54081999999999997</v>
      </c>
      <c r="F39" s="370">
        <f t="shared" si="5"/>
        <v>13457.445100000001</v>
      </c>
      <c r="G39" s="407">
        <f>SUM(F39)</f>
        <v>13457.445100000001</v>
      </c>
      <c r="H39" s="407">
        <f>SUM(H35:H38)</f>
        <v>435</v>
      </c>
      <c r="I39" s="972"/>
      <c r="J39" s="417">
        <f t="shared" si="21"/>
        <v>-5.434782608695652E-2</v>
      </c>
      <c r="K39" s="390">
        <f t="shared" si="18"/>
        <v>7.2752683658364709E-2</v>
      </c>
      <c r="M39" s="367">
        <f>SUM(M35:M38)</f>
        <v>1057.0999999999999</v>
      </c>
      <c r="N39" s="368">
        <f>SUM(N35:N38)</f>
        <v>1.2827E-2</v>
      </c>
      <c r="O39" s="369">
        <f>SUM(O35:O38)</f>
        <v>4.1395999999999995E-2</v>
      </c>
      <c r="P39" s="370">
        <f t="shared" si="7"/>
        <v>1068.4290959999998</v>
      </c>
      <c r="Q39" s="407">
        <f>SUM(P39)</f>
        <v>1068.4290959999998</v>
      </c>
      <c r="R39" s="407">
        <f>SUM(R35:R38)</f>
        <v>123</v>
      </c>
      <c r="S39" s="972"/>
      <c r="T39" s="389">
        <f t="shared" si="22"/>
        <v>8.1967213114754103E-3</v>
      </c>
      <c r="U39" s="390">
        <f t="shared" si="19"/>
        <v>-1.0629151079117792E-2</v>
      </c>
      <c r="AD39" s="367">
        <f t="shared" si="1"/>
        <v>14366.5</v>
      </c>
      <c r="AE39" s="368">
        <f t="shared" si="2"/>
        <v>0.18167700000000001</v>
      </c>
      <c r="AF39" s="369">
        <f t="shared" si="3"/>
        <v>0.58221599999999996</v>
      </c>
      <c r="AG39" s="370">
        <f t="shared" si="6"/>
        <v>14525.874195999999</v>
      </c>
      <c r="AH39" s="407">
        <f>SUM(AG39)</f>
        <v>14525.874195999999</v>
      </c>
      <c r="AI39" s="407">
        <f t="shared" si="4"/>
        <v>558</v>
      </c>
      <c r="AJ39" s="972"/>
      <c r="AK39" s="389">
        <f t="shared" si="23"/>
        <v>-4.1237113402061855E-2</v>
      </c>
      <c r="AL39" s="390">
        <f t="shared" si="20"/>
        <v>6.6143747914344159E-2</v>
      </c>
      <c r="BL39" t="s">
        <v>329</v>
      </c>
      <c r="BM39">
        <f t="shared" si="26"/>
        <v>2018.4999999999973</v>
      </c>
      <c r="BN39" s="401">
        <v>68925.2</v>
      </c>
      <c r="BP39" s="133">
        <f t="shared" si="24"/>
        <v>0.14879928530474551</v>
      </c>
      <c r="BW39" s="402" t="s">
        <v>329</v>
      </c>
      <c r="BX39" s="403">
        <v>50469.8</v>
      </c>
      <c r="BZ39" s="133">
        <f t="shared" si="25"/>
        <v>0.3057115729398161</v>
      </c>
    </row>
    <row r="40" spans="1:78" ht="14.75">
      <c r="A40" s="969"/>
      <c r="B40" s="366" t="s">
        <v>299</v>
      </c>
      <c r="C40" s="367">
        <v>11.9</v>
      </c>
      <c r="D40" s="368">
        <v>1.46E-4</v>
      </c>
      <c r="E40" s="369">
        <v>4.8099999999999998E-4</v>
      </c>
      <c r="F40" s="370">
        <f t="shared" si="5"/>
        <v>12.031553000000001</v>
      </c>
      <c r="G40" s="407">
        <f>F39+F40</f>
        <v>13469.476653000002</v>
      </c>
      <c r="H40" s="407">
        <v>1</v>
      </c>
      <c r="I40" s="972"/>
      <c r="J40" s="417" t="e">
        <f t="shared" si="21"/>
        <v>#DIV/0!</v>
      </c>
      <c r="K40" s="390" t="e">
        <f t="shared" si="18"/>
        <v>#DIV/0!</v>
      </c>
      <c r="M40" s="367">
        <v>63.2</v>
      </c>
      <c r="N40" s="368">
        <v>8.1499999999999997E-4</v>
      </c>
      <c r="O40" s="369">
        <v>2.5999999999999999E-3</v>
      </c>
      <c r="P40" s="370">
        <f t="shared" si="7"/>
        <v>63.911820000000006</v>
      </c>
      <c r="Q40" s="407">
        <f>P39+P40</f>
        <v>1132.3409159999999</v>
      </c>
      <c r="R40" s="407">
        <v>4</v>
      </c>
      <c r="S40" s="972"/>
      <c r="T40" s="389">
        <f t="shared" si="22"/>
        <v>-0.33333333333333331</v>
      </c>
      <c r="U40" s="390">
        <f t="shared" si="19"/>
        <v>-0.66396987960358933</v>
      </c>
      <c r="AD40" s="367">
        <f t="shared" si="1"/>
        <v>75.100000000000009</v>
      </c>
      <c r="AE40" s="368">
        <f t="shared" si="2"/>
        <v>9.6099999999999994E-4</v>
      </c>
      <c r="AF40" s="369">
        <f t="shared" si="3"/>
        <v>3.081E-3</v>
      </c>
      <c r="AG40" s="370">
        <f t="shared" si="6"/>
        <v>75.943373000000008</v>
      </c>
      <c r="AH40" s="407">
        <f>AG39+AG40</f>
        <v>14601.817568999999</v>
      </c>
      <c r="AI40" s="407">
        <f t="shared" si="4"/>
        <v>5</v>
      </c>
      <c r="AJ40" s="972"/>
      <c r="AK40" s="389">
        <f t="shared" si="23"/>
        <v>-0.16666666666666666</v>
      </c>
      <c r="AL40" s="390">
        <f t="shared" si="20"/>
        <v>-0.60071140561324143</v>
      </c>
      <c r="AN40" s="25" t="s">
        <v>350</v>
      </c>
      <c r="AR40" s="25"/>
      <c r="BL40" t="s">
        <v>330</v>
      </c>
      <c r="BM40">
        <f t="shared" si="26"/>
        <v>2018.5833333333305</v>
      </c>
      <c r="BN40" s="401">
        <v>66549.600000000006</v>
      </c>
      <c r="BP40" s="133">
        <f t="shared" si="24"/>
        <v>0.27840358992485137</v>
      </c>
      <c r="BW40" s="402" t="s">
        <v>330</v>
      </c>
      <c r="BX40" s="403">
        <v>47773</v>
      </c>
      <c r="BZ40" s="133">
        <f t="shared" si="25"/>
        <v>5.7828145274504299E-2</v>
      </c>
    </row>
    <row r="41" spans="1:78" ht="14.75">
      <c r="A41" s="969"/>
      <c r="B41" s="366" t="s">
        <v>301</v>
      </c>
      <c r="C41" s="367">
        <v>12300</v>
      </c>
      <c r="D41" s="368">
        <v>0.13200000000000001</v>
      </c>
      <c r="E41" s="369">
        <v>0.47599999999999998</v>
      </c>
      <c r="F41" s="370">
        <f t="shared" si="5"/>
        <v>12429.835999999999</v>
      </c>
      <c r="G41" s="407">
        <f>F41+F40+F39</f>
        <v>25899.312653000001</v>
      </c>
      <c r="H41" s="407">
        <v>83</v>
      </c>
      <c r="I41" s="972"/>
      <c r="J41" s="417">
        <f t="shared" si="21"/>
        <v>3.7499999999999999E-2</v>
      </c>
      <c r="K41" s="390">
        <f t="shared" si="18"/>
        <v>0.17144067239131411</v>
      </c>
      <c r="M41" s="367">
        <v>1970</v>
      </c>
      <c r="N41" s="368">
        <v>2.6200000000000001E-2</v>
      </c>
      <c r="O41" s="369">
        <v>8.3000000000000004E-2</v>
      </c>
      <c r="P41" s="370">
        <f t="shared" si="7"/>
        <v>1992.7285999999999</v>
      </c>
      <c r="Q41" s="407">
        <f>P41+P40+P39</f>
        <v>3125.0695159999996</v>
      </c>
      <c r="R41" s="407">
        <v>62</v>
      </c>
      <c r="S41" s="972"/>
      <c r="T41" s="389">
        <f t="shared" si="22"/>
        <v>0.26530612244897961</v>
      </c>
      <c r="U41" s="390">
        <f t="shared" si="19"/>
        <v>1.1209653462843723</v>
      </c>
      <c r="AD41" s="367">
        <f t="shared" ref="AD41:AD73" si="27">M41+C41</f>
        <v>14270</v>
      </c>
      <c r="AE41" s="368">
        <f t="shared" ref="AE41:AE73" si="28">N41+D41</f>
        <v>0.15820000000000001</v>
      </c>
      <c r="AF41" s="369">
        <f t="shared" ref="AF41:AF73" si="29">O41+E41</f>
        <v>0.55899999999999994</v>
      </c>
      <c r="AG41" s="370">
        <f t="shared" si="6"/>
        <v>14422.5646</v>
      </c>
      <c r="AH41" s="407">
        <f>AG41+AG40+AG39</f>
        <v>29024.382168999997</v>
      </c>
      <c r="AI41" s="407">
        <f t="shared" ref="AI41:AI73" si="30">R41+H41</f>
        <v>145</v>
      </c>
      <c r="AJ41" s="972"/>
      <c r="AK41" s="389">
        <f t="shared" si="23"/>
        <v>0.12403100775193798</v>
      </c>
      <c r="AL41" s="390">
        <f t="shared" si="20"/>
        <v>0.24867829650134857</v>
      </c>
      <c r="BL41" t="s">
        <v>331</v>
      </c>
      <c r="BM41">
        <f t="shared" si="26"/>
        <v>2018.6666666666638</v>
      </c>
      <c r="BN41" s="401">
        <v>63039.9</v>
      </c>
      <c r="BP41" s="133">
        <f t="shared" si="24"/>
        <v>-4.4628527522289192E-2</v>
      </c>
      <c r="BW41" s="402" t="s">
        <v>331</v>
      </c>
      <c r="BX41" s="403">
        <v>48786.8</v>
      </c>
      <c r="BZ41" s="133">
        <f t="shared" si="25"/>
        <v>8.7311563388694391E-2</v>
      </c>
    </row>
    <row r="42" spans="1:78" ht="14.75">
      <c r="A42" s="969"/>
      <c r="B42" s="366" t="s">
        <v>303</v>
      </c>
      <c r="C42" s="367">
        <f>C41+C40</f>
        <v>12311.9</v>
      </c>
      <c r="D42" s="368">
        <f>D41+D40</f>
        <v>0.13214600000000001</v>
      </c>
      <c r="E42" s="369">
        <f>E41+E40</f>
        <v>0.47648099999999999</v>
      </c>
      <c r="F42" s="370">
        <f t="shared" si="5"/>
        <v>12441.867553</v>
      </c>
      <c r="G42" s="407">
        <f>F42+F39</f>
        <v>25899.312653000001</v>
      </c>
      <c r="H42" s="407">
        <f>H41+H40</f>
        <v>84</v>
      </c>
      <c r="I42" s="972"/>
      <c r="J42" s="417">
        <f t="shared" si="21"/>
        <v>0.05</v>
      </c>
      <c r="K42" s="390">
        <f t="shared" si="18"/>
        <v>0.1725745771778481</v>
      </c>
      <c r="M42" s="367">
        <f>M41+M40</f>
        <v>2033.2</v>
      </c>
      <c r="N42" s="368">
        <f>N41+N40</f>
        <v>2.7015000000000001E-2</v>
      </c>
      <c r="O42" s="369">
        <f>O41+O40</f>
        <v>8.5600000000000009E-2</v>
      </c>
      <c r="P42" s="370">
        <f t="shared" si="7"/>
        <v>2056.6404200000002</v>
      </c>
      <c r="Q42" s="407">
        <f>P42+P39</f>
        <v>3125.069516</v>
      </c>
      <c r="R42" s="407">
        <f>R41+R40</f>
        <v>66</v>
      </c>
      <c r="S42" s="972"/>
      <c r="T42" s="389">
        <f t="shared" si="22"/>
        <v>0.2</v>
      </c>
      <c r="U42" s="390">
        <f t="shared" si="19"/>
        <v>0.8204623702970395</v>
      </c>
      <c r="AD42" s="367">
        <f t="shared" si="27"/>
        <v>14345.1</v>
      </c>
      <c r="AE42" s="368">
        <f t="shared" si="28"/>
        <v>0.15916100000000002</v>
      </c>
      <c r="AF42" s="369">
        <f t="shared" si="29"/>
        <v>0.56208100000000005</v>
      </c>
      <c r="AG42" s="370">
        <f t="shared" si="6"/>
        <v>14498.507973</v>
      </c>
      <c r="AH42" s="407">
        <f>AG42+AG39</f>
        <v>29024.382168999997</v>
      </c>
      <c r="AI42" s="407">
        <f t="shared" si="30"/>
        <v>150</v>
      </c>
      <c r="AJ42" s="972"/>
      <c r="AK42" s="389">
        <f t="shared" si="23"/>
        <v>0.1111111111111111</v>
      </c>
      <c r="AL42" s="390">
        <f t="shared" si="20"/>
        <v>0.23491809444419443</v>
      </c>
      <c r="AO42" t="s">
        <v>297</v>
      </c>
      <c r="AP42" t="s">
        <v>303</v>
      </c>
      <c r="AQ42" t="s">
        <v>340</v>
      </c>
      <c r="AR42" t="s">
        <v>218</v>
      </c>
      <c r="BL42" t="s">
        <v>332</v>
      </c>
      <c r="BM42">
        <f t="shared" si="26"/>
        <v>2018.749999999997</v>
      </c>
      <c r="BN42" s="401">
        <v>73077.100000000006</v>
      </c>
      <c r="BP42" s="133">
        <f t="shared" si="24"/>
        <v>0.16634852030018557</v>
      </c>
      <c r="BW42" s="402" t="s">
        <v>332</v>
      </c>
      <c r="BX42" s="403">
        <v>60961.4</v>
      </c>
      <c r="BZ42" s="133">
        <f t="shared" si="25"/>
        <v>9.3113329005928128E-2</v>
      </c>
    </row>
    <row r="43" spans="1:78" ht="14.75">
      <c r="A43" s="969"/>
      <c r="B43" s="366" t="s">
        <v>305</v>
      </c>
      <c r="C43" s="367">
        <f>C42+C39</f>
        <v>25621.3</v>
      </c>
      <c r="D43" s="409">
        <f>D42+D39</f>
        <v>0.30099600000000004</v>
      </c>
      <c r="E43" s="410">
        <f>E42+E39</f>
        <v>1.017301</v>
      </c>
      <c r="F43" s="370">
        <f t="shared" si="5"/>
        <v>25899.312652999997</v>
      </c>
      <c r="G43" s="407">
        <f>F43</f>
        <v>25899.312652999997</v>
      </c>
      <c r="H43" s="407">
        <f>H42+H39</f>
        <v>519</v>
      </c>
      <c r="I43" s="972"/>
      <c r="J43" s="417">
        <f t="shared" si="21"/>
        <v>-3.888888888888889E-2</v>
      </c>
      <c r="K43" s="390">
        <f t="shared" si="18"/>
        <v>0.11849484177977762</v>
      </c>
      <c r="M43" s="367">
        <f>M42+M39</f>
        <v>3090.3</v>
      </c>
      <c r="N43" s="409">
        <f>N42+N39</f>
        <v>3.9842000000000002E-2</v>
      </c>
      <c r="O43" s="410">
        <f>O42+O39</f>
        <v>0.126996</v>
      </c>
      <c r="P43" s="370">
        <f t="shared" si="7"/>
        <v>3125.0695160000005</v>
      </c>
      <c r="Q43" s="407">
        <f>P43</f>
        <v>3125.0695160000005</v>
      </c>
      <c r="R43" s="407">
        <f>R42+R39</f>
        <v>189</v>
      </c>
      <c r="S43" s="972"/>
      <c r="T43" s="389">
        <f t="shared" si="22"/>
        <v>6.7796610169491525E-2</v>
      </c>
      <c r="U43" s="390">
        <f t="shared" si="19"/>
        <v>0.41428719621237547</v>
      </c>
      <c r="AD43" s="367">
        <f t="shared" si="27"/>
        <v>28711.599999999999</v>
      </c>
      <c r="AE43" s="368">
        <f t="shared" si="28"/>
        <v>0.34083800000000003</v>
      </c>
      <c r="AF43" s="369">
        <f t="shared" si="29"/>
        <v>1.1442969999999999</v>
      </c>
      <c r="AG43" s="370">
        <f t="shared" si="6"/>
        <v>29024.382168999997</v>
      </c>
      <c r="AH43" s="407">
        <f>AG43</f>
        <v>29024.382168999997</v>
      </c>
      <c r="AI43" s="407">
        <f t="shared" si="30"/>
        <v>708</v>
      </c>
      <c r="AJ43" s="972"/>
      <c r="AK43" s="389">
        <f t="shared" si="23"/>
        <v>-1.2552301255230125E-2</v>
      </c>
      <c r="AL43" s="390">
        <f t="shared" si="20"/>
        <v>0.14426230256221947</v>
      </c>
      <c r="AN43">
        <v>2017</v>
      </c>
      <c r="AO43" s="173">
        <f>AK26</f>
        <v>0.16633266533066132</v>
      </c>
      <c r="AP43" s="173">
        <f>AK29</f>
        <v>0.22727272727272727</v>
      </c>
      <c r="AQ43" s="173">
        <f>AK30</f>
        <v>0.17733990147783252</v>
      </c>
      <c r="AR43" s="173">
        <f>AK34</f>
        <v>-4.6377646550482501E-2</v>
      </c>
      <c r="BL43" t="s">
        <v>333</v>
      </c>
      <c r="BM43">
        <f t="shared" si="26"/>
        <v>2018.8333333333303</v>
      </c>
      <c r="BN43" s="401">
        <v>72586.2</v>
      </c>
      <c r="BP43" s="133">
        <f>(BN43-BN31)/BN31</f>
        <v>0.28085985681993431</v>
      </c>
      <c r="BW43" s="402" t="s">
        <v>333</v>
      </c>
      <c r="BX43" s="403">
        <v>53795.5</v>
      </c>
      <c r="BZ43" s="133">
        <f>(BX43-BX31)/BX31</f>
        <v>0.17485384076122923</v>
      </c>
    </row>
    <row r="44" spans="1:78" ht="14.75">
      <c r="A44" s="969"/>
      <c r="B44" s="366" t="s">
        <v>35</v>
      </c>
      <c r="C44" s="367">
        <v>1970</v>
      </c>
      <c r="D44" s="368">
        <v>2.52E-2</v>
      </c>
      <c r="E44" s="369">
        <v>8.0399999999999999E-2</v>
      </c>
      <c r="F44" s="370">
        <f t="shared" si="5"/>
        <v>1992.0116</v>
      </c>
      <c r="G44" s="407">
        <f>F43+F44</f>
        <v>27891.324252999999</v>
      </c>
      <c r="H44" s="407">
        <v>78</v>
      </c>
      <c r="I44" s="972"/>
      <c r="J44" s="417">
        <f t="shared" si="21"/>
        <v>-0.30357142857142855</v>
      </c>
      <c r="K44" s="390">
        <f t="shared" si="18"/>
        <v>-5.2847474811927996E-2</v>
      </c>
      <c r="M44" s="367">
        <v>7480</v>
      </c>
      <c r="N44" s="368">
        <v>9.7500000000000003E-2</v>
      </c>
      <c r="O44" s="369">
        <v>0.308</v>
      </c>
      <c r="P44" s="370">
        <f t="shared" si="7"/>
        <v>7564.3499999999995</v>
      </c>
      <c r="Q44" s="407">
        <f>P43+P44</f>
        <v>10689.419516</v>
      </c>
      <c r="R44" s="407">
        <v>368</v>
      </c>
      <c r="S44" s="972"/>
      <c r="T44" s="389">
        <f t="shared" si="22"/>
        <v>3.3707865168539325E-2</v>
      </c>
      <c r="U44" s="390">
        <f t="shared" si="19"/>
        <v>0.30303489036615994</v>
      </c>
      <c r="AD44" s="367">
        <f t="shared" si="27"/>
        <v>9450</v>
      </c>
      <c r="AE44" s="368">
        <f t="shared" si="28"/>
        <v>0.1227</v>
      </c>
      <c r="AF44" s="369">
        <f t="shared" si="29"/>
        <v>0.38839999999999997</v>
      </c>
      <c r="AG44" s="370">
        <f t="shared" si="6"/>
        <v>9556.3616000000002</v>
      </c>
      <c r="AH44" s="407">
        <f>AG43+AG44</f>
        <v>38580.743768999993</v>
      </c>
      <c r="AI44" s="407">
        <f t="shared" si="30"/>
        <v>446</v>
      </c>
      <c r="AJ44" s="972"/>
      <c r="AK44" s="389">
        <f t="shared" si="23"/>
        <v>-4.7008547008547008E-2</v>
      </c>
      <c r="AL44" s="390">
        <f t="shared" si="20"/>
        <v>0.20839085175003813</v>
      </c>
      <c r="AN44">
        <v>2018</v>
      </c>
      <c r="AO44" s="173">
        <f>AK39</f>
        <v>-4.1237113402061855E-2</v>
      </c>
      <c r="AP44" s="173">
        <f>AK42</f>
        <v>0.1111111111111111</v>
      </c>
      <c r="AQ44" s="173">
        <f>AK43</f>
        <v>-1.2552301255230125E-2</v>
      </c>
      <c r="AR44" s="173">
        <f>AK47</f>
        <v>-0.12173387705784625</v>
      </c>
      <c r="BL44" t="s">
        <v>334</v>
      </c>
      <c r="BM44">
        <f t="shared" si="26"/>
        <v>2018.9166666666636</v>
      </c>
      <c r="BN44" s="401">
        <v>64250.3</v>
      </c>
      <c r="BP44" s="133">
        <f t="shared" ref="BP44:BP63" si="31">(BN44-BN32)/BN32</f>
        <v>-3.8937436241088585E-2</v>
      </c>
      <c r="BW44" s="402" t="s">
        <v>334</v>
      </c>
      <c r="BX44" s="403">
        <v>53081.2</v>
      </c>
      <c r="BZ44" s="133">
        <f t="shared" ref="BZ44:BZ63" si="32">(BX44-BX32)/BX32</f>
        <v>0.22839879014248457</v>
      </c>
    </row>
    <row r="45" spans="1:78" ht="14.75">
      <c r="A45" s="969"/>
      <c r="B45" s="366" t="s">
        <v>308</v>
      </c>
      <c r="C45" s="367">
        <v>0</v>
      </c>
      <c r="D45" s="368">
        <v>0</v>
      </c>
      <c r="E45" s="369">
        <v>0</v>
      </c>
      <c r="F45" s="370">
        <f t="shared" si="5"/>
        <v>0</v>
      </c>
      <c r="G45" s="407">
        <f>SUM(F43:F45)</f>
        <v>27891.324252999999</v>
      </c>
      <c r="H45" s="407">
        <v>0</v>
      </c>
      <c r="I45" s="972"/>
      <c r="J45" s="417" t="e">
        <f t="shared" si="21"/>
        <v>#DIV/0!</v>
      </c>
      <c r="K45" s="390" t="e">
        <f t="shared" si="18"/>
        <v>#DIV/0!</v>
      </c>
      <c r="M45" s="367">
        <v>811</v>
      </c>
      <c r="N45" s="368">
        <v>9.6299999999999997E-3</v>
      </c>
      <c r="O45" s="369">
        <v>3.5000000000000003E-2</v>
      </c>
      <c r="P45" s="370">
        <f t="shared" si="7"/>
        <v>820.54463999999996</v>
      </c>
      <c r="Q45" s="407">
        <f>SUM(P43:P45)</f>
        <v>11509.964156</v>
      </c>
      <c r="R45" s="407">
        <v>4520</v>
      </c>
      <c r="S45" s="972"/>
      <c r="T45" s="389">
        <f t="shared" si="22"/>
        <v>-0.15906976744186047</v>
      </c>
      <c r="U45" s="390">
        <f t="shared" si="19"/>
        <v>-3.1085708293903832E-2</v>
      </c>
      <c r="AD45" s="367">
        <f t="shared" si="27"/>
        <v>811</v>
      </c>
      <c r="AE45" s="368">
        <f t="shared" si="28"/>
        <v>9.6299999999999997E-3</v>
      </c>
      <c r="AF45" s="369">
        <f t="shared" si="29"/>
        <v>3.5000000000000003E-2</v>
      </c>
      <c r="AG45" s="370">
        <f t="shared" si="6"/>
        <v>820.54463999999996</v>
      </c>
      <c r="AH45" s="407">
        <f>SUM(AG43:AG45)</f>
        <v>39401.288408999993</v>
      </c>
      <c r="AI45" s="407">
        <f t="shared" si="30"/>
        <v>4520</v>
      </c>
      <c r="AJ45" s="972"/>
      <c r="AK45" s="389">
        <f t="shared" si="23"/>
        <v>-0.15906976744186047</v>
      </c>
      <c r="AL45" s="390">
        <f t="shared" si="20"/>
        <v>-3.1085708293903832E-2</v>
      </c>
      <c r="AN45">
        <v>2019</v>
      </c>
      <c r="AO45" s="173">
        <f>AK52</f>
        <v>0.1111111111111111</v>
      </c>
      <c r="AP45" s="173">
        <f>AK55</f>
        <v>0.16666666666666666</v>
      </c>
      <c r="AQ45" s="173">
        <f>AK56</f>
        <v>0.1228813559322034</v>
      </c>
      <c r="AR45" s="173">
        <f>AK60</f>
        <v>0.16337059329320722</v>
      </c>
      <c r="BL45" t="s">
        <v>335</v>
      </c>
      <c r="BM45">
        <f t="shared" si="26"/>
        <v>2018.9999999999968</v>
      </c>
      <c r="BN45" s="401">
        <v>52595.3</v>
      </c>
      <c r="BP45" s="133">
        <f t="shared" si="31"/>
        <v>2.3802618132269266E-2</v>
      </c>
      <c r="BW45" s="402" t="s">
        <v>335</v>
      </c>
      <c r="BX45" s="403">
        <v>76557</v>
      </c>
      <c r="BZ45" s="133">
        <f t="shared" si="32"/>
        <v>0.58289431243952272</v>
      </c>
    </row>
    <row r="46" spans="1:78" ht="15.5" thickBot="1">
      <c r="A46" s="977"/>
      <c r="B46" s="366" t="s">
        <v>310</v>
      </c>
      <c r="C46" s="375">
        <v>817</v>
      </c>
      <c r="D46" s="376">
        <v>9.8200000000000006E-3</v>
      </c>
      <c r="E46" s="377">
        <v>3.2500000000000001E-2</v>
      </c>
      <c r="F46" s="411">
        <f t="shared" si="5"/>
        <v>825.88745999999992</v>
      </c>
      <c r="G46" s="407">
        <f>SUM(F43:F46)</f>
        <v>28717.211712999997</v>
      </c>
      <c r="H46" s="407">
        <v>31</v>
      </c>
      <c r="I46" s="972"/>
      <c r="J46" s="418">
        <f t="shared" si="21"/>
        <v>0</v>
      </c>
      <c r="K46" s="394">
        <f t="shared" si="18"/>
        <v>0.26626026132549691</v>
      </c>
      <c r="M46" s="375">
        <v>1290</v>
      </c>
      <c r="N46" s="376">
        <v>0.01</v>
      </c>
      <c r="O46" s="377">
        <v>3.61E-2</v>
      </c>
      <c r="P46" s="411">
        <f t="shared" si="7"/>
        <v>1299.8464999999999</v>
      </c>
      <c r="Q46" s="407">
        <f>SUM(P43:P46)</f>
        <v>12809.810656</v>
      </c>
      <c r="R46" s="407">
        <v>110</v>
      </c>
      <c r="S46" s="972"/>
      <c r="T46" s="393">
        <f t="shared" si="22"/>
        <v>2.6666666666666665</v>
      </c>
      <c r="U46" s="394">
        <f t="shared" si="19"/>
        <v>0.10175661085412638</v>
      </c>
      <c r="AD46" s="375">
        <f t="shared" si="27"/>
        <v>2107</v>
      </c>
      <c r="AE46" s="376">
        <f t="shared" si="28"/>
        <v>1.9820000000000001E-2</v>
      </c>
      <c r="AF46" s="377">
        <f t="shared" si="29"/>
        <v>6.8599999999999994E-2</v>
      </c>
      <c r="AG46" s="411">
        <f t="shared" si="6"/>
        <v>2125.73396</v>
      </c>
      <c r="AH46" s="407">
        <f>SUM(AG43:AG46)</f>
        <v>41527.022368999991</v>
      </c>
      <c r="AI46" s="407">
        <f t="shared" si="30"/>
        <v>141</v>
      </c>
      <c r="AJ46" s="972"/>
      <c r="AK46" s="393">
        <f t="shared" si="23"/>
        <v>1.3114754098360655</v>
      </c>
      <c r="AL46" s="394">
        <f t="shared" si="20"/>
        <v>0.1603222863886638</v>
      </c>
      <c r="AN46">
        <v>2020</v>
      </c>
      <c r="AO46" s="173">
        <f>AK65</f>
        <v>-0.15806451612903225</v>
      </c>
      <c r="AP46" s="173">
        <f>AK68</f>
        <v>-0.95428571428571429</v>
      </c>
      <c r="AQ46" s="173">
        <f>AK69</f>
        <v>-0.33333333333333331</v>
      </c>
      <c r="AR46" s="173">
        <f>AK73</f>
        <v>-0.6078344419807834</v>
      </c>
      <c r="BL46" t="s">
        <v>336</v>
      </c>
      <c r="BM46">
        <f t="shared" si="26"/>
        <v>2019.0833333333301</v>
      </c>
      <c r="BN46" s="401">
        <v>60429.1</v>
      </c>
      <c r="BP46" s="133">
        <f t="shared" si="31"/>
        <v>1.7688288264392181E-3</v>
      </c>
      <c r="BW46" s="402" t="s">
        <v>336</v>
      </c>
      <c r="BX46" s="403">
        <v>44705</v>
      </c>
      <c r="BZ46" s="133">
        <f t="shared" si="32"/>
        <v>-3.2292279984760912E-2</v>
      </c>
    </row>
    <row r="47" spans="1:78" ht="15.5" thickBot="1">
      <c r="A47" s="379" t="s">
        <v>21</v>
      </c>
      <c r="B47" s="380">
        <f>A35</f>
        <v>2018</v>
      </c>
      <c r="C47" s="381">
        <f>SUM(C43:C46)</f>
        <v>28408.3</v>
      </c>
      <c r="D47" s="412">
        <f>SUM(D43:D46)</f>
        <v>0.33601600000000004</v>
      </c>
      <c r="E47" s="412">
        <f>SUM(E43:E46)</f>
        <v>1.130201</v>
      </c>
      <c r="F47" s="382">
        <f t="shared" si="5"/>
        <v>28717.211712999997</v>
      </c>
      <c r="G47" s="382">
        <f>G46</f>
        <v>28717.211712999997</v>
      </c>
      <c r="H47" s="382">
        <f>SUM(H43:H46)</f>
        <v>628</v>
      </c>
      <c r="I47" s="973"/>
      <c r="J47" s="397">
        <f t="shared" si="21"/>
        <v>-8.0527086383601759E-2</v>
      </c>
      <c r="K47" s="398">
        <f t="shared" si="18"/>
        <v>0.10830670811954354</v>
      </c>
      <c r="M47" s="381">
        <f>SUM(M43:M46)</f>
        <v>12671.3</v>
      </c>
      <c r="N47" s="412">
        <f>SUM(N43:N46)</f>
        <v>0.15697200000000003</v>
      </c>
      <c r="O47" s="412">
        <f>SUM(O43:O46)</f>
        <v>0.50609599999999999</v>
      </c>
      <c r="P47" s="382">
        <f t="shared" si="7"/>
        <v>12809.810656</v>
      </c>
      <c r="Q47" s="382">
        <f>Q46</f>
        <v>12809.810656</v>
      </c>
      <c r="R47" s="382">
        <f>SUM(R43:R46)</f>
        <v>5187</v>
      </c>
      <c r="S47" s="973"/>
      <c r="T47" s="397">
        <f t="shared" si="22"/>
        <v>-0.12647356012125294</v>
      </c>
      <c r="U47" s="398">
        <f t="shared" si="19"/>
        <v>0.27568874366075563</v>
      </c>
      <c r="AD47" s="381">
        <f t="shared" si="27"/>
        <v>41079.599999999999</v>
      </c>
      <c r="AE47" s="381">
        <f t="shared" si="28"/>
        <v>0.49298800000000009</v>
      </c>
      <c r="AF47" s="381">
        <f t="shared" si="29"/>
        <v>1.6362969999999999</v>
      </c>
      <c r="AG47" s="382">
        <f t="shared" si="6"/>
        <v>41527.022368999998</v>
      </c>
      <c r="AH47" s="382">
        <f>AH46</f>
        <v>41527.022368999991</v>
      </c>
      <c r="AI47" s="382">
        <f t="shared" si="30"/>
        <v>5815</v>
      </c>
      <c r="AJ47" s="973"/>
      <c r="AK47" s="397">
        <f t="shared" si="23"/>
        <v>-0.12173387705784625</v>
      </c>
      <c r="AL47" s="398">
        <f t="shared" si="20"/>
        <v>0.15505645364164353</v>
      </c>
      <c r="AN47">
        <v>2021</v>
      </c>
      <c r="AO47" s="173">
        <f>AK78</f>
        <v>7.8544061302681989E-2</v>
      </c>
      <c r="AP47" s="173">
        <f>AK81</f>
        <v>6.375</v>
      </c>
      <c r="AQ47" s="173">
        <f>AK82</f>
        <v>0.17358490566037735</v>
      </c>
      <c r="AR47" s="173">
        <f>AK86</f>
        <v>0.31021485111194874</v>
      </c>
      <c r="BL47" t="s">
        <v>337</v>
      </c>
      <c r="BM47">
        <f t="shared" si="26"/>
        <v>2019.1666666666633</v>
      </c>
      <c r="BN47" s="401">
        <v>61729.4</v>
      </c>
      <c r="BP47" s="133">
        <f t="shared" si="31"/>
        <v>8.1781969657937756E-2</v>
      </c>
      <c r="BW47" s="402" t="s">
        <v>337</v>
      </c>
      <c r="BX47" s="403">
        <v>52704.9</v>
      </c>
      <c r="BZ47" s="133">
        <f t="shared" si="32"/>
        <v>0.15365875013680641</v>
      </c>
    </row>
    <row r="48" spans="1:78" ht="15" customHeight="1">
      <c r="A48" s="969">
        <v>2019</v>
      </c>
      <c r="B48" s="358" t="s">
        <v>289</v>
      </c>
      <c r="C48" s="359">
        <v>1020</v>
      </c>
      <c r="D48" s="360">
        <v>1.2500000000000001E-2</v>
      </c>
      <c r="E48" s="361">
        <v>3.95E-2</v>
      </c>
      <c r="F48" s="362">
        <f t="shared" si="5"/>
        <v>1030.8175000000001</v>
      </c>
      <c r="G48" s="406">
        <f>F48</f>
        <v>1030.8175000000001</v>
      </c>
      <c r="H48" s="406">
        <v>13</v>
      </c>
      <c r="I48" s="971" t="str">
        <f>"Milli áranna "&amp; $A35 &amp;" og "&amp; $A48</f>
        <v>Milli áranna 2018 og 2019</v>
      </c>
      <c r="J48" s="416">
        <f t="shared" si="21"/>
        <v>5.5</v>
      </c>
      <c r="K48" s="386">
        <f t="shared" si="18"/>
        <v>17.741250413616815</v>
      </c>
      <c r="M48" s="359">
        <v>509</v>
      </c>
      <c r="N48" s="360">
        <v>6.9499999999999996E-3</v>
      </c>
      <c r="O48" s="361">
        <v>2.1700000000000001E-2</v>
      </c>
      <c r="P48" s="362">
        <f>M48+N48*$N$6+O48*$O$6</f>
        <v>514.94510000000002</v>
      </c>
      <c r="Q48" s="406">
        <f>P48</f>
        <v>514.94510000000002</v>
      </c>
      <c r="R48" s="406">
        <v>1</v>
      </c>
      <c r="S48" s="971" t="s">
        <v>274</v>
      </c>
      <c r="T48" s="385" t="e">
        <f t="shared" si="22"/>
        <v>#DIV/0!</v>
      </c>
      <c r="U48" s="386" t="e">
        <f t="shared" si="19"/>
        <v>#DIV/0!</v>
      </c>
      <c r="AD48" s="359">
        <f t="shared" si="27"/>
        <v>1529</v>
      </c>
      <c r="AE48" s="360">
        <f t="shared" si="28"/>
        <v>1.9450000000000002E-2</v>
      </c>
      <c r="AF48" s="361">
        <f t="shared" si="29"/>
        <v>6.1200000000000004E-2</v>
      </c>
      <c r="AG48" s="362">
        <f t="shared" si="6"/>
        <v>1545.7626</v>
      </c>
      <c r="AH48" s="406">
        <f>AG48</f>
        <v>1545.7626</v>
      </c>
      <c r="AI48" s="406">
        <f t="shared" si="30"/>
        <v>14</v>
      </c>
      <c r="AJ48" s="971" t="s">
        <v>274</v>
      </c>
      <c r="AK48" s="385">
        <f t="shared" si="23"/>
        <v>6</v>
      </c>
      <c r="AL48" s="386">
        <f t="shared" si="20"/>
        <v>27.103446018915474</v>
      </c>
      <c r="AN48">
        <v>2022</v>
      </c>
      <c r="AO48" s="173">
        <f>AK91</f>
        <v>1.4209591474245116E-2</v>
      </c>
      <c r="AP48" s="173">
        <f>AK94</f>
        <v>2.1186440677966103</v>
      </c>
      <c r="AQ48" s="173">
        <f>AK95</f>
        <v>0.21382636655948553</v>
      </c>
      <c r="AR48" s="173">
        <f>AK99</f>
        <v>0.48762945914844646</v>
      </c>
      <c r="BL48" t="s">
        <v>338</v>
      </c>
      <c r="BM48">
        <f t="shared" si="26"/>
        <v>2019.2499999999966</v>
      </c>
      <c r="BN48" s="401">
        <v>65567.8</v>
      </c>
      <c r="BP48" s="133">
        <f t="shared" si="31"/>
        <v>4.9660853876607576E-2</v>
      </c>
      <c r="BW48" s="402" t="s">
        <v>338</v>
      </c>
      <c r="BX48" s="403">
        <v>50232.2</v>
      </c>
      <c r="BZ48" s="133">
        <f t="shared" si="32"/>
        <v>0.13850742615211314</v>
      </c>
    </row>
    <row r="49" spans="1:85" ht="14.75">
      <c r="A49" s="969"/>
      <c r="B49" s="366" t="s">
        <v>291</v>
      </c>
      <c r="C49" s="367">
        <v>14200</v>
      </c>
      <c r="D49" s="368">
        <v>0.18</v>
      </c>
      <c r="E49" s="369">
        <v>0.57299999999999995</v>
      </c>
      <c r="F49" s="370">
        <f t="shared" si="5"/>
        <v>14356.885</v>
      </c>
      <c r="G49" s="407">
        <f>F49+F48</f>
        <v>15387.702499999999</v>
      </c>
      <c r="H49" s="407">
        <v>333</v>
      </c>
      <c r="I49" s="972"/>
      <c r="J49" s="417">
        <f t="shared" si="21"/>
        <v>0.26615969581749049</v>
      </c>
      <c r="K49" s="390">
        <f t="shared" si="18"/>
        <v>0.20336887310647245</v>
      </c>
      <c r="M49" s="367">
        <v>174</v>
      </c>
      <c r="N49" s="368">
        <v>2.0799999999999998E-3</v>
      </c>
      <c r="O49" s="369">
        <v>7.0000000000000001E-3</v>
      </c>
      <c r="P49" s="370">
        <f>M49+N49*$N$6+O49*$O$6</f>
        <v>175.91324</v>
      </c>
      <c r="Q49" s="407">
        <f>P49+P48</f>
        <v>690.85834</v>
      </c>
      <c r="R49" s="407">
        <v>6</v>
      </c>
      <c r="S49" s="972"/>
      <c r="T49" s="389">
        <f t="shared" si="22"/>
        <v>0</v>
      </c>
      <c r="U49" s="390">
        <f t="shared" si="19"/>
        <v>1.0069662385004581</v>
      </c>
      <c r="AD49" s="367">
        <f t="shared" si="27"/>
        <v>14374</v>
      </c>
      <c r="AE49" s="368">
        <f t="shared" si="28"/>
        <v>0.18207999999999999</v>
      </c>
      <c r="AF49" s="369">
        <f t="shared" si="29"/>
        <v>0.57999999999999996</v>
      </c>
      <c r="AG49" s="370">
        <f t="shared" si="6"/>
        <v>14532.79824</v>
      </c>
      <c r="AH49" s="407">
        <f>AG49+AG48</f>
        <v>16078.56084</v>
      </c>
      <c r="AI49" s="407">
        <f t="shared" si="30"/>
        <v>339</v>
      </c>
      <c r="AJ49" s="972"/>
      <c r="AK49" s="389">
        <f t="shared" si="23"/>
        <v>0.26022304832713755</v>
      </c>
      <c r="AL49" s="390">
        <f t="shared" si="20"/>
        <v>0.20922966788835309</v>
      </c>
      <c r="BL49" t="s">
        <v>339</v>
      </c>
      <c r="BM49">
        <f t="shared" si="26"/>
        <v>2019.3333333333298</v>
      </c>
      <c r="BN49" s="401">
        <v>66047.199999999997</v>
      </c>
      <c r="BP49" s="133">
        <f t="shared" si="31"/>
        <v>-4.743553872291819E-2</v>
      </c>
      <c r="BW49" s="402" t="s">
        <v>339</v>
      </c>
      <c r="BX49" s="403">
        <v>63230.5</v>
      </c>
      <c r="BZ49" s="133">
        <f t="shared" si="32"/>
        <v>0.20629067120969596</v>
      </c>
    </row>
    <row r="50" spans="1:85" ht="14.75">
      <c r="A50" s="969"/>
      <c r="B50" s="366" t="s">
        <v>293</v>
      </c>
      <c r="C50" s="367">
        <v>1720</v>
      </c>
      <c r="D50" s="368">
        <v>2.3099999999999999E-2</v>
      </c>
      <c r="E50" s="369">
        <v>7.3499999999999996E-2</v>
      </c>
      <c r="F50" s="370">
        <f t="shared" si="5"/>
        <v>1740.1242999999999</v>
      </c>
      <c r="G50" s="407">
        <f>F50+F49+F48</f>
        <v>17127.826799999999</v>
      </c>
      <c r="H50" s="407">
        <v>122</v>
      </c>
      <c r="I50" s="972"/>
      <c r="J50" s="417">
        <f t="shared" si="21"/>
        <v>-0.24223602484472051</v>
      </c>
      <c r="K50" s="390">
        <f t="shared" si="18"/>
        <v>0.29329981795504062</v>
      </c>
      <c r="M50" s="367">
        <v>7.61</v>
      </c>
      <c r="N50" s="368">
        <f>0.0000946</f>
        <v>9.4599999999999996E-5</v>
      </c>
      <c r="O50" s="369">
        <v>3.2000000000000003E-4</v>
      </c>
      <c r="P50" s="370">
        <f t="shared" si="7"/>
        <v>7.697448800000001</v>
      </c>
      <c r="Q50" s="407">
        <f>P50+P49+P48</f>
        <v>698.55578880000007</v>
      </c>
      <c r="R50" s="407">
        <v>2</v>
      </c>
      <c r="S50" s="972"/>
      <c r="T50" s="389">
        <f t="shared" si="22"/>
        <v>-0.6</v>
      </c>
      <c r="U50" s="390">
        <f t="shared" si="19"/>
        <v>-0.6444723828836435</v>
      </c>
      <c r="AD50" s="367">
        <f t="shared" si="27"/>
        <v>1727.61</v>
      </c>
      <c r="AE50" s="368">
        <f t="shared" si="28"/>
        <v>2.3194599999999999E-2</v>
      </c>
      <c r="AF50" s="369">
        <f t="shared" si="29"/>
        <v>7.3819999999999997E-2</v>
      </c>
      <c r="AG50" s="370">
        <f t="shared" si="6"/>
        <v>1747.8217488</v>
      </c>
      <c r="AH50" s="407">
        <f>AG50+AG49+AG48</f>
        <v>17826.382588799999</v>
      </c>
      <c r="AI50" s="407">
        <f t="shared" si="30"/>
        <v>124</v>
      </c>
      <c r="AJ50" s="972"/>
      <c r="AK50" s="389">
        <f t="shared" si="23"/>
        <v>-0.25301204819277107</v>
      </c>
      <c r="AL50" s="390">
        <f t="shared" si="20"/>
        <v>0.27844877299761606</v>
      </c>
      <c r="BL50" t="s">
        <v>341</v>
      </c>
      <c r="BM50">
        <f t="shared" si="26"/>
        <v>2019.4166666666631</v>
      </c>
      <c r="BN50" s="401">
        <v>74676.800000000003</v>
      </c>
      <c r="BP50" s="133">
        <f t="shared" si="31"/>
        <v>5.7319718413556146E-2</v>
      </c>
      <c r="BW50" s="402" t="s">
        <v>341</v>
      </c>
      <c r="BX50" s="403">
        <v>45688.3</v>
      </c>
      <c r="BZ50" s="133">
        <f t="shared" si="32"/>
        <v>-9.4371973446608762E-2</v>
      </c>
    </row>
    <row r="51" spans="1:85" ht="14.75">
      <c r="A51" s="969"/>
      <c r="B51" s="366" t="s">
        <v>295</v>
      </c>
      <c r="C51" s="367">
        <v>726</v>
      </c>
      <c r="D51" s="368">
        <v>8.2100000000000003E-3</v>
      </c>
      <c r="E51" s="369">
        <v>2.63E-2</v>
      </c>
      <c r="F51" s="370">
        <f t="shared" si="5"/>
        <v>733.19938000000002</v>
      </c>
      <c r="G51" s="407">
        <f>SUM(F48:F51)</f>
        <v>17861.026180000001</v>
      </c>
      <c r="H51" s="407">
        <v>9</v>
      </c>
      <c r="I51" s="972"/>
      <c r="J51" s="417">
        <f t="shared" si="21"/>
        <v>0</v>
      </c>
      <c r="K51" s="390">
        <f t="shared" si="18"/>
        <v>4.8018351919742797</v>
      </c>
      <c r="M51" s="367">
        <v>1120</v>
      </c>
      <c r="N51" s="368">
        <v>1.38E-2</v>
      </c>
      <c r="O51" s="369">
        <v>4.4200000000000003E-2</v>
      </c>
      <c r="P51" s="370">
        <f t="shared" si="7"/>
        <v>1132.0994000000001</v>
      </c>
      <c r="Q51" s="407">
        <f>SUM(P48:P51)</f>
        <v>1830.6551887999999</v>
      </c>
      <c r="R51" s="407">
        <v>134</v>
      </c>
      <c r="S51" s="972"/>
      <c r="T51" s="389">
        <f t="shared" si="22"/>
        <v>0.19642857142857142</v>
      </c>
      <c r="U51" s="390">
        <f t="shared" si="19"/>
        <v>0.18034358327937813</v>
      </c>
      <c r="AD51" s="367">
        <f t="shared" si="27"/>
        <v>1846</v>
      </c>
      <c r="AE51" s="368">
        <f t="shared" si="28"/>
        <v>2.2010000000000002E-2</v>
      </c>
      <c r="AF51" s="369">
        <f t="shared" si="29"/>
        <v>7.0500000000000007E-2</v>
      </c>
      <c r="AG51" s="370">
        <f t="shared" si="6"/>
        <v>1865.2987799999999</v>
      </c>
      <c r="AH51" s="407">
        <f>SUM(AG48:AG51)</f>
        <v>19691.6813688</v>
      </c>
      <c r="AI51" s="407">
        <f t="shared" si="30"/>
        <v>143</v>
      </c>
      <c r="AJ51" s="972"/>
      <c r="AK51" s="389">
        <f t="shared" si="23"/>
        <v>0.18181818181818182</v>
      </c>
      <c r="AL51" s="390">
        <f t="shared" si="20"/>
        <v>0.71837639533535091</v>
      </c>
      <c r="BL51" t="s">
        <v>342</v>
      </c>
      <c r="BM51">
        <f t="shared" si="26"/>
        <v>2019.4999999999964</v>
      </c>
      <c r="BN51" s="401">
        <v>71560.5</v>
      </c>
      <c r="BP51" s="133">
        <f t="shared" si="31"/>
        <v>3.8234201714322236E-2</v>
      </c>
      <c r="BW51" s="402" t="s">
        <v>342</v>
      </c>
      <c r="BX51" s="403">
        <v>51508.800000000003</v>
      </c>
      <c r="BZ51" s="133">
        <f t="shared" si="32"/>
        <v>2.0586568601421048E-2</v>
      </c>
    </row>
    <row r="52" spans="1:85" ht="14.75">
      <c r="A52" s="969"/>
      <c r="B52" s="400" t="s">
        <v>297</v>
      </c>
      <c r="C52" s="367">
        <f>SUM(C48:C51)</f>
        <v>17666</v>
      </c>
      <c r="D52" s="368">
        <f>SUM(D48:D51)</f>
        <v>0.22381000000000001</v>
      </c>
      <c r="E52" s="369">
        <f>SUM(E48:E51)</f>
        <v>0.71229999999999993</v>
      </c>
      <c r="F52" s="370">
        <f t="shared" si="5"/>
        <v>17861.026180000001</v>
      </c>
      <c r="G52" s="407">
        <f>SUM(F52)</f>
        <v>17861.026180000001</v>
      </c>
      <c r="H52" s="407">
        <f>SUM(H48:H51)</f>
        <v>477</v>
      </c>
      <c r="I52" s="972"/>
      <c r="J52" s="417">
        <f t="shared" si="21"/>
        <v>9.6551724137931033E-2</v>
      </c>
      <c r="K52" s="390">
        <f t="shared" si="18"/>
        <v>0.32722266725056154</v>
      </c>
      <c r="M52" s="367">
        <f>SUM(M48:M51)</f>
        <v>1810.6100000000001</v>
      </c>
      <c r="N52" s="368">
        <f>SUM(N48:N51)</f>
        <v>2.29246E-2</v>
      </c>
      <c r="O52" s="369">
        <f>SUM(O48:O51)</f>
        <v>7.3220000000000007E-2</v>
      </c>
      <c r="P52" s="370">
        <f t="shared" si="7"/>
        <v>1830.6551888000001</v>
      </c>
      <c r="Q52" s="407">
        <f>SUM(P52)</f>
        <v>1830.6551888000001</v>
      </c>
      <c r="R52" s="407">
        <f>SUM(R48:R51)</f>
        <v>143</v>
      </c>
      <c r="S52" s="972"/>
      <c r="T52" s="389">
        <f t="shared" si="22"/>
        <v>0.16260162601626016</v>
      </c>
      <c r="U52" s="390">
        <f t="shared" si="19"/>
        <v>0.71340821366025431</v>
      </c>
      <c r="AD52" s="367">
        <f t="shared" si="27"/>
        <v>19476.61</v>
      </c>
      <c r="AE52" s="368">
        <f t="shared" si="28"/>
        <v>0.2467346</v>
      </c>
      <c r="AF52" s="369">
        <f t="shared" si="29"/>
        <v>0.78552</v>
      </c>
      <c r="AG52" s="370">
        <f t="shared" si="6"/>
        <v>19691.6813688</v>
      </c>
      <c r="AH52" s="407">
        <f>SUM(AG52)</f>
        <v>19691.6813688</v>
      </c>
      <c r="AI52" s="407">
        <f t="shared" si="30"/>
        <v>620</v>
      </c>
      <c r="AJ52" s="972"/>
      <c r="AK52" s="389">
        <f t="shared" si="23"/>
        <v>0.1111111111111111</v>
      </c>
      <c r="AL52" s="390">
        <f t="shared" si="20"/>
        <v>0.35562797137693192</v>
      </c>
      <c r="BL52" t="s">
        <v>343</v>
      </c>
      <c r="BM52">
        <f t="shared" si="26"/>
        <v>2019.5833333333296</v>
      </c>
      <c r="BN52" s="401">
        <v>58093.4</v>
      </c>
      <c r="BP52" s="133">
        <f t="shared" si="31"/>
        <v>-0.1270661281209805</v>
      </c>
      <c r="BW52" s="402" t="s">
        <v>343</v>
      </c>
      <c r="BX52" s="403">
        <v>45886.400000000001</v>
      </c>
      <c r="BZ52" s="133">
        <f t="shared" si="32"/>
        <v>-3.9490925836769691E-2</v>
      </c>
    </row>
    <row r="53" spans="1:85" ht="14.75">
      <c r="A53" s="969"/>
      <c r="B53" s="366" t="s">
        <v>299</v>
      </c>
      <c r="C53" s="367">
        <v>289</v>
      </c>
      <c r="D53" s="368">
        <v>3.5500000000000002E-3</v>
      </c>
      <c r="E53" s="369">
        <v>1.15E-2</v>
      </c>
      <c r="F53" s="370">
        <f t="shared" si="5"/>
        <v>292.14690000000002</v>
      </c>
      <c r="G53" s="407">
        <f>F52+F53</f>
        <v>18153.17308</v>
      </c>
      <c r="H53" s="407">
        <v>6</v>
      </c>
      <c r="I53" s="972"/>
      <c r="J53" s="417">
        <f t="shared" si="21"/>
        <v>5</v>
      </c>
      <c r="K53" s="390">
        <f t="shared" si="18"/>
        <v>23.281728219125164</v>
      </c>
      <c r="M53" s="367">
        <v>33.9</v>
      </c>
      <c r="N53" s="368">
        <v>4.17E-4</v>
      </c>
      <c r="O53" s="369">
        <v>1.3699999999999999E-3</v>
      </c>
      <c r="P53" s="370">
        <f t="shared" si="7"/>
        <v>34.274726000000001</v>
      </c>
      <c r="Q53" s="407">
        <f>P52+P53</f>
        <v>1864.9299148000002</v>
      </c>
      <c r="R53" s="407">
        <v>4</v>
      </c>
      <c r="S53" s="972"/>
      <c r="T53" s="389">
        <f t="shared" si="22"/>
        <v>0</v>
      </c>
      <c r="U53" s="390">
        <f t="shared" si="19"/>
        <v>-0.46371851091081434</v>
      </c>
      <c r="AD53" s="367">
        <f t="shared" si="27"/>
        <v>322.89999999999998</v>
      </c>
      <c r="AE53" s="368">
        <f t="shared" si="28"/>
        <v>3.967E-3</v>
      </c>
      <c r="AF53" s="369">
        <f t="shared" si="29"/>
        <v>1.2869999999999999E-2</v>
      </c>
      <c r="AG53" s="370">
        <f t="shared" si="6"/>
        <v>326.421626</v>
      </c>
      <c r="AH53" s="407">
        <f>AG52+AG53</f>
        <v>20018.1029948</v>
      </c>
      <c r="AI53" s="407">
        <f t="shared" si="30"/>
        <v>10</v>
      </c>
      <c r="AJ53" s="972"/>
      <c r="AK53" s="389">
        <f t="shared" si="23"/>
        <v>1</v>
      </c>
      <c r="AL53" s="390">
        <f t="shared" si="20"/>
        <v>3.2982239674816651</v>
      </c>
      <c r="BL53" t="s">
        <v>345</v>
      </c>
      <c r="BM53">
        <f t="shared" si="26"/>
        <v>2019.6666666666629</v>
      </c>
      <c r="BN53" s="401">
        <v>69422.600000000006</v>
      </c>
      <c r="BP53" s="133">
        <f t="shared" si="31"/>
        <v>0.10124857431563192</v>
      </c>
      <c r="BW53" s="402" t="s">
        <v>345</v>
      </c>
      <c r="BX53" s="403">
        <v>50404.6</v>
      </c>
      <c r="BZ53" s="133">
        <f t="shared" si="32"/>
        <v>3.3160609017193081E-2</v>
      </c>
    </row>
    <row r="54" spans="1:85" ht="14.75">
      <c r="A54" s="969"/>
      <c r="B54" s="366" t="s">
        <v>301</v>
      </c>
      <c r="C54" s="367">
        <v>16500</v>
      </c>
      <c r="D54" s="368">
        <v>0.17599999999999999</v>
      </c>
      <c r="E54" s="369">
        <v>0.64</v>
      </c>
      <c r="F54" s="370">
        <f t="shared" si="5"/>
        <v>16674.527999999998</v>
      </c>
      <c r="G54" s="407">
        <f>F54+F53+F52</f>
        <v>34827.701079999999</v>
      </c>
      <c r="H54" s="407">
        <v>103</v>
      </c>
      <c r="I54" s="972"/>
      <c r="J54" s="417">
        <f t="shared" si="21"/>
        <v>0.24096385542168675</v>
      </c>
      <c r="K54" s="390">
        <f t="shared" ref="K54:K73" si="33">(F54-F41)/F41</f>
        <v>0.34149219667902292</v>
      </c>
      <c r="M54" s="367">
        <v>2210</v>
      </c>
      <c r="N54" s="368">
        <v>2.8899999999999999E-2</v>
      </c>
      <c r="O54" s="369">
        <v>9.2999999999999999E-2</v>
      </c>
      <c r="P54" s="370">
        <f t="shared" si="7"/>
        <v>2235.4542000000001</v>
      </c>
      <c r="Q54" s="407">
        <f>P54+P53+P52</f>
        <v>4100.3841148000001</v>
      </c>
      <c r="R54" s="407">
        <v>62</v>
      </c>
      <c r="S54" s="972"/>
      <c r="T54" s="389">
        <f t="shared" si="22"/>
        <v>0</v>
      </c>
      <c r="U54" s="390">
        <f t="shared" ref="U54:U73" si="34">(P54-P41)/P41</f>
        <v>0.12180564879733258</v>
      </c>
      <c r="AD54" s="367">
        <f t="shared" si="27"/>
        <v>18710</v>
      </c>
      <c r="AE54" s="368">
        <f t="shared" si="28"/>
        <v>0.2049</v>
      </c>
      <c r="AF54" s="369">
        <f t="shared" si="29"/>
        <v>0.73299999999999998</v>
      </c>
      <c r="AG54" s="370">
        <f t="shared" si="6"/>
        <v>18909.982199999999</v>
      </c>
      <c r="AH54" s="407">
        <f>AG54+AG53+AG52</f>
        <v>38928.085194799998</v>
      </c>
      <c r="AI54" s="407">
        <f t="shared" si="30"/>
        <v>165</v>
      </c>
      <c r="AJ54" s="972"/>
      <c r="AK54" s="389">
        <f t="shared" si="23"/>
        <v>0.13793103448275862</v>
      </c>
      <c r="AL54" s="390">
        <f t="shared" ref="AL54:AL73" si="35">(AG54-AG41)/AG41</f>
        <v>0.31113867224418595</v>
      </c>
      <c r="AO54" t="s">
        <v>301</v>
      </c>
      <c r="AP54" t="s">
        <v>297</v>
      </c>
      <c r="AQ54" t="s">
        <v>313</v>
      </c>
      <c r="BL54" t="s">
        <v>346</v>
      </c>
      <c r="BM54">
        <f t="shared" si="26"/>
        <v>2019.7499999999961</v>
      </c>
      <c r="BN54" s="401">
        <v>64734.1</v>
      </c>
      <c r="BP54" s="133">
        <f t="shared" si="31"/>
        <v>-0.11416709201651415</v>
      </c>
      <c r="BW54" s="402" t="s">
        <v>346</v>
      </c>
      <c r="BX54" s="403">
        <v>65051.4</v>
      </c>
      <c r="BZ54" s="133">
        <f t="shared" si="32"/>
        <v>6.7091635034628463E-2</v>
      </c>
    </row>
    <row r="55" spans="1:85" ht="14.75">
      <c r="A55" s="969"/>
      <c r="B55" s="366" t="s">
        <v>303</v>
      </c>
      <c r="C55" s="367">
        <f>C54+C53</f>
        <v>16789</v>
      </c>
      <c r="D55" s="368">
        <f>D54+D53</f>
        <v>0.17954999999999999</v>
      </c>
      <c r="E55" s="369">
        <f>E54+E53</f>
        <v>0.65149999999999997</v>
      </c>
      <c r="F55" s="370">
        <f t="shared" si="5"/>
        <v>16966.674899999998</v>
      </c>
      <c r="G55" s="407">
        <f>F55+F52</f>
        <v>34827.701079999999</v>
      </c>
      <c r="H55" s="407">
        <f>H54+H53</f>
        <v>109</v>
      </c>
      <c r="I55" s="972"/>
      <c r="J55" s="417">
        <f t="shared" si="21"/>
        <v>0.29761904761904762</v>
      </c>
      <c r="K55" s="390">
        <f t="shared" si="33"/>
        <v>0.36367589734621236</v>
      </c>
      <c r="M55" s="367">
        <f>M54+M53</f>
        <v>2243.9</v>
      </c>
      <c r="N55" s="368">
        <f>N54+N53</f>
        <v>2.9316999999999999E-2</v>
      </c>
      <c r="O55" s="369">
        <f>O54+O53</f>
        <v>9.4369999999999996E-2</v>
      </c>
      <c r="P55" s="370">
        <f t="shared" si="7"/>
        <v>2269.7289260000002</v>
      </c>
      <c r="Q55" s="407">
        <f>P55+P52</f>
        <v>4100.3841148000001</v>
      </c>
      <c r="R55" s="407">
        <f>R54+R53</f>
        <v>66</v>
      </c>
      <c r="S55" s="972"/>
      <c r="T55" s="389">
        <f t="shared" si="22"/>
        <v>0</v>
      </c>
      <c r="U55" s="390">
        <f t="shared" si="34"/>
        <v>0.10360999615090713</v>
      </c>
      <c r="AD55" s="367">
        <f t="shared" si="27"/>
        <v>19032.900000000001</v>
      </c>
      <c r="AE55" s="368">
        <f t="shared" si="28"/>
        <v>0.208867</v>
      </c>
      <c r="AF55" s="369">
        <f t="shared" si="29"/>
        <v>0.74586999999999992</v>
      </c>
      <c r="AG55" s="370">
        <f t="shared" si="6"/>
        <v>19236.403826000002</v>
      </c>
      <c r="AH55" s="407">
        <f>AG55+AG52</f>
        <v>38928.085194800005</v>
      </c>
      <c r="AI55" s="407">
        <f t="shared" si="30"/>
        <v>175</v>
      </c>
      <c r="AJ55" s="972"/>
      <c r="AK55" s="389">
        <f t="shared" si="23"/>
        <v>0.16666666666666666</v>
      </c>
      <c r="AL55" s="390">
        <f t="shared" si="35"/>
        <v>0.32678506380264771</v>
      </c>
      <c r="AN55">
        <v>2016</v>
      </c>
      <c r="AO55" s="413">
        <f>AG15/AG21</f>
        <v>0.34584183528553203</v>
      </c>
      <c r="AP55" s="413">
        <f>AG13/AG21</f>
        <v>0.28502914184080569</v>
      </c>
      <c r="AQ55" s="413">
        <f>AG10/AG21</f>
        <v>0.21525364987925383</v>
      </c>
      <c r="BL55" t="s">
        <v>351</v>
      </c>
      <c r="BM55">
        <f t="shared" si="26"/>
        <v>2019.8333333333294</v>
      </c>
      <c r="BN55" s="401">
        <v>57174.6</v>
      </c>
      <c r="BP55" s="133">
        <f t="shared" si="31"/>
        <v>-0.21232135033932067</v>
      </c>
      <c r="BW55" s="402" t="s">
        <v>351</v>
      </c>
      <c r="BX55" s="403">
        <v>52114.1</v>
      </c>
      <c r="BZ55" s="133">
        <f t="shared" si="32"/>
        <v>-3.1255402403546795E-2</v>
      </c>
    </row>
    <row r="56" spans="1:85" ht="14.75">
      <c r="A56" s="969"/>
      <c r="B56" s="366" t="s">
        <v>305</v>
      </c>
      <c r="C56" s="367">
        <f>C55+C52</f>
        <v>34455</v>
      </c>
      <c r="D56" s="409">
        <f>D55+D52</f>
        <v>0.40336</v>
      </c>
      <c r="E56" s="410">
        <f>E55+E52</f>
        <v>1.3637999999999999</v>
      </c>
      <c r="F56" s="370">
        <f t="shared" si="5"/>
        <v>34827.701079999999</v>
      </c>
      <c r="G56" s="407">
        <f>F56</f>
        <v>34827.701079999999</v>
      </c>
      <c r="H56" s="407">
        <f>H55+H52</f>
        <v>586</v>
      </c>
      <c r="I56" s="972"/>
      <c r="J56" s="417">
        <f t="shared" si="21"/>
        <v>0.12909441233140656</v>
      </c>
      <c r="K56" s="390">
        <f t="shared" si="33"/>
        <v>0.3447345706282981</v>
      </c>
      <c r="M56" s="367">
        <f>M55+M52</f>
        <v>4054.51</v>
      </c>
      <c r="N56" s="409">
        <f>N55+N52</f>
        <v>5.2241599999999999E-2</v>
      </c>
      <c r="O56" s="410">
        <f>O55+O52</f>
        <v>0.16759000000000002</v>
      </c>
      <c r="P56" s="370">
        <f t="shared" si="7"/>
        <v>4100.3841148000001</v>
      </c>
      <c r="Q56" s="407">
        <f>P56</f>
        <v>4100.3841148000001</v>
      </c>
      <c r="R56" s="407">
        <f>R55+R52</f>
        <v>209</v>
      </c>
      <c r="S56" s="972"/>
      <c r="T56" s="389">
        <f t="shared" si="22"/>
        <v>0.10582010582010581</v>
      </c>
      <c r="U56" s="390">
        <f t="shared" si="34"/>
        <v>0.31209372905354582</v>
      </c>
      <c r="AD56" s="367">
        <f t="shared" si="27"/>
        <v>38509.51</v>
      </c>
      <c r="AE56" s="368">
        <f t="shared" si="28"/>
        <v>0.4556016</v>
      </c>
      <c r="AF56" s="369">
        <f t="shared" si="29"/>
        <v>1.53139</v>
      </c>
      <c r="AG56" s="370">
        <f t="shared" si="6"/>
        <v>38928.085194800005</v>
      </c>
      <c r="AH56" s="407">
        <f>AG56</f>
        <v>38928.085194800005</v>
      </c>
      <c r="AI56" s="407">
        <f t="shared" si="30"/>
        <v>795</v>
      </c>
      <c r="AJ56" s="972"/>
      <c r="AK56" s="389">
        <f t="shared" si="23"/>
        <v>0.1228813559322034</v>
      </c>
      <c r="AL56" s="390">
        <f t="shared" si="35"/>
        <v>0.34122011514780265</v>
      </c>
      <c r="AN56">
        <v>2017</v>
      </c>
      <c r="AO56" s="413">
        <f>AG28/AG34</f>
        <v>0.32126569137189587</v>
      </c>
      <c r="AP56" s="413">
        <f>AG26/AG34</f>
        <v>0.37896485296848614</v>
      </c>
      <c r="AQ56" s="413">
        <f>AG23/AG34</f>
        <v>0.30329226830316036</v>
      </c>
      <c r="BL56" t="s">
        <v>352</v>
      </c>
      <c r="BM56">
        <f t="shared" si="26"/>
        <v>2019.9166666666626</v>
      </c>
      <c r="BN56" s="401">
        <v>53624.7</v>
      </c>
      <c r="BP56" s="133">
        <f t="shared" si="31"/>
        <v>-0.16537821613284304</v>
      </c>
      <c r="BW56" s="402" t="s">
        <v>352</v>
      </c>
      <c r="BX56" s="403">
        <v>42871.1</v>
      </c>
      <c r="BZ56" s="133">
        <f t="shared" si="32"/>
        <v>-0.19234870349577626</v>
      </c>
    </row>
    <row r="57" spans="1:85" ht="14.75">
      <c r="A57" s="969"/>
      <c r="B57" s="366" t="s">
        <v>35</v>
      </c>
      <c r="C57" s="367">
        <v>1860</v>
      </c>
      <c r="D57" s="368">
        <v>2.5000000000000001E-2</v>
      </c>
      <c r="E57" s="369">
        <v>7.5899999999999995E-2</v>
      </c>
      <c r="F57" s="370">
        <f t="shared" si="5"/>
        <v>1880.8135</v>
      </c>
      <c r="G57" s="407">
        <f>F56+F57</f>
        <v>36708.514579999995</v>
      </c>
      <c r="H57" s="407">
        <v>42</v>
      </c>
      <c r="I57" s="972"/>
      <c r="J57" s="417">
        <f t="shared" si="21"/>
        <v>-0.46153846153846156</v>
      </c>
      <c r="K57" s="390">
        <f t="shared" si="33"/>
        <v>-5.5822014289475051E-2</v>
      </c>
      <c r="M57" s="367">
        <v>8060</v>
      </c>
      <c r="N57" s="368">
        <v>0.106</v>
      </c>
      <c r="O57" s="369">
        <v>0.33400000000000002</v>
      </c>
      <c r="P57" s="370">
        <f t="shared" si="7"/>
        <v>8151.4780000000001</v>
      </c>
      <c r="Q57" s="407">
        <f>P56+P57</f>
        <v>12251.8621148</v>
      </c>
      <c r="R57" s="407">
        <v>294</v>
      </c>
      <c r="S57" s="972"/>
      <c r="T57" s="389">
        <f t="shared" si="22"/>
        <v>-0.20108695652173914</v>
      </c>
      <c r="U57" s="390">
        <f t="shared" si="34"/>
        <v>7.7617772842346097E-2</v>
      </c>
      <c r="AD57" s="367">
        <f t="shared" si="27"/>
        <v>9920</v>
      </c>
      <c r="AE57" s="368">
        <f t="shared" si="28"/>
        <v>0.13100000000000001</v>
      </c>
      <c r="AF57" s="369">
        <f t="shared" si="29"/>
        <v>0.40990000000000004</v>
      </c>
      <c r="AG57" s="370">
        <f t="shared" si="6"/>
        <v>10032.291499999999</v>
      </c>
      <c r="AH57" s="407">
        <f>AG56+AG57</f>
        <v>48960.376694800005</v>
      </c>
      <c r="AI57" s="407">
        <f t="shared" si="30"/>
        <v>336</v>
      </c>
      <c r="AJ57" s="972"/>
      <c r="AK57" s="389">
        <f t="shared" si="23"/>
        <v>-0.24663677130044842</v>
      </c>
      <c r="AL57" s="390">
        <f t="shared" si="35"/>
        <v>4.9802416434304782E-2</v>
      </c>
      <c r="AN57">
        <v>2018</v>
      </c>
      <c r="AO57" s="413">
        <f>AG41/AG47</f>
        <v>0.34730553209050863</v>
      </c>
      <c r="AP57" s="413">
        <f>AG39/AG47</f>
        <v>0.3497933000571597</v>
      </c>
      <c r="AQ57" s="413">
        <f>AG36/AG47</f>
        <v>0.28940741797494324</v>
      </c>
      <c r="BL57" t="s">
        <v>353</v>
      </c>
      <c r="BM57">
        <f t="shared" si="26"/>
        <v>2019.9999999999959</v>
      </c>
      <c r="BN57" s="401">
        <v>50798</v>
      </c>
      <c r="BP57" s="133">
        <f t="shared" si="31"/>
        <v>-3.4172254935326975E-2</v>
      </c>
      <c r="BW57" s="402" t="s">
        <v>353</v>
      </c>
      <c r="BX57" s="403">
        <v>46755.4</v>
      </c>
      <c r="BZ57" s="133">
        <f t="shared" si="32"/>
        <v>-0.38927335188160456</v>
      </c>
    </row>
    <row r="58" spans="1:85" ht="14.75">
      <c r="A58" s="969"/>
      <c r="B58" s="366" t="s">
        <v>308</v>
      </c>
      <c r="C58" s="367">
        <v>0</v>
      </c>
      <c r="D58" s="368">
        <v>0</v>
      </c>
      <c r="E58" s="369">
        <v>0</v>
      </c>
      <c r="F58" s="370">
        <f t="shared" si="5"/>
        <v>0</v>
      </c>
      <c r="G58" s="407">
        <f>SUM(F56:F58)</f>
        <v>36708.514579999995</v>
      </c>
      <c r="H58" s="407">
        <v>0</v>
      </c>
      <c r="I58" s="972"/>
      <c r="J58" s="417" t="e">
        <f>(H58-H45)/H45</f>
        <v>#DIV/0!</v>
      </c>
      <c r="K58" s="390" t="e">
        <f t="shared" si="33"/>
        <v>#DIV/0!</v>
      </c>
      <c r="M58" s="367">
        <v>884</v>
      </c>
      <c r="N58" s="368">
        <v>1.0500000000000001E-2</v>
      </c>
      <c r="O58" s="369">
        <v>3.7999999999999999E-2</v>
      </c>
      <c r="P58" s="370">
        <f t="shared" si="7"/>
        <v>894.36400000000003</v>
      </c>
      <c r="Q58" s="407">
        <f>SUM(P56:P58)</f>
        <v>13146.2261148</v>
      </c>
      <c r="R58" s="407">
        <v>5542</v>
      </c>
      <c r="S58" s="972"/>
      <c r="T58" s="389">
        <f t="shared" si="22"/>
        <v>0.22610619469026549</v>
      </c>
      <c r="U58" s="390">
        <f t="shared" si="34"/>
        <v>8.9963856201656589E-2</v>
      </c>
      <c r="AD58" s="367">
        <f t="shared" si="27"/>
        <v>884</v>
      </c>
      <c r="AE58" s="368">
        <f t="shared" si="28"/>
        <v>1.0500000000000001E-2</v>
      </c>
      <c r="AF58" s="369">
        <f t="shared" si="29"/>
        <v>3.7999999999999999E-2</v>
      </c>
      <c r="AG58" s="370">
        <f t="shared" si="6"/>
        <v>894.36400000000003</v>
      </c>
      <c r="AH58" s="407">
        <f>SUM(AG56:AG58)</f>
        <v>49854.740694800006</v>
      </c>
      <c r="AI58" s="407">
        <f t="shared" si="30"/>
        <v>5542</v>
      </c>
      <c r="AJ58" s="972"/>
      <c r="AK58" s="389">
        <f>(AI58-AI45)/AI45</f>
        <v>0.22610619469026549</v>
      </c>
      <c r="AL58" s="390">
        <f t="shared" si="35"/>
        <v>8.9963856201656589E-2</v>
      </c>
      <c r="AN58">
        <v>2019</v>
      </c>
      <c r="AO58" s="413">
        <f>AG54/AG60</f>
        <v>0.37024854317091321</v>
      </c>
      <c r="AP58" s="413">
        <f>AG52/AG60</f>
        <v>0.3855538446452908</v>
      </c>
      <c r="AQ58" s="413">
        <f>AG49/AG60</f>
        <v>0.28454534328206887</v>
      </c>
      <c r="BL58" t="s">
        <v>354</v>
      </c>
      <c r="BM58">
        <f t="shared" si="26"/>
        <v>2020.0833333333292</v>
      </c>
      <c r="BN58" s="401">
        <v>49383.5</v>
      </c>
      <c r="BP58" s="133">
        <f t="shared" si="31"/>
        <v>-0.18278610801749487</v>
      </c>
      <c r="BW58" s="402" t="s">
        <v>354</v>
      </c>
      <c r="BX58" s="403">
        <v>46096.2</v>
      </c>
      <c r="BZ58" s="133">
        <f t="shared" si="32"/>
        <v>3.1119561570294087E-2</v>
      </c>
    </row>
    <row r="59" spans="1:85" ht="15.5" thickBot="1">
      <c r="A59" s="977"/>
      <c r="B59" s="366" t="s">
        <v>310</v>
      </c>
      <c r="C59" s="375">
        <v>150</v>
      </c>
      <c r="D59" s="376">
        <v>1.6999999999999999E-3</v>
      </c>
      <c r="E59" s="377">
        <v>5.6299999999999996E-3</v>
      </c>
      <c r="F59" s="411">
        <f t="shared" si="5"/>
        <v>151.53954999999999</v>
      </c>
      <c r="G59" s="407">
        <f>SUM(F56:F59)</f>
        <v>36860.054129999997</v>
      </c>
      <c r="H59" s="407">
        <v>9</v>
      </c>
      <c r="I59" s="972"/>
      <c r="J59" s="418">
        <f t="shared" si="21"/>
        <v>-0.70967741935483875</v>
      </c>
      <c r="K59" s="394">
        <f t="shared" si="33"/>
        <v>-0.81651307552242047</v>
      </c>
      <c r="M59" s="375">
        <v>1060</v>
      </c>
      <c r="N59" s="376">
        <v>7.5199999999999998E-3</v>
      </c>
      <c r="O59" s="377">
        <v>2.7400000000000001E-2</v>
      </c>
      <c r="P59" s="411">
        <f t="shared" si="7"/>
        <v>1067.47156</v>
      </c>
      <c r="Q59" s="407">
        <f>SUM(P56:P59)</f>
        <v>14213.6976748</v>
      </c>
      <c r="R59" s="407">
        <v>83</v>
      </c>
      <c r="S59" s="972"/>
      <c r="T59" s="393">
        <f>(R59-R46)/R46</f>
        <v>-0.24545454545454545</v>
      </c>
      <c r="U59" s="394">
        <f t="shared" si="34"/>
        <v>-0.17877106258315881</v>
      </c>
      <c r="AD59" s="375">
        <f t="shared" si="27"/>
        <v>1210</v>
      </c>
      <c r="AE59" s="376">
        <f t="shared" si="28"/>
        <v>9.219999999999999E-3</v>
      </c>
      <c r="AF59" s="377">
        <f t="shared" si="29"/>
        <v>3.3030000000000004E-2</v>
      </c>
      <c r="AG59" s="411">
        <f t="shared" si="6"/>
        <v>1219.0111100000001</v>
      </c>
      <c r="AH59" s="407">
        <f>SUM(AG56:AG59)</f>
        <v>51073.751804800006</v>
      </c>
      <c r="AI59" s="407">
        <f t="shared" si="30"/>
        <v>92</v>
      </c>
      <c r="AJ59" s="972"/>
      <c r="AK59" s="393">
        <f>(AI59-AI46)/AI46</f>
        <v>-0.3475177304964539</v>
      </c>
      <c r="AL59" s="394">
        <f t="shared" si="35"/>
        <v>-0.42654577998085885</v>
      </c>
      <c r="AN59">
        <v>2020</v>
      </c>
      <c r="AO59" s="413">
        <f>AG67/AG73</f>
        <v>2.2807290361616821E-2</v>
      </c>
      <c r="AP59" s="413">
        <f>AG65/AG73</f>
        <v>0.58091399595854654</v>
      </c>
      <c r="AQ59" s="413">
        <f>AG62/AG73</f>
        <v>0.51679250504834062</v>
      </c>
      <c r="BL59" t="s">
        <v>355</v>
      </c>
      <c r="BM59">
        <f t="shared" si="26"/>
        <v>2020.1666666666624</v>
      </c>
      <c r="BN59" s="401">
        <v>68943.5</v>
      </c>
      <c r="BP59" s="133">
        <f t="shared" si="31"/>
        <v>0.11686651741309649</v>
      </c>
      <c r="BW59" s="402" t="s">
        <v>355</v>
      </c>
      <c r="BX59" s="403">
        <v>56167.5</v>
      </c>
      <c r="BZ59" s="133">
        <f t="shared" si="32"/>
        <v>6.5697876288542401E-2</v>
      </c>
    </row>
    <row r="60" spans="1:85" ht="15.5" thickBot="1">
      <c r="A60" s="379" t="s">
        <v>21</v>
      </c>
      <c r="B60" s="380">
        <f>A48</f>
        <v>2019</v>
      </c>
      <c r="C60" s="381">
        <f>SUM(C56:C59)</f>
        <v>36465</v>
      </c>
      <c r="D60" s="412">
        <f>SUM(D56:D59)</f>
        <v>0.43006</v>
      </c>
      <c r="E60" s="412">
        <f>SUM(E56:E59)</f>
        <v>1.44533</v>
      </c>
      <c r="F60" s="382">
        <f t="shared" si="5"/>
        <v>36860.054130000004</v>
      </c>
      <c r="G60" s="382">
        <f>G59</f>
        <v>36860.054129999997</v>
      </c>
      <c r="H60" s="382">
        <f>SUM(H56:H59)</f>
        <v>637</v>
      </c>
      <c r="I60" s="973"/>
      <c r="J60" s="397">
        <f t="shared" si="21"/>
        <v>1.4331210191082803E-2</v>
      </c>
      <c r="K60" s="398">
        <f t="shared" si="33"/>
        <v>0.28355268256471511</v>
      </c>
      <c r="M60" s="381">
        <f>SUM(M56:M59)</f>
        <v>14058.51</v>
      </c>
      <c r="N60" s="412">
        <f>SUM(N56:N59)</f>
        <v>0.17626159999999999</v>
      </c>
      <c r="O60" s="412">
        <f>SUM(O56:O59)</f>
        <v>0.56698999999999999</v>
      </c>
      <c r="P60" s="382">
        <f>M60+N60*$N$6+O60*$O$6</f>
        <v>14213.697674800002</v>
      </c>
      <c r="Q60" s="382">
        <f>Q59</f>
        <v>14213.6976748</v>
      </c>
      <c r="R60" s="382">
        <f>SUM(R56:R59)</f>
        <v>6128</v>
      </c>
      <c r="S60" s="973"/>
      <c r="T60" s="397">
        <f>(R60-R47)/R47</f>
        <v>0.18141507615191826</v>
      </c>
      <c r="U60" s="398">
        <f t="shared" si="34"/>
        <v>0.10959467368414488</v>
      </c>
      <c r="AD60" s="381">
        <f t="shared" si="27"/>
        <v>50523.51</v>
      </c>
      <c r="AE60" s="381">
        <f t="shared" si="28"/>
        <v>0.60632160000000002</v>
      </c>
      <c r="AF60" s="381">
        <f t="shared" si="29"/>
        <v>2.0123199999999999</v>
      </c>
      <c r="AG60" s="382">
        <f t="shared" si="6"/>
        <v>51073.751804799998</v>
      </c>
      <c r="AH60" s="382">
        <f>AH59</f>
        <v>51073.751804800006</v>
      </c>
      <c r="AI60" s="382">
        <f t="shared" si="30"/>
        <v>6765</v>
      </c>
      <c r="AJ60" s="973"/>
      <c r="AK60" s="397">
        <f>(AI60-AI47)/AI47</f>
        <v>0.16337059329320722</v>
      </c>
      <c r="AL60" s="398">
        <f t="shared" si="35"/>
        <v>0.22989198096049024</v>
      </c>
      <c r="AN60">
        <v>2021</v>
      </c>
      <c r="AO60" s="413">
        <f>AG80/AG86</f>
        <v>0.13863853026285078</v>
      </c>
      <c r="BL60" t="s">
        <v>356</v>
      </c>
      <c r="BM60">
        <f t="shared" si="26"/>
        <v>2020.2499999999957</v>
      </c>
      <c r="BN60" s="401">
        <v>47735.9</v>
      </c>
      <c r="BP60" s="133">
        <f t="shared" si="31"/>
        <v>-0.2719612370706353</v>
      </c>
      <c r="BR60" s="401">
        <f>SUM(BN9:BN16)</f>
        <v>446284.9</v>
      </c>
      <c r="BW60" s="402" t="s">
        <v>356</v>
      </c>
      <c r="BX60" s="403">
        <v>47267.199999999997</v>
      </c>
      <c r="BZ60" s="133">
        <f t="shared" si="32"/>
        <v>-5.9025883795652989E-2</v>
      </c>
      <c r="CB60" s="401">
        <f>SUM(BX9:BX16)</f>
        <v>359424.50000000006</v>
      </c>
      <c r="CF60" s="401">
        <f>BR60+CB60</f>
        <v>805709.40000000014</v>
      </c>
    </row>
    <row r="61" spans="1:85" ht="15" customHeight="1">
      <c r="A61" s="969">
        <v>2020</v>
      </c>
      <c r="B61" s="358" t="s">
        <v>289</v>
      </c>
      <c r="C61" s="359">
        <v>0</v>
      </c>
      <c r="D61" s="360">
        <v>0</v>
      </c>
      <c r="E61" s="361">
        <v>0</v>
      </c>
      <c r="F61" s="362">
        <f t="shared" ref="F61:F73" si="36">C61+D61*$D$6+E61*$E$6</f>
        <v>0</v>
      </c>
      <c r="G61" s="406">
        <f>F61</f>
        <v>0</v>
      </c>
      <c r="H61" s="406">
        <v>0</v>
      </c>
      <c r="I61" s="971" t="str">
        <f>"Milli áranna "&amp; $A48 &amp;" og "&amp; $A61</f>
        <v>Milli áranna 2019 og 2020</v>
      </c>
      <c r="J61" s="416">
        <f t="shared" ref="J61:J73" si="37">(H61-H48)/H48</f>
        <v>-1</v>
      </c>
      <c r="K61" s="386">
        <f t="shared" si="33"/>
        <v>-1</v>
      </c>
      <c r="M61" s="359">
        <v>0</v>
      </c>
      <c r="N61" s="360">
        <v>0</v>
      </c>
      <c r="O61" s="361">
        <v>0</v>
      </c>
      <c r="P61" s="362">
        <f t="shared" ref="P61:P72" si="38">M61+N61*$N$6+O61*$O$6</f>
        <v>0</v>
      </c>
      <c r="Q61" s="406">
        <f>P61</f>
        <v>0</v>
      </c>
      <c r="R61" s="406">
        <v>0</v>
      </c>
      <c r="S61" s="971" t="str">
        <f>"Milli áranna "&amp; $A48 &amp;" og "&amp; $A61</f>
        <v>Milli áranna 2019 og 2020</v>
      </c>
      <c r="T61" s="385">
        <f t="shared" ref="T61:T71" si="39">(R61-R48)/R48</f>
        <v>-1</v>
      </c>
      <c r="U61" s="386">
        <f t="shared" si="34"/>
        <v>-1</v>
      </c>
      <c r="AD61" s="359">
        <f t="shared" si="27"/>
        <v>0</v>
      </c>
      <c r="AE61" s="424">
        <f t="shared" si="28"/>
        <v>0</v>
      </c>
      <c r="AF61" s="427">
        <f t="shared" si="29"/>
        <v>0</v>
      </c>
      <c r="AG61" s="362">
        <f t="shared" ref="AG61:AG72" si="40">AD61+AE61*$AE$6+AF61*$AF$6</f>
        <v>0</v>
      </c>
      <c r="AH61" s="406">
        <f>AG61</f>
        <v>0</v>
      </c>
      <c r="AI61" s="406">
        <f t="shared" si="30"/>
        <v>0</v>
      </c>
      <c r="AJ61" s="971" t="str">
        <f>"Milli áranna "&amp; $A48 &amp;" og "&amp; $A61</f>
        <v>Milli áranna 2019 og 2020</v>
      </c>
      <c r="AK61" s="385">
        <f t="shared" ref="AK61:AK70" si="41">(AI61-AI48)/AI48</f>
        <v>-1</v>
      </c>
      <c r="AL61" s="386">
        <f t="shared" si="35"/>
        <v>-1</v>
      </c>
      <c r="AN61">
        <v>2022</v>
      </c>
      <c r="AO61" s="413">
        <f>AG93/AG99</f>
        <v>0.41743529277523156</v>
      </c>
      <c r="BL61" t="s">
        <v>357</v>
      </c>
      <c r="BM61">
        <f t="shared" si="26"/>
        <v>2020.3333333333289</v>
      </c>
      <c r="BN61" s="401">
        <v>51382.8</v>
      </c>
      <c r="BP61" s="133">
        <f t="shared" si="31"/>
        <v>-0.2220290943446504</v>
      </c>
      <c r="BR61" s="401">
        <f>SUM(BN21:BN28)</f>
        <v>443910</v>
      </c>
      <c r="BS61" s="133">
        <f>(BR61-BR60)/BR60</f>
        <v>-5.3214885827417039E-3</v>
      </c>
      <c r="BW61" s="402" t="s">
        <v>357</v>
      </c>
      <c r="BX61" s="403">
        <v>52949.1</v>
      </c>
      <c r="BZ61" s="133">
        <f t="shared" si="32"/>
        <v>-0.16260190888890649</v>
      </c>
      <c r="CB61" s="401">
        <f>SUM(BX21:BX28)</f>
        <v>329973.8</v>
      </c>
      <c r="CC61" s="133">
        <f>(CB61-CB60)/CB60</f>
        <v>-8.1938487776988117E-2</v>
      </c>
      <c r="CF61" s="401">
        <f>BR61+CB61</f>
        <v>773883.8</v>
      </c>
      <c r="CG61" s="133">
        <f>(CF61-CF60)/CF60</f>
        <v>-3.9500097677897375E-2</v>
      </c>
    </row>
    <row r="62" spans="1:85" ht="14.75">
      <c r="A62" s="969"/>
      <c r="B62" s="366" t="s">
        <v>291</v>
      </c>
      <c r="C62" s="367">
        <v>19000</v>
      </c>
      <c r="D62" s="368">
        <v>0.245</v>
      </c>
      <c r="E62" s="369">
        <v>0.76600000000000001</v>
      </c>
      <c r="F62" s="370">
        <f t="shared" si="36"/>
        <v>19209.850000000002</v>
      </c>
      <c r="G62" s="407">
        <f>F62+F61</f>
        <v>19209.850000000002</v>
      </c>
      <c r="H62" s="407">
        <v>267</v>
      </c>
      <c r="I62" s="972"/>
      <c r="J62" s="417">
        <f t="shared" si="37"/>
        <v>-0.1981981981981982</v>
      </c>
      <c r="K62" s="390">
        <f t="shared" si="33"/>
        <v>0.33802353365650012</v>
      </c>
      <c r="M62" s="367">
        <v>205</v>
      </c>
      <c r="N62" s="368">
        <v>2.5400000000000002E-3</v>
      </c>
      <c r="O62" s="369">
        <v>8.1499999999999993E-3</v>
      </c>
      <c r="P62" s="370">
        <f t="shared" si="38"/>
        <v>207.23087000000001</v>
      </c>
      <c r="Q62" s="407">
        <f>P62+P61</f>
        <v>207.23087000000001</v>
      </c>
      <c r="R62" s="407">
        <v>3</v>
      </c>
      <c r="S62" s="972"/>
      <c r="T62" s="389">
        <f t="shared" si="39"/>
        <v>-0.5</v>
      </c>
      <c r="U62" s="390">
        <f t="shared" si="34"/>
        <v>0.17802883967119251</v>
      </c>
      <c r="AD62" s="367">
        <f t="shared" si="27"/>
        <v>19205</v>
      </c>
      <c r="AE62" s="425">
        <f t="shared" si="28"/>
        <v>0.24753999999999998</v>
      </c>
      <c r="AF62" s="428">
        <f t="shared" si="29"/>
        <v>0.77415</v>
      </c>
      <c r="AG62" s="370">
        <f t="shared" si="40"/>
        <v>19417.080870000002</v>
      </c>
      <c r="AH62" s="407">
        <f>AG62+AG61</f>
        <v>19417.080870000002</v>
      </c>
      <c r="AI62" s="407">
        <f t="shared" si="30"/>
        <v>270</v>
      </c>
      <c r="AJ62" s="972"/>
      <c r="AK62" s="389">
        <f t="shared" si="41"/>
        <v>-0.20353982300884957</v>
      </c>
      <c r="AL62" s="390">
        <f t="shared" si="35"/>
        <v>0.33608686705334745</v>
      </c>
      <c r="AN62" s="32"/>
      <c r="BL62" t="s">
        <v>358</v>
      </c>
      <c r="BM62">
        <f t="shared" si="26"/>
        <v>2020.4166666666622</v>
      </c>
      <c r="BN62" s="401">
        <v>59472</v>
      </c>
      <c r="BP62" s="133">
        <f t="shared" si="31"/>
        <v>-0.20360808176033257</v>
      </c>
      <c r="BR62" s="401">
        <f>SUM(BN33:BN40)</f>
        <v>506662.70000000007</v>
      </c>
      <c r="BS62" s="133">
        <f>(BR62-BR61)/BR61</f>
        <v>0.14136356468653571</v>
      </c>
      <c r="BW62" s="402" t="s">
        <v>358</v>
      </c>
      <c r="BX62" s="403">
        <v>46495.1</v>
      </c>
      <c r="BZ62" s="133">
        <f t="shared" si="32"/>
        <v>1.765878791725662E-2</v>
      </c>
      <c r="CB62" s="401">
        <f>SUM(BX33:BX40)</f>
        <v>385477.5</v>
      </c>
      <c r="CC62" s="133">
        <f>(CB62-CB61)/CB61</f>
        <v>0.16820638487055642</v>
      </c>
      <c r="CF62" s="401">
        <f>BR62+CB62</f>
        <v>892140.20000000007</v>
      </c>
      <c r="CG62" s="133">
        <f>(CF62-CF61)/CF61</f>
        <v>0.15280898760253156</v>
      </c>
    </row>
    <row r="63" spans="1:85" ht="14.75">
      <c r="A63" s="969"/>
      <c r="B63" s="366" t="s">
        <v>293</v>
      </c>
      <c r="C63" s="367">
        <v>1210</v>
      </c>
      <c r="D63" s="368">
        <v>1.6299999999999999E-2</v>
      </c>
      <c r="E63" s="369">
        <v>5.1700000000000003E-2</v>
      </c>
      <c r="F63" s="370">
        <f>C63+D63*$D$6+E63*$E$6</f>
        <v>1224.1569</v>
      </c>
      <c r="G63" s="407">
        <f>F63+F62+F61</f>
        <v>20434.0069</v>
      </c>
      <c r="H63" s="407">
        <v>100</v>
      </c>
      <c r="I63" s="972"/>
      <c r="J63" s="417">
        <f t="shared" si="37"/>
        <v>-0.18032786885245902</v>
      </c>
      <c r="K63" s="390">
        <f t="shared" si="33"/>
        <v>-0.29651180665657045</v>
      </c>
      <c r="M63" s="367">
        <v>0</v>
      </c>
      <c r="N63" s="368">
        <v>0</v>
      </c>
      <c r="O63" s="369">
        <v>0</v>
      </c>
      <c r="P63" s="370">
        <f t="shared" si="38"/>
        <v>0</v>
      </c>
      <c r="Q63" s="407">
        <f>P63+P62+P61</f>
        <v>207.23087000000001</v>
      </c>
      <c r="R63" s="407">
        <v>0</v>
      </c>
      <c r="S63" s="972"/>
      <c r="T63" s="389">
        <f t="shared" si="39"/>
        <v>-1</v>
      </c>
      <c r="U63" s="390">
        <f t="shared" si="34"/>
        <v>-1</v>
      </c>
      <c r="AD63" s="367">
        <f t="shared" si="27"/>
        <v>1210</v>
      </c>
      <c r="AE63" s="425">
        <f t="shared" si="28"/>
        <v>1.6299999999999999E-2</v>
      </c>
      <c r="AF63" s="428">
        <f t="shared" si="29"/>
        <v>5.1700000000000003E-2</v>
      </c>
      <c r="AG63" s="370">
        <f t="shared" si="40"/>
        <v>1224.1569</v>
      </c>
      <c r="AH63" s="407">
        <f>AG63+AG62+AG61</f>
        <v>20641.23777</v>
      </c>
      <c r="AI63" s="407">
        <f t="shared" si="30"/>
        <v>100</v>
      </c>
      <c r="AJ63" s="972"/>
      <c r="AK63" s="389">
        <f t="shared" si="41"/>
        <v>-0.19354838709677419</v>
      </c>
      <c r="AL63" s="390">
        <f t="shared" si="35"/>
        <v>-0.29960998549167389</v>
      </c>
      <c r="BL63" t="s">
        <v>359</v>
      </c>
      <c r="BM63">
        <f t="shared" si="26"/>
        <v>2020.4999999999955</v>
      </c>
      <c r="BN63" s="401">
        <v>58235</v>
      </c>
      <c r="BP63" s="133">
        <f t="shared" si="31"/>
        <v>-0.18621306446992406</v>
      </c>
      <c r="BR63" s="401">
        <f>SUM(BN45:BN52)</f>
        <v>510699.5</v>
      </c>
      <c r="BS63" s="133">
        <f>(BR63-BR62)/BR62</f>
        <v>7.9674307976488681E-3</v>
      </c>
      <c r="BW63" s="402" t="s">
        <v>359</v>
      </c>
      <c r="BX63" s="403">
        <v>46768.1</v>
      </c>
      <c r="BZ63" s="133">
        <f t="shared" si="32"/>
        <v>-9.2036700524958923E-2</v>
      </c>
      <c r="CB63" s="401">
        <f>SUM(BX45:BX52)</f>
        <v>430513.1</v>
      </c>
      <c r="CC63" s="133">
        <f>(CB63-CB62)/CB62</f>
        <v>0.11683068402176515</v>
      </c>
      <c r="CF63" s="401">
        <f>BR63+CB63</f>
        <v>941212.6</v>
      </c>
      <c r="CG63" s="133">
        <f>(CF63-CF62)/CF62</f>
        <v>5.5005255900361739E-2</v>
      </c>
    </row>
    <row r="64" spans="1:85" ht="14.75">
      <c r="A64" s="969"/>
      <c r="B64" s="366" t="s">
        <v>295</v>
      </c>
      <c r="C64" s="367">
        <v>68</v>
      </c>
      <c r="D64" s="368">
        <v>7.8299999999999995E-4</v>
      </c>
      <c r="E64" s="369">
        <v>2.5200000000000001E-3</v>
      </c>
      <c r="F64" s="370">
        <f t="shared" si="36"/>
        <v>68.689723999999998</v>
      </c>
      <c r="G64" s="407">
        <f>SUM(F61:F64)</f>
        <v>20502.696624</v>
      </c>
      <c r="H64" s="407">
        <v>2</v>
      </c>
      <c r="I64" s="972"/>
      <c r="J64" s="417">
        <f t="shared" si="37"/>
        <v>-0.77777777777777779</v>
      </c>
      <c r="K64" s="390">
        <f t="shared" si="33"/>
        <v>-0.90631508171760866</v>
      </c>
      <c r="M64" s="367">
        <v>1100</v>
      </c>
      <c r="N64" s="368">
        <v>0.17299999999999999</v>
      </c>
      <c r="O64" s="369">
        <v>4.3400000000000001E-2</v>
      </c>
      <c r="P64" s="370">
        <f t="shared" si="38"/>
        <v>1116.345</v>
      </c>
      <c r="Q64" s="407">
        <f>SUM(P61:P64)</f>
        <v>1323.5758700000001</v>
      </c>
      <c r="R64" s="407">
        <v>150</v>
      </c>
      <c r="S64" s="972"/>
      <c r="T64" s="389">
        <f t="shared" si="39"/>
        <v>0.11940298507462686</v>
      </c>
      <c r="U64" s="390">
        <f t="shared" si="34"/>
        <v>-1.3916092526857653E-2</v>
      </c>
      <c r="AD64" s="367">
        <f t="shared" si="27"/>
        <v>1168</v>
      </c>
      <c r="AE64" s="425">
        <f t="shared" si="28"/>
        <v>0.17378299999999999</v>
      </c>
      <c r="AF64" s="428">
        <f t="shared" si="29"/>
        <v>4.5920000000000002E-2</v>
      </c>
      <c r="AG64" s="370">
        <f t="shared" si="40"/>
        <v>1185.0347239999999</v>
      </c>
      <c r="AH64" s="407">
        <f>SUM(AG61:AG64)</f>
        <v>21826.272494000001</v>
      </c>
      <c r="AI64" s="407">
        <f t="shared" si="30"/>
        <v>152</v>
      </c>
      <c r="AJ64" s="972"/>
      <c r="AK64" s="389">
        <f t="shared" si="41"/>
        <v>6.2937062937062943E-2</v>
      </c>
      <c r="AL64" s="390">
        <f t="shared" si="35"/>
        <v>-0.36469441962536425</v>
      </c>
      <c r="BL64" t="s">
        <v>360</v>
      </c>
      <c r="BM64">
        <f t="shared" si="26"/>
        <v>2020.5833333333287</v>
      </c>
      <c r="BN64" s="401">
        <v>55303.6</v>
      </c>
      <c r="BP64" s="133">
        <f>(BN64-BN52)/BN52</f>
        <v>-4.8022666946675577E-2</v>
      </c>
      <c r="BR64" s="401">
        <f>SUM(BN57:BN64)</f>
        <v>441254.3</v>
      </c>
      <c r="BS64" s="133">
        <f>(BR64-BR63)/BR63</f>
        <v>-0.13598055216423752</v>
      </c>
      <c r="BW64" s="402" t="s">
        <v>360</v>
      </c>
      <c r="BX64" s="403">
        <v>44056.6</v>
      </c>
      <c r="BZ64" s="133">
        <f>(BX64-BX52)/BX52</f>
        <v>-3.9876739077373748E-2</v>
      </c>
      <c r="CB64" s="401">
        <f>SUM(BX57:BX64)</f>
        <v>386555.19999999995</v>
      </c>
      <c r="CC64" s="133">
        <f>(CB64-CB63)/CB63</f>
        <v>-0.10210583603611603</v>
      </c>
      <c r="CF64" s="401">
        <f>BR64+CB64</f>
        <v>827809.5</v>
      </c>
      <c r="CG64" s="133">
        <f>(CF64-CF63)/CF63</f>
        <v>-0.12048616858720333</v>
      </c>
    </row>
    <row r="65" spans="1:76" ht="14.25">
      <c r="A65" s="969"/>
      <c r="B65" s="400" t="s">
        <v>297</v>
      </c>
      <c r="C65" s="367">
        <f>SUM(C61:C64)</f>
        <v>20278</v>
      </c>
      <c r="D65" s="368">
        <f>SUM(D61:D64)</f>
        <v>0.26208299999999995</v>
      </c>
      <c r="E65" s="369">
        <f>SUM(E61:E64)</f>
        <v>0.82021999999999995</v>
      </c>
      <c r="F65" s="370">
        <f t="shared" si="36"/>
        <v>20502.696624</v>
      </c>
      <c r="G65" s="407">
        <f>SUM(F65)</f>
        <v>20502.696624</v>
      </c>
      <c r="H65" s="407">
        <f>SUM(H61:H64)</f>
        <v>369</v>
      </c>
      <c r="I65" s="972"/>
      <c r="J65" s="417">
        <f t="shared" si="37"/>
        <v>-0.22641509433962265</v>
      </c>
      <c r="K65" s="390">
        <f t="shared" si="33"/>
        <v>0.14790138133037545</v>
      </c>
      <c r="M65" s="367">
        <f>SUM(M61:M64)</f>
        <v>1305</v>
      </c>
      <c r="N65" s="368">
        <f>SUM(N61:N64)</f>
        <v>0.17553999999999997</v>
      </c>
      <c r="O65" s="369">
        <f>SUM(O61:O64)</f>
        <v>5.1549999999999999E-2</v>
      </c>
      <c r="P65" s="370">
        <f t="shared" si="38"/>
        <v>1323.5758699999999</v>
      </c>
      <c r="Q65" s="407">
        <f>SUM(P65)</f>
        <v>1323.5758699999999</v>
      </c>
      <c r="R65" s="407">
        <f>SUM(R61:R64)</f>
        <v>153</v>
      </c>
      <c r="S65" s="972"/>
      <c r="T65" s="389">
        <f t="shared" si="39"/>
        <v>6.9930069930069935E-2</v>
      </c>
      <c r="U65" s="390">
        <f t="shared" si="34"/>
        <v>-0.27699335292758887</v>
      </c>
      <c r="AD65" s="367">
        <f t="shared" si="27"/>
        <v>21583</v>
      </c>
      <c r="AE65" s="425">
        <f t="shared" si="28"/>
        <v>0.43762299999999993</v>
      </c>
      <c r="AF65" s="428">
        <f t="shared" si="29"/>
        <v>0.87176999999999993</v>
      </c>
      <c r="AG65" s="370">
        <f>AD65+AE65*$AE$6+AF65*$AF$6</f>
        <v>21826.272494000001</v>
      </c>
      <c r="AH65" s="407">
        <f>SUM(AG65)</f>
        <v>21826.272494000001</v>
      </c>
      <c r="AI65" s="407">
        <f t="shared" si="30"/>
        <v>522</v>
      </c>
      <c r="AJ65" s="972"/>
      <c r="AK65" s="389">
        <f t="shared" si="41"/>
        <v>-0.15806451612903225</v>
      </c>
      <c r="AL65" s="390">
        <f t="shared" si="35"/>
        <v>0.1084006533125252</v>
      </c>
    </row>
    <row r="66" spans="1:76" ht="14.25">
      <c r="A66" s="969"/>
      <c r="B66" s="366" t="s">
        <v>299</v>
      </c>
      <c r="C66" s="367">
        <v>17</v>
      </c>
      <c r="D66" s="368">
        <v>1.94E-4</v>
      </c>
      <c r="E66" s="369">
        <v>6.9399999999999996E-4</v>
      </c>
      <c r="F66" s="370">
        <f t="shared" si="36"/>
        <v>17.189342</v>
      </c>
      <c r="G66" s="407">
        <f>F65+F66</f>
        <v>20519.885966000002</v>
      </c>
      <c r="H66" s="407">
        <v>1</v>
      </c>
      <c r="I66" s="972"/>
      <c r="J66" s="417">
        <f t="shared" si="37"/>
        <v>-0.83333333333333337</v>
      </c>
      <c r="K66" s="390">
        <f t="shared" si="33"/>
        <v>-0.94116199076560458</v>
      </c>
      <c r="M66" s="367">
        <v>0</v>
      </c>
      <c r="N66" s="368">
        <v>0</v>
      </c>
      <c r="O66" s="369">
        <v>0</v>
      </c>
      <c r="P66" s="370">
        <f t="shared" si="38"/>
        <v>0</v>
      </c>
      <c r="Q66" s="407">
        <f>P65+P66</f>
        <v>1323.5758699999999</v>
      </c>
      <c r="R66" s="407">
        <v>0</v>
      </c>
      <c r="S66" s="972"/>
      <c r="T66" s="389">
        <f t="shared" si="39"/>
        <v>-1</v>
      </c>
      <c r="U66" s="390">
        <f t="shared" si="34"/>
        <v>-1</v>
      </c>
      <c r="AD66" s="367">
        <f t="shared" si="27"/>
        <v>17</v>
      </c>
      <c r="AE66" s="425">
        <f t="shared" si="28"/>
        <v>1.94E-4</v>
      </c>
      <c r="AF66" s="428">
        <f t="shared" si="29"/>
        <v>6.9399999999999996E-4</v>
      </c>
      <c r="AG66" s="370">
        <f t="shared" si="40"/>
        <v>17.189342</v>
      </c>
      <c r="AH66" s="407">
        <f>AG65+AG66</f>
        <v>21843.461836000002</v>
      </c>
      <c r="AI66" s="407">
        <f t="shared" si="30"/>
        <v>1</v>
      </c>
      <c r="AJ66" s="972"/>
      <c r="AK66" s="389">
        <f t="shared" si="41"/>
        <v>-0.9</v>
      </c>
      <c r="AL66" s="390">
        <f t="shared" si="35"/>
        <v>-0.94734006379834645</v>
      </c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</row>
    <row r="67" spans="1:76" ht="14.25">
      <c r="A67" s="969"/>
      <c r="B67" s="366" t="s">
        <v>301</v>
      </c>
      <c r="C67" s="367">
        <v>300</v>
      </c>
      <c r="D67" s="368">
        <v>4.1000000000000003E-3</v>
      </c>
      <c r="E67" s="369">
        <v>1.2699999999999999E-2</v>
      </c>
      <c r="F67" s="370">
        <f t="shared" si="36"/>
        <v>303.4803</v>
      </c>
      <c r="G67" s="407">
        <f>F67+F66+F65</f>
        <v>20823.366266000001</v>
      </c>
      <c r="H67" s="407">
        <v>1</v>
      </c>
      <c r="I67" s="972"/>
      <c r="J67" s="417">
        <f t="shared" si="37"/>
        <v>-0.99029126213592233</v>
      </c>
      <c r="K67" s="390">
        <f t="shared" si="33"/>
        <v>-0.98179976668604951</v>
      </c>
      <c r="M67" s="367">
        <v>548</v>
      </c>
      <c r="N67" s="368">
        <v>5.0699999999999999E-3</v>
      </c>
      <c r="O67" s="369">
        <v>0.02</v>
      </c>
      <c r="P67" s="370">
        <f t="shared" si="38"/>
        <v>553.44195999999999</v>
      </c>
      <c r="Q67" s="407">
        <f>P67+P66+P65</f>
        <v>1877.0178299999998</v>
      </c>
      <c r="R67" s="407">
        <v>6</v>
      </c>
      <c r="S67" s="972"/>
      <c r="T67" s="389">
        <f t="shared" si="39"/>
        <v>-0.90322580645161288</v>
      </c>
      <c r="U67" s="390">
        <f t="shared" si="34"/>
        <v>-0.75242527446994889</v>
      </c>
      <c r="AD67" s="367">
        <f t="shared" si="27"/>
        <v>848</v>
      </c>
      <c r="AE67" s="425">
        <f t="shared" si="28"/>
        <v>9.1700000000000011E-3</v>
      </c>
      <c r="AF67" s="428">
        <f t="shared" si="29"/>
        <v>3.27E-2</v>
      </c>
      <c r="AG67" s="370">
        <f t="shared" si="40"/>
        <v>856.92225999999994</v>
      </c>
      <c r="AH67" s="407">
        <f>AG67+AG66+AG65</f>
        <v>22700.384096000002</v>
      </c>
      <c r="AI67" s="407">
        <f t="shared" si="30"/>
        <v>7</v>
      </c>
      <c r="AJ67" s="972"/>
      <c r="AK67" s="389">
        <f t="shared" si="41"/>
        <v>-0.95757575757575752</v>
      </c>
      <c r="AL67" s="390">
        <f t="shared" si="35"/>
        <v>-0.95468413185497347</v>
      </c>
    </row>
    <row r="68" spans="1:76" ht="14.25">
      <c r="A68" s="969"/>
      <c r="B68" s="366" t="s">
        <v>303</v>
      </c>
      <c r="C68" s="367">
        <f>C67+C66</f>
        <v>317</v>
      </c>
      <c r="D68" s="368">
        <f>D67+D66</f>
        <v>4.2940000000000001E-3</v>
      </c>
      <c r="E68" s="369">
        <f>E67+E66</f>
        <v>1.3394E-2</v>
      </c>
      <c r="F68" s="370">
        <f t="shared" si="36"/>
        <v>320.66964200000001</v>
      </c>
      <c r="G68" s="407">
        <f>F68+F65</f>
        <v>20823.366266000001</v>
      </c>
      <c r="H68" s="407">
        <f>H67+H66</f>
        <v>2</v>
      </c>
      <c r="I68" s="972"/>
      <c r="J68" s="417">
        <f t="shared" si="37"/>
        <v>-0.98165137614678899</v>
      </c>
      <c r="K68" s="390">
        <f t="shared" si="33"/>
        <v>-0.98110003027169446</v>
      </c>
      <c r="M68" s="367">
        <f>M67+M66</f>
        <v>548</v>
      </c>
      <c r="N68" s="368">
        <f>N67+N66</f>
        <v>5.0699999999999999E-3</v>
      </c>
      <c r="O68" s="369">
        <f>O67+O66</f>
        <v>0.02</v>
      </c>
      <c r="P68" s="370">
        <f t="shared" si="38"/>
        <v>553.44195999999999</v>
      </c>
      <c r="Q68" s="407">
        <f>P68+P65</f>
        <v>1877.0178299999998</v>
      </c>
      <c r="R68" s="407">
        <f>R67+R66</f>
        <v>6</v>
      </c>
      <c r="S68" s="972"/>
      <c r="T68" s="389">
        <f t="shared" si="39"/>
        <v>-0.90909090909090906</v>
      </c>
      <c r="U68" s="390">
        <f t="shared" si="34"/>
        <v>-0.75616385125983099</v>
      </c>
      <c r="AD68" s="367">
        <f t="shared" si="27"/>
        <v>865</v>
      </c>
      <c r="AE68" s="425">
        <f t="shared" si="28"/>
        <v>9.3640000000000008E-3</v>
      </c>
      <c r="AF68" s="428">
        <f t="shared" si="29"/>
        <v>3.3394E-2</v>
      </c>
      <c r="AG68" s="370">
        <f t="shared" si="40"/>
        <v>874.11160200000006</v>
      </c>
      <c r="AH68" s="407">
        <f>AG68+AG65</f>
        <v>22700.384096000002</v>
      </c>
      <c r="AI68" s="407">
        <f t="shared" si="30"/>
        <v>8</v>
      </c>
      <c r="AJ68" s="972"/>
      <c r="AK68" s="389">
        <f t="shared" si="41"/>
        <v>-0.95428571428571429</v>
      </c>
      <c r="AL68" s="390">
        <f t="shared" si="35"/>
        <v>-0.95455951071173983</v>
      </c>
      <c r="BL68" t="s">
        <v>361</v>
      </c>
    </row>
    <row r="69" spans="1:76" ht="14.25">
      <c r="A69" s="969"/>
      <c r="B69" s="366" t="s">
        <v>305</v>
      </c>
      <c r="C69" s="367">
        <f>C68+C65</f>
        <v>20595</v>
      </c>
      <c r="D69" s="409">
        <f>D68+D65</f>
        <v>0.26637699999999997</v>
      </c>
      <c r="E69" s="410">
        <f>E68+E65</f>
        <v>0.83361399999999997</v>
      </c>
      <c r="F69" s="370">
        <f t="shared" si="36"/>
        <v>20823.366266000001</v>
      </c>
      <c r="G69" s="407">
        <f>F69</f>
        <v>20823.366266000001</v>
      </c>
      <c r="H69" s="407">
        <f>H68+H65</f>
        <v>371</v>
      </c>
      <c r="I69" s="972"/>
      <c r="J69" s="417">
        <f t="shared" si="37"/>
        <v>-0.36689419795221845</v>
      </c>
      <c r="K69" s="390">
        <f t="shared" si="33"/>
        <v>-0.40210333670407161</v>
      </c>
      <c r="M69" s="367">
        <f>M68+M65</f>
        <v>1853</v>
      </c>
      <c r="N69" s="409">
        <f>N68+N65</f>
        <v>0.18060999999999997</v>
      </c>
      <c r="O69" s="410">
        <f>O68+O65</f>
        <v>7.1550000000000002E-2</v>
      </c>
      <c r="P69" s="370">
        <f t="shared" si="38"/>
        <v>1877.01783</v>
      </c>
      <c r="Q69" s="407">
        <f>P69</f>
        <v>1877.01783</v>
      </c>
      <c r="R69" s="407">
        <f>R68+R65</f>
        <v>159</v>
      </c>
      <c r="S69" s="972"/>
      <c r="T69" s="389">
        <f t="shared" si="39"/>
        <v>-0.23923444976076555</v>
      </c>
      <c r="U69" s="390">
        <f t="shared" si="34"/>
        <v>-0.54223365971371851</v>
      </c>
      <c r="AD69" s="367">
        <f t="shared" si="27"/>
        <v>22448</v>
      </c>
      <c r="AE69" s="425">
        <f t="shared" si="28"/>
        <v>0.44698699999999991</v>
      </c>
      <c r="AF69" s="428">
        <f t="shared" si="29"/>
        <v>0.90516399999999997</v>
      </c>
      <c r="AG69" s="370">
        <f t="shared" si="40"/>
        <v>22700.384096000002</v>
      </c>
      <c r="AH69" s="407">
        <f>AG69</f>
        <v>22700.384096000002</v>
      </c>
      <c r="AI69" s="407">
        <f t="shared" si="30"/>
        <v>530</v>
      </c>
      <c r="AJ69" s="972"/>
      <c r="AK69" s="389">
        <f t="shared" si="41"/>
        <v>-0.33333333333333331</v>
      </c>
      <c r="AL69" s="390">
        <f t="shared" si="35"/>
        <v>-0.41686358364648496</v>
      </c>
    </row>
    <row r="70" spans="1:76" ht="14.25">
      <c r="A70" s="969"/>
      <c r="B70" s="366" t="s">
        <v>35</v>
      </c>
      <c r="C70" s="367">
        <v>4740</v>
      </c>
      <c r="D70" s="368">
        <v>6.0400000000000002E-2</v>
      </c>
      <c r="E70" s="369">
        <v>0.191</v>
      </c>
      <c r="F70" s="370">
        <f t="shared" si="36"/>
        <v>4792.3062</v>
      </c>
      <c r="G70" s="407">
        <f>F69+F70</f>
        <v>25615.672466</v>
      </c>
      <c r="H70" s="407">
        <v>53</v>
      </c>
      <c r="I70" s="972"/>
      <c r="J70" s="417">
        <f t="shared" si="37"/>
        <v>0.26190476190476192</v>
      </c>
      <c r="K70" s="390">
        <f t="shared" si="33"/>
        <v>1.5479964919435127</v>
      </c>
      <c r="M70" s="367">
        <v>8770</v>
      </c>
      <c r="N70" s="368">
        <v>0.114</v>
      </c>
      <c r="O70" s="369">
        <v>0.35899999999999999</v>
      </c>
      <c r="P70" s="370">
        <f t="shared" si="38"/>
        <v>8868.3269999999993</v>
      </c>
      <c r="Q70" s="407">
        <f>P69+P70</f>
        <v>10745.34483</v>
      </c>
      <c r="R70" s="407">
        <v>240</v>
      </c>
      <c r="S70" s="972"/>
      <c r="T70" s="389">
        <f t="shared" si="39"/>
        <v>-0.18367346938775511</v>
      </c>
      <c r="U70" s="390">
        <f t="shared" si="34"/>
        <v>8.7940984444784029E-2</v>
      </c>
      <c r="AD70" s="367">
        <f t="shared" si="27"/>
        <v>13510</v>
      </c>
      <c r="AE70" s="425">
        <f t="shared" si="28"/>
        <v>0.1744</v>
      </c>
      <c r="AF70" s="428">
        <f t="shared" si="29"/>
        <v>0.55000000000000004</v>
      </c>
      <c r="AG70" s="370">
        <f t="shared" si="40"/>
        <v>13660.6332</v>
      </c>
      <c r="AH70" s="407">
        <f>AG69+AG70</f>
        <v>36361.017296000005</v>
      </c>
      <c r="AI70" s="407">
        <f t="shared" si="30"/>
        <v>293</v>
      </c>
      <c r="AJ70" s="972"/>
      <c r="AK70" s="389">
        <f t="shared" si="41"/>
        <v>-0.12797619047619047</v>
      </c>
      <c r="AL70" s="390">
        <f t="shared" si="35"/>
        <v>0.36166629528258831</v>
      </c>
    </row>
    <row r="71" spans="1:76" ht="14.25">
      <c r="A71" s="969"/>
      <c r="B71" s="366" t="s">
        <v>308</v>
      </c>
      <c r="C71" s="367">
        <v>0</v>
      </c>
      <c r="D71" s="368">
        <v>0</v>
      </c>
      <c r="E71" s="369">
        <v>0</v>
      </c>
      <c r="F71" s="370">
        <f t="shared" si="36"/>
        <v>0</v>
      </c>
      <c r="G71" s="407">
        <f>SUM(F69:F71)</f>
        <v>25615.672466</v>
      </c>
      <c r="H71" s="407">
        <v>0</v>
      </c>
      <c r="I71" s="972"/>
      <c r="J71" s="417" t="e">
        <f t="shared" si="37"/>
        <v>#DIV/0!</v>
      </c>
      <c r="K71" s="390" t="e">
        <f t="shared" si="33"/>
        <v>#DIV/0!</v>
      </c>
      <c r="M71" s="367">
        <v>346</v>
      </c>
      <c r="N71" s="368">
        <v>4.1099999999999999E-3</v>
      </c>
      <c r="O71" s="369">
        <v>1.4999999999999999E-2</v>
      </c>
      <c r="P71" s="370">
        <f t="shared" si="38"/>
        <v>350.09008</v>
      </c>
      <c r="Q71" s="407">
        <f>SUM(P69:P71)</f>
        <v>11095.43491</v>
      </c>
      <c r="R71" s="407">
        <v>1773</v>
      </c>
      <c r="S71" s="972"/>
      <c r="T71" s="389">
        <f t="shared" si="39"/>
        <v>-0.68007939372067849</v>
      </c>
      <c r="U71" s="390">
        <f t="shared" si="34"/>
        <v>-0.6085597363042341</v>
      </c>
      <c r="AD71" s="367">
        <f t="shared" si="27"/>
        <v>346</v>
      </c>
      <c r="AE71" s="425">
        <f t="shared" si="28"/>
        <v>4.1099999999999999E-3</v>
      </c>
      <c r="AF71" s="428">
        <f t="shared" si="29"/>
        <v>1.4999999999999999E-2</v>
      </c>
      <c r="AG71" s="370">
        <f t="shared" si="40"/>
        <v>350.09008</v>
      </c>
      <c r="AH71" s="407">
        <f>SUM(AG69:AG71)</f>
        <v>36711.107376000007</v>
      </c>
      <c r="AI71" s="407">
        <f t="shared" si="30"/>
        <v>1773</v>
      </c>
      <c r="AJ71" s="972"/>
      <c r="AK71" s="389">
        <f>(AI71-AI58)/AI58</f>
        <v>-0.68007939372067849</v>
      </c>
      <c r="AL71" s="390">
        <f t="shared" si="35"/>
        <v>-0.6085597363042341</v>
      </c>
    </row>
    <row r="72" spans="1:76" ht="15" thickBot="1">
      <c r="A72" s="977"/>
      <c r="B72" s="366" t="s">
        <v>310</v>
      </c>
      <c r="C72" s="375">
        <v>177</v>
      </c>
      <c r="D72" s="376">
        <v>1.8600000000000001E-3</v>
      </c>
      <c r="E72" s="377">
        <v>6.1700000000000001E-3</v>
      </c>
      <c r="F72" s="411">
        <f t="shared" si="36"/>
        <v>178.68713</v>
      </c>
      <c r="G72" s="407">
        <f>SUM(F69:F72)</f>
        <v>25794.359595999998</v>
      </c>
      <c r="H72" s="407">
        <v>14</v>
      </c>
      <c r="I72" s="972"/>
      <c r="J72" s="418">
        <f t="shared" si="37"/>
        <v>0.55555555555555558</v>
      </c>
      <c r="K72" s="394">
        <f t="shared" si="33"/>
        <v>0.17914518025162413</v>
      </c>
      <c r="M72" s="375">
        <v>678</v>
      </c>
      <c r="N72" s="376">
        <v>4.5999999999999999E-3</v>
      </c>
      <c r="O72" s="377">
        <v>1.6500000000000001E-2</v>
      </c>
      <c r="P72" s="411">
        <f t="shared" si="38"/>
        <v>682.5012999999999</v>
      </c>
      <c r="Q72" s="407">
        <f>SUM(P69:P72)</f>
        <v>11777.93621</v>
      </c>
      <c r="R72" s="407">
        <v>43</v>
      </c>
      <c r="S72" s="972"/>
      <c r="T72" s="393">
        <f>(R72-R59)/R59</f>
        <v>-0.48192771084337349</v>
      </c>
      <c r="U72" s="394">
        <f t="shared" si="34"/>
        <v>-0.36063748621087394</v>
      </c>
      <c r="AD72" s="375">
        <f t="shared" si="27"/>
        <v>855</v>
      </c>
      <c r="AE72" s="426">
        <f t="shared" si="28"/>
        <v>6.4600000000000005E-3</v>
      </c>
      <c r="AF72" s="429">
        <f t="shared" si="29"/>
        <v>2.2670000000000003E-2</v>
      </c>
      <c r="AG72" s="411">
        <f t="shared" si="40"/>
        <v>861.18843000000004</v>
      </c>
      <c r="AH72" s="407">
        <f>SUM(AG69:AG72)</f>
        <v>37572.295806000009</v>
      </c>
      <c r="AI72" s="407">
        <f t="shared" si="30"/>
        <v>57</v>
      </c>
      <c r="AJ72" s="972"/>
      <c r="AK72" s="393">
        <f>(AI72-AI59)/AI59</f>
        <v>-0.38043478260869568</v>
      </c>
      <c r="AL72" s="394">
        <f t="shared" si="35"/>
        <v>-0.29353520822299978</v>
      </c>
    </row>
    <row r="73" spans="1:76" ht="15" thickBot="1">
      <c r="A73" s="379" t="s">
        <v>21</v>
      </c>
      <c r="B73" s="380">
        <f>A61</f>
        <v>2020</v>
      </c>
      <c r="C73" s="381">
        <f>SUM(C69:C72)</f>
        <v>25512</v>
      </c>
      <c r="D73" s="412">
        <f>SUM(D69:D72)</f>
        <v>0.32863699999999996</v>
      </c>
      <c r="E73" s="412">
        <f>SUM(E69:E72)</f>
        <v>1.0307839999999999</v>
      </c>
      <c r="F73" s="382">
        <f t="shared" si="36"/>
        <v>25794.359595999998</v>
      </c>
      <c r="G73" s="382">
        <f>G72</f>
        <v>25794.359595999998</v>
      </c>
      <c r="H73" s="382">
        <f>SUM(H69:H72)</f>
        <v>438</v>
      </c>
      <c r="I73" s="973"/>
      <c r="J73" s="397">
        <f t="shared" si="37"/>
        <v>-0.31240188383045525</v>
      </c>
      <c r="K73" s="398">
        <f t="shared" si="33"/>
        <v>-0.30020830937938736</v>
      </c>
      <c r="M73" s="381">
        <f>SUM(M69:M72)</f>
        <v>11647</v>
      </c>
      <c r="N73" s="412">
        <f>SUM(N69:N72)</f>
        <v>0.30331999999999998</v>
      </c>
      <c r="O73" s="412">
        <f>SUM(O69:O72)</f>
        <v>0.46205000000000002</v>
      </c>
      <c r="P73" s="382">
        <f>M73+N73*$N$6+O73*$O$6</f>
        <v>11777.93621</v>
      </c>
      <c r="Q73" s="382">
        <f>Q72</f>
        <v>11777.93621</v>
      </c>
      <c r="R73" s="382">
        <f>SUM(R69:R72)</f>
        <v>2215</v>
      </c>
      <c r="S73" s="973"/>
      <c r="T73" s="397">
        <f>(R73-R60)/R60</f>
        <v>-0.63854438642297651</v>
      </c>
      <c r="U73" s="398">
        <f t="shared" si="34"/>
        <v>-0.17136719244552773</v>
      </c>
      <c r="AD73" s="381">
        <f t="shared" si="27"/>
        <v>37159</v>
      </c>
      <c r="AE73" s="761">
        <f t="shared" si="28"/>
        <v>0.63195699999999988</v>
      </c>
      <c r="AF73" s="762">
        <f t="shared" si="29"/>
        <v>1.492834</v>
      </c>
      <c r="AG73" s="382">
        <f>AD73+AE73*$AE$6+AF73*$AF$6</f>
        <v>37572.295806000002</v>
      </c>
      <c r="AH73" s="382">
        <f>AH72</f>
        <v>37572.295806000009</v>
      </c>
      <c r="AI73" s="382">
        <f t="shared" si="30"/>
        <v>2653</v>
      </c>
      <c r="AJ73" s="973"/>
      <c r="AK73" s="397">
        <f>(AI73-AI60)/AI60</f>
        <v>-0.6078344419807834</v>
      </c>
      <c r="AL73" s="398">
        <f t="shared" si="35"/>
        <v>-0.26435214805447493</v>
      </c>
    </row>
    <row r="74" spans="1:76" ht="14.25">
      <c r="A74" s="969">
        <v>2021</v>
      </c>
      <c r="B74" s="358" t="s">
        <v>289</v>
      </c>
      <c r="C74" s="359">
        <v>399</v>
      </c>
      <c r="D74" s="360">
        <v>0</v>
      </c>
      <c r="E74" s="361">
        <v>0</v>
      </c>
      <c r="F74" s="362">
        <v>510</v>
      </c>
      <c r="G74" s="406">
        <f>F74</f>
        <v>510</v>
      </c>
      <c r="H74" s="406">
        <v>5</v>
      </c>
      <c r="I74" s="971" t="str">
        <f>"Milli áranna "&amp; $A61 &amp;" og "&amp; $A74</f>
        <v>Milli áranna 2020 og 2021</v>
      </c>
      <c r="J74" s="416" t="e">
        <f t="shared" ref="J74:J86" si="42">(H74-H61)/H61</f>
        <v>#DIV/0!</v>
      </c>
      <c r="K74" s="386" t="e">
        <f t="shared" ref="K74:K86" si="43">(F74-F61)/F61</f>
        <v>#DIV/0!</v>
      </c>
      <c r="M74" s="359">
        <v>8</v>
      </c>
      <c r="N74" s="360">
        <v>0</v>
      </c>
      <c r="O74" s="361">
        <v>0</v>
      </c>
      <c r="P74" s="362">
        <v>10</v>
      </c>
      <c r="Q74" s="406">
        <f>P74</f>
        <v>10</v>
      </c>
      <c r="R74" s="406">
        <v>1</v>
      </c>
      <c r="S74" s="971" t="str">
        <f>"Milli áranna "&amp; $A61 &amp;" og "&amp; $A74</f>
        <v>Milli áranna 2020 og 2021</v>
      </c>
      <c r="T74" s="385" t="e">
        <f t="shared" ref="T74:T84" si="44">(R74-R61)/R61</f>
        <v>#DIV/0!</v>
      </c>
      <c r="U74" s="386" t="e">
        <f t="shared" ref="U74:U86" si="45">(P74-P61)/P61</f>
        <v>#DIV/0!</v>
      </c>
      <c r="AD74" s="359">
        <f t="shared" ref="AD74:AD86" si="46">M74+C74</f>
        <v>407</v>
      </c>
      <c r="AE74" s="424">
        <f t="shared" ref="AE74:AE86" si="47">N74+D74</f>
        <v>0</v>
      </c>
      <c r="AF74" s="427">
        <f t="shared" ref="AF74:AG86" si="48">O74+E74</f>
        <v>0</v>
      </c>
      <c r="AG74" s="362">
        <f t="shared" si="48"/>
        <v>520</v>
      </c>
      <c r="AH74" s="406">
        <f>AG74</f>
        <v>520</v>
      </c>
      <c r="AI74" s="406">
        <f t="shared" ref="AI74:AI86" si="49">R74+H74</f>
        <v>6</v>
      </c>
      <c r="AJ74" s="971" t="str">
        <f>"Milli áranna "&amp; $A61 &amp;" og "&amp; $A74</f>
        <v>Milli áranna 2020 og 2021</v>
      </c>
      <c r="AK74" s="385" t="e">
        <f t="shared" ref="AK74:AK83" si="50">(AI74-AI61)/AI61</f>
        <v>#DIV/0!</v>
      </c>
      <c r="AL74" s="386" t="e">
        <f t="shared" ref="AL74:AL86" si="51">(AG74-AG61)/AG61</f>
        <v>#DIV/0!</v>
      </c>
    </row>
    <row r="75" spans="1:76" ht="14.25">
      <c r="A75" s="969"/>
      <c r="B75" s="366" t="s">
        <v>291</v>
      </c>
      <c r="C75" s="367">
        <v>11240</v>
      </c>
      <c r="D75" s="368">
        <v>0</v>
      </c>
      <c r="E75" s="369">
        <v>0</v>
      </c>
      <c r="F75" s="370">
        <v>14200</v>
      </c>
      <c r="G75" s="407">
        <f>F75+F74</f>
        <v>14710</v>
      </c>
      <c r="H75" s="407">
        <v>288</v>
      </c>
      <c r="I75" s="972"/>
      <c r="J75" s="417">
        <f t="shared" si="42"/>
        <v>7.8651685393258425E-2</v>
      </c>
      <c r="K75" s="390">
        <f t="shared" si="43"/>
        <v>-0.26079589377324663</v>
      </c>
      <c r="M75" s="367">
        <v>153</v>
      </c>
      <c r="N75" s="368">
        <v>0</v>
      </c>
      <c r="O75" s="369">
        <v>0</v>
      </c>
      <c r="P75" s="370">
        <v>190</v>
      </c>
      <c r="Q75" s="407">
        <f>P75+P74</f>
        <v>200</v>
      </c>
      <c r="R75" s="407">
        <v>10</v>
      </c>
      <c r="S75" s="972"/>
      <c r="T75" s="389">
        <f t="shared" si="44"/>
        <v>2.3333333333333335</v>
      </c>
      <c r="U75" s="390">
        <f t="shared" si="45"/>
        <v>-8.3148181542643765E-2</v>
      </c>
      <c r="AD75" s="367">
        <f t="shared" si="46"/>
        <v>11393</v>
      </c>
      <c r="AE75" s="425">
        <f t="shared" si="47"/>
        <v>0</v>
      </c>
      <c r="AF75" s="428">
        <f t="shared" si="48"/>
        <v>0</v>
      </c>
      <c r="AG75" s="370">
        <f t="shared" si="48"/>
        <v>14390</v>
      </c>
      <c r="AH75" s="407">
        <f>AG75+AG74</f>
        <v>14910</v>
      </c>
      <c r="AI75" s="407">
        <f t="shared" si="49"/>
        <v>298</v>
      </c>
      <c r="AJ75" s="972"/>
      <c r="AK75" s="389">
        <f t="shared" si="50"/>
        <v>0.1037037037037037</v>
      </c>
      <c r="AL75" s="390">
        <f t="shared" si="51"/>
        <v>-0.25889992958555369</v>
      </c>
    </row>
    <row r="76" spans="1:76" ht="14.25">
      <c r="A76" s="969"/>
      <c r="B76" s="366" t="s">
        <v>293</v>
      </c>
      <c r="C76" s="367">
        <v>1000</v>
      </c>
      <c r="D76" s="368">
        <v>0</v>
      </c>
      <c r="E76" s="369">
        <v>0</v>
      </c>
      <c r="F76" s="370">
        <v>1270</v>
      </c>
      <c r="G76" s="407">
        <f>F76+F75+F74</f>
        <v>15980</v>
      </c>
      <c r="H76" s="407">
        <v>108</v>
      </c>
      <c r="I76" s="972"/>
      <c r="J76" s="417">
        <f t="shared" si="42"/>
        <v>0.08</v>
      </c>
      <c r="K76" s="390">
        <f t="shared" si="43"/>
        <v>3.7448712660934275E-2</v>
      </c>
      <c r="M76" s="367">
        <v>0.1</v>
      </c>
      <c r="N76" s="368">
        <v>0</v>
      </c>
      <c r="O76" s="369">
        <v>0</v>
      </c>
      <c r="P76" s="370">
        <v>0.1</v>
      </c>
      <c r="Q76" s="407">
        <f>P76+P75+P74</f>
        <v>200.1</v>
      </c>
      <c r="R76" s="407">
        <v>1</v>
      </c>
      <c r="S76" s="972"/>
      <c r="T76" s="389" t="e">
        <f>(R76-R63)/R63</f>
        <v>#DIV/0!</v>
      </c>
      <c r="U76" s="390" t="e">
        <f t="shared" si="45"/>
        <v>#DIV/0!</v>
      </c>
      <c r="AD76" s="367">
        <f t="shared" si="46"/>
        <v>1000.1</v>
      </c>
      <c r="AE76" s="425">
        <f t="shared" si="47"/>
        <v>0</v>
      </c>
      <c r="AF76" s="428">
        <f t="shared" si="48"/>
        <v>0</v>
      </c>
      <c r="AG76" s="370">
        <f t="shared" si="48"/>
        <v>1270.0999999999999</v>
      </c>
      <c r="AH76" s="407">
        <f>AG76+AG75+AG74</f>
        <v>16180.1</v>
      </c>
      <c r="AI76" s="407">
        <f t="shared" si="49"/>
        <v>109</v>
      </c>
      <c r="AJ76" s="972"/>
      <c r="AK76" s="389">
        <f t="shared" si="50"/>
        <v>0.09</v>
      </c>
      <c r="AL76" s="390">
        <f t="shared" si="51"/>
        <v>3.7530401535946868E-2</v>
      </c>
    </row>
    <row r="77" spans="1:76" ht="14.25">
      <c r="A77" s="969"/>
      <c r="B77" s="366" t="s">
        <v>295</v>
      </c>
      <c r="C77" s="367">
        <v>17.5</v>
      </c>
      <c r="D77" s="368">
        <v>0</v>
      </c>
      <c r="E77" s="369">
        <v>0</v>
      </c>
      <c r="F77" s="370">
        <v>18</v>
      </c>
      <c r="G77" s="407">
        <f>SUM(F74:F77)</f>
        <v>15998</v>
      </c>
      <c r="H77" s="407">
        <v>1</v>
      </c>
      <c r="I77" s="972"/>
      <c r="J77" s="417">
        <f t="shared" si="42"/>
        <v>-0.5</v>
      </c>
      <c r="K77" s="390">
        <f t="shared" si="43"/>
        <v>-0.73795206980304651</v>
      </c>
      <c r="M77" s="367">
        <v>860</v>
      </c>
      <c r="N77" s="368">
        <v>0</v>
      </c>
      <c r="O77" s="369">
        <v>0</v>
      </c>
      <c r="P77" s="370">
        <v>1110</v>
      </c>
      <c r="Q77" s="407">
        <f>SUM(P74:P77)</f>
        <v>1310.0999999999999</v>
      </c>
      <c r="R77" s="407">
        <v>149</v>
      </c>
      <c r="S77" s="972"/>
      <c r="T77" s="389">
        <f t="shared" si="44"/>
        <v>-6.6666666666666671E-3</v>
      </c>
      <c r="U77" s="390">
        <f t="shared" si="45"/>
        <v>-5.6837268048856105E-3</v>
      </c>
      <c r="AD77" s="367">
        <f t="shared" si="46"/>
        <v>877.5</v>
      </c>
      <c r="AE77" s="425">
        <f t="shared" si="47"/>
        <v>0</v>
      </c>
      <c r="AF77" s="428">
        <f t="shared" si="48"/>
        <v>0</v>
      </c>
      <c r="AG77" s="370">
        <f t="shared" si="48"/>
        <v>1128</v>
      </c>
      <c r="AH77" s="407">
        <f>SUM(AG74:AG77)</f>
        <v>17308.099999999999</v>
      </c>
      <c r="AI77" s="407">
        <f t="shared" si="49"/>
        <v>150</v>
      </c>
      <c r="AJ77" s="972"/>
      <c r="AK77" s="389">
        <f t="shared" si="50"/>
        <v>-1.3157894736842105E-2</v>
      </c>
      <c r="AL77" s="390">
        <f t="shared" si="51"/>
        <v>-4.812915844987499E-2</v>
      </c>
    </row>
    <row r="78" spans="1:76" ht="14.25">
      <c r="A78" s="969"/>
      <c r="B78" s="400" t="s">
        <v>297</v>
      </c>
      <c r="C78" s="367">
        <f>SUM(C74:C77)</f>
        <v>12656.5</v>
      </c>
      <c r="D78" s="368">
        <v>0</v>
      </c>
      <c r="E78" s="369">
        <v>0</v>
      </c>
      <c r="F78" s="370">
        <f>SUM(F74:F77)</f>
        <v>15998</v>
      </c>
      <c r="G78" s="407">
        <f>SUM(F78)</f>
        <v>15998</v>
      </c>
      <c r="H78" s="407">
        <f>SUM(H74:H77)</f>
        <v>402</v>
      </c>
      <c r="I78" s="972"/>
      <c r="J78" s="417">
        <f t="shared" si="42"/>
        <v>8.943089430894309E-2</v>
      </c>
      <c r="K78" s="390">
        <f t="shared" si="43"/>
        <v>-0.21971239718422711</v>
      </c>
      <c r="M78" s="367">
        <f>SUM(M74:M77)</f>
        <v>1021.1</v>
      </c>
      <c r="N78" s="368">
        <v>0</v>
      </c>
      <c r="O78" s="369">
        <v>0</v>
      </c>
      <c r="P78" s="370">
        <f>SUM(P74:P77)</f>
        <v>1310.0999999999999</v>
      </c>
      <c r="Q78" s="407">
        <f>SUM(P78)</f>
        <v>1310.0999999999999</v>
      </c>
      <c r="R78" s="407">
        <f>SUM(R74:R77)</f>
        <v>161</v>
      </c>
      <c r="S78" s="972"/>
      <c r="T78" s="389">
        <f t="shared" si="44"/>
        <v>5.2287581699346407E-2</v>
      </c>
      <c r="U78" s="390">
        <f t="shared" si="45"/>
        <v>-1.0181411058815985E-2</v>
      </c>
      <c r="AD78" s="367">
        <f t="shared" si="46"/>
        <v>13677.6</v>
      </c>
      <c r="AE78" s="425">
        <f t="shared" si="47"/>
        <v>0</v>
      </c>
      <c r="AF78" s="428">
        <f t="shared" si="48"/>
        <v>0</v>
      </c>
      <c r="AG78" s="370">
        <f t="shared" si="48"/>
        <v>17308.099999999999</v>
      </c>
      <c r="AH78" s="407">
        <f>SUM(AG78)</f>
        <v>17308.099999999999</v>
      </c>
      <c r="AI78" s="407">
        <f t="shared" si="49"/>
        <v>563</v>
      </c>
      <c r="AJ78" s="972"/>
      <c r="AK78" s="389">
        <f t="shared" si="50"/>
        <v>7.8544061302681989E-2</v>
      </c>
      <c r="AL78" s="390">
        <f t="shared" si="51"/>
        <v>-0.20700614341005955</v>
      </c>
    </row>
    <row r="79" spans="1:76" ht="14.25">
      <c r="A79" s="969"/>
      <c r="B79" s="366" t="s">
        <v>299</v>
      </c>
      <c r="C79" s="367">
        <v>0</v>
      </c>
      <c r="D79" s="368">
        <v>0</v>
      </c>
      <c r="E79" s="369">
        <v>0</v>
      </c>
      <c r="F79" s="370">
        <v>0</v>
      </c>
      <c r="G79" s="407">
        <f>F78+F79</f>
        <v>15998</v>
      </c>
      <c r="H79" s="407">
        <v>0</v>
      </c>
      <c r="I79" s="972"/>
      <c r="J79" s="417">
        <f t="shared" si="42"/>
        <v>-1</v>
      </c>
      <c r="K79" s="390">
        <f t="shared" si="43"/>
        <v>-1</v>
      </c>
      <c r="M79" s="367">
        <v>35.700000000000003</v>
      </c>
      <c r="N79" s="368">
        <v>0</v>
      </c>
      <c r="O79" s="369">
        <v>0</v>
      </c>
      <c r="P79" s="370">
        <v>1900</v>
      </c>
      <c r="Q79" s="407">
        <f>P78+P79</f>
        <v>3210.1</v>
      </c>
      <c r="R79" s="407">
        <v>1</v>
      </c>
      <c r="S79" s="972"/>
      <c r="T79" s="389" t="e">
        <f t="shared" si="44"/>
        <v>#DIV/0!</v>
      </c>
      <c r="U79" s="390" t="e">
        <f t="shared" si="45"/>
        <v>#DIV/0!</v>
      </c>
      <c r="AD79" s="367">
        <f t="shared" si="46"/>
        <v>35.700000000000003</v>
      </c>
      <c r="AE79" s="425">
        <f t="shared" si="47"/>
        <v>0</v>
      </c>
      <c r="AF79" s="428">
        <f t="shared" si="48"/>
        <v>0</v>
      </c>
      <c r="AG79" s="370">
        <f t="shared" si="48"/>
        <v>1900</v>
      </c>
      <c r="AH79" s="407">
        <f>AG78+AG79</f>
        <v>19208.099999999999</v>
      </c>
      <c r="AI79" s="407">
        <f t="shared" si="49"/>
        <v>1</v>
      </c>
      <c r="AJ79" s="972"/>
      <c r="AK79" s="389">
        <f t="shared" si="50"/>
        <v>0</v>
      </c>
      <c r="AL79" s="390">
        <f t="shared" si="51"/>
        <v>109.53360855814027</v>
      </c>
    </row>
    <row r="80" spans="1:76" ht="14.25">
      <c r="A80" s="969"/>
      <c r="B80" s="366" t="s">
        <v>301</v>
      </c>
      <c r="C80" s="367">
        <v>3950</v>
      </c>
      <c r="D80" s="368">
        <v>0</v>
      </c>
      <c r="E80" s="369">
        <v>0</v>
      </c>
      <c r="F80" s="370">
        <v>4880</v>
      </c>
      <c r="G80" s="407">
        <f>F80+F79+F78</f>
        <v>20878</v>
      </c>
      <c r="H80" s="407">
        <v>34</v>
      </c>
      <c r="I80" s="972"/>
      <c r="J80" s="417">
        <f t="shared" si="42"/>
        <v>33</v>
      </c>
      <c r="K80" s="390">
        <f t="shared" si="43"/>
        <v>15.080121180847652</v>
      </c>
      <c r="M80" s="367">
        <v>1530</v>
      </c>
      <c r="N80" s="368">
        <v>0</v>
      </c>
      <c r="O80" s="369">
        <v>0</v>
      </c>
      <c r="P80" s="370">
        <v>50</v>
      </c>
      <c r="Q80" s="407">
        <f>P80+P79+P78</f>
        <v>3260.1</v>
      </c>
      <c r="R80" s="407">
        <v>24</v>
      </c>
      <c r="S80" s="972"/>
      <c r="T80" s="389">
        <f t="shared" si="44"/>
        <v>3</v>
      </c>
      <c r="U80" s="390">
        <f t="shared" si="45"/>
        <v>-0.90965628988448943</v>
      </c>
      <c r="AD80" s="367">
        <f t="shared" si="46"/>
        <v>5480</v>
      </c>
      <c r="AE80" s="425">
        <f t="shared" si="47"/>
        <v>0</v>
      </c>
      <c r="AF80" s="428">
        <f t="shared" si="48"/>
        <v>0</v>
      </c>
      <c r="AG80" s="370">
        <f t="shared" si="48"/>
        <v>4930</v>
      </c>
      <c r="AH80" s="407">
        <f>AG80+AG79+AG78</f>
        <v>24138.1</v>
      </c>
      <c r="AI80" s="407">
        <f t="shared" si="49"/>
        <v>58</v>
      </c>
      <c r="AJ80" s="972"/>
      <c r="AK80" s="389">
        <f t="shared" si="50"/>
        <v>7.2857142857142856</v>
      </c>
      <c r="AL80" s="390">
        <f t="shared" si="51"/>
        <v>4.7531473158370288</v>
      </c>
    </row>
    <row r="81" spans="1:38" ht="14.25">
      <c r="A81" s="969"/>
      <c r="B81" s="366" t="s">
        <v>303</v>
      </c>
      <c r="C81" s="367">
        <f>C80+C79</f>
        <v>3950</v>
      </c>
      <c r="D81" s="368">
        <v>0</v>
      </c>
      <c r="E81" s="369">
        <v>0</v>
      </c>
      <c r="F81" s="370">
        <f>SUM(F79:F80)</f>
        <v>4880</v>
      </c>
      <c r="G81" s="407">
        <f>F81+F78</f>
        <v>20878</v>
      </c>
      <c r="H81" s="407">
        <f>H80+H79</f>
        <v>34</v>
      </c>
      <c r="I81" s="972"/>
      <c r="J81" s="417">
        <f t="shared" si="42"/>
        <v>16</v>
      </c>
      <c r="K81" s="390">
        <f t="shared" si="43"/>
        <v>14.218154015340186</v>
      </c>
      <c r="M81" s="367">
        <f>M80+M79</f>
        <v>1565.7</v>
      </c>
      <c r="N81" s="368">
        <v>0</v>
      </c>
      <c r="O81" s="369">
        <v>0</v>
      </c>
      <c r="P81" s="370">
        <f>SUM(P79:P80)</f>
        <v>1950</v>
      </c>
      <c r="Q81" s="407">
        <f>P81+P78</f>
        <v>3260.1</v>
      </c>
      <c r="R81" s="407">
        <f>R80+R79</f>
        <v>25</v>
      </c>
      <c r="S81" s="972"/>
      <c r="T81" s="389">
        <f t="shared" si="44"/>
        <v>3.1666666666666665</v>
      </c>
      <c r="U81" s="390">
        <f t="shared" si="45"/>
        <v>2.5234046945049124</v>
      </c>
      <c r="AD81" s="367">
        <f t="shared" si="46"/>
        <v>5515.7</v>
      </c>
      <c r="AE81" s="425">
        <f t="shared" si="47"/>
        <v>0</v>
      </c>
      <c r="AF81" s="428">
        <f t="shared" si="48"/>
        <v>0</v>
      </c>
      <c r="AG81" s="370">
        <f t="shared" si="48"/>
        <v>6830</v>
      </c>
      <c r="AH81" s="407">
        <f>AG81+AG78</f>
        <v>24138.1</v>
      </c>
      <c r="AI81" s="407">
        <f t="shared" si="49"/>
        <v>59</v>
      </c>
      <c r="AJ81" s="972"/>
      <c r="AK81" s="389">
        <f t="shared" si="50"/>
        <v>6.375</v>
      </c>
      <c r="AL81" s="390">
        <f t="shared" si="51"/>
        <v>6.8136475758618289</v>
      </c>
    </row>
    <row r="82" spans="1:38" ht="14.25">
      <c r="A82" s="969"/>
      <c r="B82" s="366" t="s">
        <v>305</v>
      </c>
      <c r="C82" s="367">
        <f>C81+C78</f>
        <v>16606.5</v>
      </c>
      <c r="D82" s="409">
        <v>0</v>
      </c>
      <c r="E82" s="410">
        <v>0</v>
      </c>
      <c r="F82" s="370">
        <f>F81+F78</f>
        <v>20878</v>
      </c>
      <c r="G82" s="407">
        <f>F82</f>
        <v>20878</v>
      </c>
      <c r="H82" s="407">
        <f>H81+H78</f>
        <v>436</v>
      </c>
      <c r="I82" s="972"/>
      <c r="J82" s="417">
        <f t="shared" si="42"/>
        <v>0.17520215633423181</v>
      </c>
      <c r="K82" s="390">
        <f t="shared" si="43"/>
        <v>2.6236744483145373E-3</v>
      </c>
      <c r="M82" s="367">
        <f>M81+M78</f>
        <v>2586.8000000000002</v>
      </c>
      <c r="N82" s="409">
        <v>0</v>
      </c>
      <c r="O82" s="410">
        <v>0</v>
      </c>
      <c r="P82" s="370">
        <f>P81+P78</f>
        <v>3260.1</v>
      </c>
      <c r="Q82" s="407">
        <f>P82</f>
        <v>3260.1</v>
      </c>
      <c r="R82" s="407">
        <f>R81+R78</f>
        <v>186</v>
      </c>
      <c r="S82" s="972"/>
      <c r="T82" s="389">
        <f t="shared" si="44"/>
        <v>0.16981132075471697</v>
      </c>
      <c r="U82" s="390">
        <f t="shared" si="45"/>
        <v>0.73685084280739088</v>
      </c>
      <c r="AD82" s="367">
        <f t="shared" si="46"/>
        <v>19193.3</v>
      </c>
      <c r="AE82" s="425">
        <f t="shared" si="47"/>
        <v>0</v>
      </c>
      <c r="AF82" s="428">
        <f t="shared" si="48"/>
        <v>0</v>
      </c>
      <c r="AG82" s="370">
        <f t="shared" si="48"/>
        <v>24138.1</v>
      </c>
      <c r="AH82" s="407">
        <f>AG82</f>
        <v>24138.1</v>
      </c>
      <c r="AI82" s="407">
        <f t="shared" si="49"/>
        <v>622</v>
      </c>
      <c r="AJ82" s="972"/>
      <c r="AK82" s="389">
        <f t="shared" si="50"/>
        <v>0.17358490566037735</v>
      </c>
      <c r="AL82" s="390">
        <f>(AG82-AG69)/AG69</f>
        <v>6.3334430726805835E-2</v>
      </c>
    </row>
    <row r="83" spans="1:38" ht="14.25">
      <c r="A83" s="969"/>
      <c r="B83" s="366" t="s">
        <v>35</v>
      </c>
      <c r="C83" s="367">
        <v>2900</v>
      </c>
      <c r="D83" s="368">
        <v>0</v>
      </c>
      <c r="E83" s="369">
        <v>0</v>
      </c>
      <c r="F83" s="370">
        <v>3720</v>
      </c>
      <c r="G83" s="407">
        <f>F82+F83</f>
        <v>24598</v>
      </c>
      <c r="H83" s="407">
        <v>74</v>
      </c>
      <c r="I83" s="972"/>
      <c r="J83" s="417">
        <f t="shared" si="42"/>
        <v>0.39622641509433965</v>
      </c>
      <c r="K83" s="390">
        <f t="shared" si="43"/>
        <v>-0.22375577754192752</v>
      </c>
      <c r="M83" s="367">
        <v>4800</v>
      </c>
      <c r="N83" s="368">
        <v>0</v>
      </c>
      <c r="O83" s="369">
        <v>0</v>
      </c>
      <c r="P83" s="370">
        <v>6160</v>
      </c>
      <c r="Q83" s="407">
        <f>P82+P83</f>
        <v>9420.1</v>
      </c>
      <c r="R83" s="407">
        <v>319</v>
      </c>
      <c r="S83" s="972"/>
      <c r="T83" s="389">
        <f t="shared" si="44"/>
        <v>0.32916666666666666</v>
      </c>
      <c r="U83" s="390">
        <f t="shared" si="45"/>
        <v>-0.30539322692994963</v>
      </c>
      <c r="AD83" s="367">
        <f t="shared" si="46"/>
        <v>7700</v>
      </c>
      <c r="AE83" s="425">
        <f t="shared" si="47"/>
        <v>0</v>
      </c>
      <c r="AF83" s="428">
        <f t="shared" si="48"/>
        <v>0</v>
      </c>
      <c r="AG83" s="370">
        <f t="shared" si="48"/>
        <v>9880</v>
      </c>
      <c r="AH83" s="407">
        <f>AG82+AG83</f>
        <v>34018.1</v>
      </c>
      <c r="AI83" s="407">
        <f t="shared" si="49"/>
        <v>393</v>
      </c>
      <c r="AJ83" s="972"/>
      <c r="AK83" s="389">
        <f t="shared" si="50"/>
        <v>0.34129692832764508</v>
      </c>
      <c r="AL83" s="390">
        <f t="shared" si="51"/>
        <v>-0.27675387697255499</v>
      </c>
    </row>
    <row r="84" spans="1:38" ht="14.25">
      <c r="A84" s="969"/>
      <c r="B84" s="366" t="s">
        <v>308</v>
      </c>
      <c r="C84" s="367">
        <v>0</v>
      </c>
      <c r="D84" s="368">
        <v>0</v>
      </c>
      <c r="E84" s="369">
        <v>0</v>
      </c>
      <c r="F84" s="370">
        <v>0</v>
      </c>
      <c r="G84" s="407">
        <f>SUM(F82:F84)</f>
        <v>24598</v>
      </c>
      <c r="H84" s="407">
        <v>0</v>
      </c>
      <c r="I84" s="972"/>
      <c r="J84" s="417">
        <f>IFERROR((H84-H71)/H71,0)</f>
        <v>0</v>
      </c>
      <c r="K84" s="390" t="e">
        <f t="shared" si="43"/>
        <v>#DIV/0!</v>
      </c>
      <c r="M84" s="367">
        <v>434</v>
      </c>
      <c r="N84" s="368">
        <v>0</v>
      </c>
      <c r="O84" s="369">
        <v>0</v>
      </c>
      <c r="P84" s="370">
        <v>542</v>
      </c>
      <c r="Q84" s="407">
        <f>SUM(P82:P84)</f>
        <v>9962.1</v>
      </c>
      <c r="R84" s="407">
        <v>2383</v>
      </c>
      <c r="S84" s="972"/>
      <c r="T84" s="389">
        <f t="shared" si="44"/>
        <v>0.34404963338973493</v>
      </c>
      <c r="U84" s="390">
        <f t="shared" si="45"/>
        <v>0.5481729730816709</v>
      </c>
      <c r="AD84" s="367">
        <f t="shared" si="46"/>
        <v>434</v>
      </c>
      <c r="AE84" s="425">
        <f t="shared" si="47"/>
        <v>0</v>
      </c>
      <c r="AF84" s="428">
        <f t="shared" si="48"/>
        <v>0</v>
      </c>
      <c r="AG84" s="370">
        <f t="shared" si="48"/>
        <v>542</v>
      </c>
      <c r="AH84" s="407">
        <f>SUM(AG82:AG84)</f>
        <v>34560.1</v>
      </c>
      <c r="AI84" s="407">
        <f t="shared" si="49"/>
        <v>2383</v>
      </c>
      <c r="AJ84" s="972"/>
      <c r="AK84" s="389">
        <f>(AI84-AI71)/AI71</f>
        <v>0.34404963338973493</v>
      </c>
      <c r="AL84" s="390">
        <f t="shared" si="51"/>
        <v>0.5481729730816709</v>
      </c>
    </row>
    <row r="85" spans="1:38" ht="15" thickBot="1">
      <c r="A85" s="977"/>
      <c r="B85" s="366" t="s">
        <v>310</v>
      </c>
      <c r="C85" s="375">
        <v>248</v>
      </c>
      <c r="D85" s="376">
        <v>0</v>
      </c>
      <c r="E85" s="377">
        <v>0</v>
      </c>
      <c r="F85" s="411">
        <v>300</v>
      </c>
      <c r="G85" s="407">
        <f>SUM(F82:F85)</f>
        <v>24898</v>
      </c>
      <c r="H85" s="407">
        <v>18</v>
      </c>
      <c r="I85" s="972"/>
      <c r="J85" s="418">
        <f t="shared" si="42"/>
        <v>0.2857142857142857</v>
      </c>
      <c r="K85" s="394">
        <f t="shared" si="43"/>
        <v>0.67891218578528856</v>
      </c>
      <c r="M85" s="375">
        <v>585</v>
      </c>
      <c r="N85" s="376">
        <v>0</v>
      </c>
      <c r="O85" s="377">
        <v>0</v>
      </c>
      <c r="P85" s="411">
        <v>700</v>
      </c>
      <c r="Q85" s="407">
        <f>SUM(P82:P85)</f>
        <v>10662.1</v>
      </c>
      <c r="R85" s="407">
        <v>60</v>
      </c>
      <c r="S85" s="972"/>
      <c r="T85" s="393">
        <f>(R85-R72)/R72</f>
        <v>0.39534883720930231</v>
      </c>
      <c r="U85" s="394">
        <f t="shared" si="45"/>
        <v>2.5639072042793327E-2</v>
      </c>
      <c r="AD85" s="375">
        <f t="shared" si="46"/>
        <v>833</v>
      </c>
      <c r="AE85" s="426">
        <f t="shared" si="47"/>
        <v>0</v>
      </c>
      <c r="AF85" s="429">
        <f t="shared" si="48"/>
        <v>0</v>
      </c>
      <c r="AG85" s="411">
        <f t="shared" si="48"/>
        <v>1000</v>
      </c>
      <c r="AH85" s="407">
        <f>SUM(AG82:AG85)</f>
        <v>35560.1</v>
      </c>
      <c r="AI85" s="407">
        <f t="shared" si="49"/>
        <v>78</v>
      </c>
      <c r="AJ85" s="972"/>
      <c r="AK85" s="393">
        <f>(AI85-AI72)/AI72</f>
        <v>0.36842105263157893</v>
      </c>
      <c r="AL85" s="394">
        <f t="shared" si="51"/>
        <v>0.16118606005888858</v>
      </c>
    </row>
    <row r="86" spans="1:38" ht="15" thickBot="1">
      <c r="A86" s="379" t="s">
        <v>21</v>
      </c>
      <c r="B86" s="380">
        <f>A74</f>
        <v>2021</v>
      </c>
      <c r="C86" s="381">
        <f>SUM(C82:C85)</f>
        <v>19754.5</v>
      </c>
      <c r="D86" s="412">
        <f>SUM(D82:D85)</f>
        <v>0</v>
      </c>
      <c r="E86" s="412">
        <f>SUM(E82:E85)</f>
        <v>0</v>
      </c>
      <c r="F86" s="381">
        <f>SUM(F82:F85)</f>
        <v>24898</v>
      </c>
      <c r="G86" s="382">
        <f>G85</f>
        <v>24898</v>
      </c>
      <c r="H86" s="382">
        <f>SUM(H82:H85)</f>
        <v>528</v>
      </c>
      <c r="I86" s="973"/>
      <c r="J86" s="397">
        <f t="shared" si="42"/>
        <v>0.20547945205479451</v>
      </c>
      <c r="K86" s="398">
        <f t="shared" si="43"/>
        <v>-3.4750217103238314E-2</v>
      </c>
      <c r="M86" s="381">
        <f>SUM(M82:M85)</f>
        <v>8405.7999999999993</v>
      </c>
      <c r="N86" s="412">
        <f>SUM(N82:N85)</f>
        <v>0</v>
      </c>
      <c r="O86" s="412">
        <f>SUM(O82:O85)</f>
        <v>0</v>
      </c>
      <c r="P86" s="381">
        <f>SUM(P82:P85)</f>
        <v>10662.1</v>
      </c>
      <c r="Q86" s="382">
        <f>Q85</f>
        <v>10662.1</v>
      </c>
      <c r="R86" s="382">
        <f>SUM(R82:R85)</f>
        <v>2948</v>
      </c>
      <c r="S86" s="973"/>
      <c r="T86" s="397">
        <f>(R86-R73)/R73</f>
        <v>0.33092550790067721</v>
      </c>
      <c r="U86" s="398">
        <f t="shared" si="45"/>
        <v>-9.4739535866445276E-2</v>
      </c>
      <c r="AD86" s="381">
        <f t="shared" si="46"/>
        <v>28160.3</v>
      </c>
      <c r="AE86" s="761">
        <f t="shared" si="47"/>
        <v>0</v>
      </c>
      <c r="AF86" s="762">
        <f t="shared" si="48"/>
        <v>0</v>
      </c>
      <c r="AG86" s="382">
        <f>SUM(AG82:AG85)</f>
        <v>35560.1</v>
      </c>
      <c r="AH86" s="382">
        <f>AH85</f>
        <v>35560.1</v>
      </c>
      <c r="AI86" s="382">
        <f t="shared" si="49"/>
        <v>3476</v>
      </c>
      <c r="AJ86" s="973"/>
      <c r="AK86" s="397">
        <f>(AI86-AI73)/AI73</f>
        <v>0.31021485111194874</v>
      </c>
      <c r="AL86" s="398">
        <f t="shared" si="51"/>
        <v>-5.3555306185965657E-2</v>
      </c>
    </row>
    <row r="87" spans="1:38" ht="14.25">
      <c r="A87" s="969">
        <v>2022</v>
      </c>
      <c r="B87" s="358" t="s">
        <v>289</v>
      </c>
      <c r="C87" s="359">
        <v>20</v>
      </c>
      <c r="D87" s="360">
        <v>0</v>
      </c>
      <c r="E87" s="361">
        <v>0</v>
      </c>
      <c r="F87" s="362">
        <v>30</v>
      </c>
      <c r="G87" s="406">
        <f>F87</f>
        <v>30</v>
      </c>
      <c r="H87" s="406">
        <v>1</v>
      </c>
      <c r="I87" s="971" t="str">
        <f>"Milli áranna "&amp; $A74 &amp;" og "&amp; $A87</f>
        <v>Milli áranna 2021 og 2022</v>
      </c>
      <c r="J87" s="416">
        <f t="shared" ref="J87:J96" si="52">(H87-H74)/H74</f>
        <v>-0.8</v>
      </c>
      <c r="K87" s="386">
        <f t="shared" ref="K87:K99" si="53">(F87-F74)/F74</f>
        <v>-0.94117647058823528</v>
      </c>
      <c r="M87" s="359">
        <v>0</v>
      </c>
      <c r="N87" s="360">
        <v>0</v>
      </c>
      <c r="O87" s="361">
        <v>0</v>
      </c>
      <c r="P87" s="362">
        <v>0</v>
      </c>
      <c r="Q87" s="406">
        <f>P87</f>
        <v>0</v>
      </c>
      <c r="R87" s="406">
        <v>0</v>
      </c>
      <c r="S87" s="971" t="str">
        <f>"Milli áranna "&amp; $A74 &amp;" og "&amp; $A87</f>
        <v>Milli áranna 2021 og 2022</v>
      </c>
      <c r="T87" s="385">
        <f t="shared" ref="T87:T88" si="54">(R87-R74)/R74</f>
        <v>-1</v>
      </c>
      <c r="U87" s="386">
        <f t="shared" ref="U87:U99" si="55">(P87-P74)/P74</f>
        <v>-1</v>
      </c>
      <c r="AD87" s="359">
        <f>M87+C87</f>
        <v>20</v>
      </c>
      <c r="AE87" s="424">
        <f t="shared" ref="AE87:AE99" si="56">N87+D87</f>
        <v>0</v>
      </c>
      <c r="AF87" s="427">
        <f t="shared" ref="AF87:AF99" si="57">O87+E87</f>
        <v>0</v>
      </c>
      <c r="AG87" s="362">
        <f t="shared" ref="AG87:AG98" si="58">P87+F87</f>
        <v>30</v>
      </c>
      <c r="AH87" s="406">
        <f>AG87</f>
        <v>30</v>
      </c>
      <c r="AI87" s="406">
        <f t="shared" ref="AI87:AI99" si="59">R87+H87</f>
        <v>1</v>
      </c>
      <c r="AJ87" s="971" t="str">
        <f>"Milli áranna "&amp; $A74 &amp;" og "&amp; $A87</f>
        <v>Milli áranna 2021 og 2022</v>
      </c>
      <c r="AK87" s="385">
        <f t="shared" ref="AK87:AK96" si="60">(AI87-AI74)/AI74</f>
        <v>-0.83333333333333337</v>
      </c>
      <c r="AL87" s="386">
        <f t="shared" ref="AL87:AL94" si="61">(AG87-AG74)/AG74</f>
        <v>-0.94230769230769229</v>
      </c>
    </row>
    <row r="88" spans="1:38" ht="14.25">
      <c r="A88" s="969"/>
      <c r="B88" s="366" t="s">
        <v>291</v>
      </c>
      <c r="C88" s="367">
        <v>11370</v>
      </c>
      <c r="D88" s="368">
        <v>0</v>
      </c>
      <c r="E88" s="369">
        <v>0</v>
      </c>
      <c r="F88" s="370">
        <v>14360</v>
      </c>
      <c r="G88" s="407">
        <f>F88+F87</f>
        <v>14390</v>
      </c>
      <c r="H88" s="407">
        <v>289</v>
      </c>
      <c r="I88" s="972"/>
      <c r="J88" s="417">
        <f t="shared" si="52"/>
        <v>3.472222222222222E-3</v>
      </c>
      <c r="K88" s="390">
        <f t="shared" si="53"/>
        <v>1.1267605633802818E-2</v>
      </c>
      <c r="M88" s="367">
        <v>130</v>
      </c>
      <c r="N88" s="368">
        <v>0</v>
      </c>
      <c r="O88" s="369">
        <v>0</v>
      </c>
      <c r="P88" s="370">
        <v>170</v>
      </c>
      <c r="Q88" s="407">
        <f>P88+P87</f>
        <v>170</v>
      </c>
      <c r="R88" s="407">
        <v>12</v>
      </c>
      <c r="S88" s="972"/>
      <c r="T88" s="389">
        <f t="shared" si="54"/>
        <v>0.2</v>
      </c>
      <c r="U88" s="390">
        <f t="shared" si="55"/>
        <v>-0.10526315789473684</v>
      </c>
      <c r="AD88" s="367">
        <f t="shared" ref="AD88:AD99" si="62">M88+C88</f>
        <v>11500</v>
      </c>
      <c r="AE88" s="425">
        <f t="shared" si="56"/>
        <v>0</v>
      </c>
      <c r="AF88" s="428">
        <f t="shared" si="57"/>
        <v>0</v>
      </c>
      <c r="AG88" s="370">
        <f t="shared" si="58"/>
        <v>14530</v>
      </c>
      <c r="AH88" s="407">
        <f>AG88+AG87</f>
        <v>14560</v>
      </c>
      <c r="AI88" s="407">
        <f t="shared" si="59"/>
        <v>301</v>
      </c>
      <c r="AJ88" s="972"/>
      <c r="AK88" s="389">
        <f t="shared" si="60"/>
        <v>1.0067114093959731E-2</v>
      </c>
      <c r="AL88" s="390">
        <f t="shared" si="61"/>
        <v>9.7289784572619879E-3</v>
      </c>
    </row>
    <row r="89" spans="1:38" ht="14.25">
      <c r="A89" s="969"/>
      <c r="B89" s="366" t="s">
        <v>293</v>
      </c>
      <c r="C89" s="367">
        <v>1311</v>
      </c>
      <c r="D89" s="368">
        <v>0</v>
      </c>
      <c r="E89" s="369">
        <v>0</v>
      </c>
      <c r="F89" s="370">
        <v>1668</v>
      </c>
      <c r="G89" s="407">
        <f>F89+F88+F87</f>
        <v>16058</v>
      </c>
      <c r="H89" s="407">
        <v>118</v>
      </c>
      <c r="I89" s="972"/>
      <c r="J89" s="417">
        <f t="shared" si="52"/>
        <v>9.2592592592592587E-2</v>
      </c>
      <c r="K89" s="390">
        <f t="shared" si="53"/>
        <v>0.31338582677165355</v>
      </c>
      <c r="M89" s="367">
        <v>12</v>
      </c>
      <c r="N89" s="368">
        <v>0</v>
      </c>
      <c r="O89" s="369">
        <v>0</v>
      </c>
      <c r="P89" s="370">
        <v>15</v>
      </c>
      <c r="Q89" s="407">
        <f>P89+P88+P87</f>
        <v>185</v>
      </c>
      <c r="R89" s="407">
        <v>5</v>
      </c>
      <c r="S89" s="972"/>
      <c r="T89" s="389">
        <f>(R89-R76)/R76</f>
        <v>4</v>
      </c>
      <c r="U89" s="390">
        <f t="shared" si="55"/>
        <v>149</v>
      </c>
      <c r="AD89" s="367">
        <f t="shared" si="62"/>
        <v>1323</v>
      </c>
      <c r="AE89" s="425">
        <f t="shared" si="56"/>
        <v>0</v>
      </c>
      <c r="AF89" s="428">
        <f t="shared" si="57"/>
        <v>0</v>
      </c>
      <c r="AG89" s="370">
        <f t="shared" si="58"/>
        <v>1683</v>
      </c>
      <c r="AH89" s="407">
        <f>AG89+AG88+AG87</f>
        <v>16243</v>
      </c>
      <c r="AI89" s="407">
        <f t="shared" si="59"/>
        <v>123</v>
      </c>
      <c r="AJ89" s="972"/>
      <c r="AK89" s="389">
        <f t="shared" si="60"/>
        <v>0.12844036697247707</v>
      </c>
      <c r="AL89" s="390">
        <f t="shared" si="61"/>
        <v>0.3250925124005985</v>
      </c>
    </row>
    <row r="90" spans="1:38" ht="14.25">
      <c r="A90" s="969"/>
      <c r="B90" s="366" t="s">
        <v>295</v>
      </c>
      <c r="C90" s="367">
        <v>50</v>
      </c>
      <c r="D90" s="368">
        <v>0</v>
      </c>
      <c r="E90" s="369">
        <v>0</v>
      </c>
      <c r="F90" s="370">
        <v>50</v>
      </c>
      <c r="G90" s="407">
        <f>SUM(F87:F90)</f>
        <v>16108</v>
      </c>
      <c r="H90" s="407">
        <v>1</v>
      </c>
      <c r="I90" s="972"/>
      <c r="J90" s="417">
        <f t="shared" si="52"/>
        <v>0</v>
      </c>
      <c r="K90" s="390">
        <f t="shared" si="53"/>
        <v>1.7777777777777777</v>
      </c>
      <c r="M90" s="367">
        <v>940</v>
      </c>
      <c r="N90" s="368">
        <v>0</v>
      </c>
      <c r="O90" s="369">
        <v>0</v>
      </c>
      <c r="P90" s="370">
        <v>1210</v>
      </c>
      <c r="Q90" s="407">
        <f>SUM(P87:P90)</f>
        <v>1395</v>
      </c>
      <c r="R90" s="407">
        <v>145</v>
      </c>
      <c r="S90" s="972"/>
      <c r="T90" s="389">
        <f t="shared" ref="T90:T97" si="63">(R90-R77)/R77</f>
        <v>-2.6845637583892617E-2</v>
      </c>
      <c r="U90" s="390">
        <f t="shared" si="55"/>
        <v>9.0090090090090086E-2</v>
      </c>
      <c r="AD90" s="367">
        <f t="shared" si="62"/>
        <v>990</v>
      </c>
      <c r="AE90" s="425">
        <f t="shared" si="56"/>
        <v>0</v>
      </c>
      <c r="AF90" s="428">
        <f t="shared" si="57"/>
        <v>0</v>
      </c>
      <c r="AG90" s="370">
        <f>P90+F90</f>
        <v>1260</v>
      </c>
      <c r="AH90" s="407">
        <f>SUM(AG87:AG90)</f>
        <v>17503</v>
      </c>
      <c r="AI90" s="407">
        <f t="shared" si="59"/>
        <v>146</v>
      </c>
      <c r="AJ90" s="972"/>
      <c r="AK90" s="389">
        <f t="shared" si="60"/>
        <v>-2.6666666666666668E-2</v>
      </c>
      <c r="AL90" s="390">
        <f t="shared" si="61"/>
        <v>0.11702127659574468</v>
      </c>
    </row>
    <row r="91" spans="1:38" ht="14.25">
      <c r="A91" s="969"/>
      <c r="B91" s="400" t="s">
        <v>297</v>
      </c>
      <c r="C91" s="367">
        <f>SUM(C87:C90)</f>
        <v>12751</v>
      </c>
      <c r="D91" s="368">
        <v>0</v>
      </c>
      <c r="E91" s="369">
        <v>0</v>
      </c>
      <c r="F91" s="370">
        <f>SUM(F87:F90)</f>
        <v>16108</v>
      </c>
      <c r="G91" s="407">
        <f>SUM(F91)</f>
        <v>16108</v>
      </c>
      <c r="H91" s="407">
        <f>SUM(H87:H90)</f>
        <v>409</v>
      </c>
      <c r="I91" s="972"/>
      <c r="J91" s="417">
        <f t="shared" si="52"/>
        <v>1.7412935323383085E-2</v>
      </c>
      <c r="K91" s="390">
        <f t="shared" si="53"/>
        <v>6.8758594824353042E-3</v>
      </c>
      <c r="M91" s="367">
        <f>SUM(M87:M90)</f>
        <v>1082</v>
      </c>
      <c r="N91" s="368">
        <v>0</v>
      </c>
      <c r="O91" s="369">
        <v>0</v>
      </c>
      <c r="P91" s="370">
        <f>SUM(P87:P90)</f>
        <v>1395</v>
      </c>
      <c r="Q91" s="407">
        <f>SUM(P91)</f>
        <v>1395</v>
      </c>
      <c r="R91" s="407">
        <f>SUM(R87:R90)</f>
        <v>162</v>
      </c>
      <c r="S91" s="972"/>
      <c r="T91" s="389">
        <f>(R91-R78)/R78</f>
        <v>6.2111801242236021E-3</v>
      </c>
      <c r="U91" s="390">
        <f t="shared" si="55"/>
        <v>6.4804213418823059E-2</v>
      </c>
      <c r="AD91" s="367">
        <f t="shared" si="62"/>
        <v>13833</v>
      </c>
      <c r="AE91" s="425">
        <f t="shared" si="56"/>
        <v>0</v>
      </c>
      <c r="AF91" s="428">
        <f t="shared" si="57"/>
        <v>0</v>
      </c>
      <c r="AG91" s="370">
        <f>P91+F91</f>
        <v>17503</v>
      </c>
      <c r="AH91" s="407">
        <f>SUM(AG91)</f>
        <v>17503</v>
      </c>
      <c r="AI91" s="407">
        <f t="shared" si="59"/>
        <v>571</v>
      </c>
      <c r="AJ91" s="972"/>
      <c r="AK91" s="389">
        <f t="shared" si="60"/>
        <v>1.4209591474245116E-2</v>
      </c>
      <c r="AL91" s="390">
        <f t="shared" si="61"/>
        <v>1.1260623638643264E-2</v>
      </c>
    </row>
    <row r="92" spans="1:38" ht="14.25">
      <c r="A92" s="969"/>
      <c r="B92" s="366" t="s">
        <v>299</v>
      </c>
      <c r="C92" s="367">
        <v>0</v>
      </c>
      <c r="D92" s="368">
        <v>0</v>
      </c>
      <c r="E92" s="369">
        <v>0</v>
      </c>
      <c r="F92" s="370">
        <v>0</v>
      </c>
      <c r="G92" s="407">
        <f>F91+F92</f>
        <v>16108</v>
      </c>
      <c r="H92" s="407">
        <v>0</v>
      </c>
      <c r="I92" s="972"/>
      <c r="J92" s="417" t="e">
        <f>(H92-H79)/H79</f>
        <v>#DIV/0!</v>
      </c>
      <c r="K92" s="390" t="e">
        <f t="shared" si="53"/>
        <v>#DIV/0!</v>
      </c>
      <c r="M92" s="367">
        <v>230</v>
      </c>
      <c r="N92" s="368">
        <v>0</v>
      </c>
      <c r="O92" s="369">
        <v>0</v>
      </c>
      <c r="P92" s="370">
        <v>290</v>
      </c>
      <c r="Q92" s="407">
        <f>P91+P92</f>
        <v>1685</v>
      </c>
      <c r="R92" s="407">
        <v>5</v>
      </c>
      <c r="S92" s="972"/>
      <c r="T92" s="389">
        <f t="shared" si="63"/>
        <v>4</v>
      </c>
      <c r="U92" s="390">
        <f t="shared" si="55"/>
        <v>-0.84736842105263155</v>
      </c>
      <c r="AD92" s="367">
        <f t="shared" si="62"/>
        <v>230</v>
      </c>
      <c r="AE92" s="425">
        <f t="shared" si="56"/>
        <v>0</v>
      </c>
      <c r="AF92" s="428">
        <f t="shared" si="57"/>
        <v>0</v>
      </c>
      <c r="AG92" s="370">
        <f t="shared" si="58"/>
        <v>290</v>
      </c>
      <c r="AH92" s="407">
        <f>AG91+AG92</f>
        <v>17793</v>
      </c>
      <c r="AI92" s="407">
        <f t="shared" si="59"/>
        <v>5</v>
      </c>
      <c r="AJ92" s="972"/>
      <c r="AK92" s="389">
        <f t="shared" si="60"/>
        <v>4</v>
      </c>
      <c r="AL92" s="390">
        <f t="shared" si="61"/>
        <v>-0.84736842105263155</v>
      </c>
    </row>
    <row r="93" spans="1:38" ht="14.25">
      <c r="A93" s="969"/>
      <c r="B93" s="366" t="s">
        <v>301</v>
      </c>
      <c r="C93" s="367">
        <v>15320</v>
      </c>
      <c r="D93" s="368">
        <v>0</v>
      </c>
      <c r="E93" s="369">
        <v>0</v>
      </c>
      <c r="F93" s="370">
        <v>19030</v>
      </c>
      <c r="G93" s="407">
        <f>F93+F92+F91</f>
        <v>35138</v>
      </c>
      <c r="H93" s="407">
        <v>110</v>
      </c>
      <c r="I93" s="972"/>
      <c r="J93" s="417">
        <f t="shared" si="52"/>
        <v>2.2352941176470589</v>
      </c>
      <c r="K93" s="390">
        <f t="shared" si="53"/>
        <v>2.8995901639344264</v>
      </c>
      <c r="M93" s="367">
        <v>2300</v>
      </c>
      <c r="N93" s="368">
        <v>0</v>
      </c>
      <c r="O93" s="369">
        <v>0</v>
      </c>
      <c r="P93" s="370">
        <v>2920</v>
      </c>
      <c r="Q93" s="407">
        <f>P93+P92+P91</f>
        <v>4605</v>
      </c>
      <c r="R93" s="407">
        <v>69</v>
      </c>
      <c r="S93" s="972"/>
      <c r="T93" s="389">
        <f t="shared" si="63"/>
        <v>1.875</v>
      </c>
      <c r="U93" s="390">
        <f t="shared" si="55"/>
        <v>57.4</v>
      </c>
      <c r="AD93" s="367">
        <f t="shared" si="62"/>
        <v>17620</v>
      </c>
      <c r="AE93" s="425">
        <f t="shared" si="56"/>
        <v>0</v>
      </c>
      <c r="AF93" s="428">
        <f t="shared" si="57"/>
        <v>0</v>
      </c>
      <c r="AG93" s="370">
        <f t="shared" si="58"/>
        <v>21950</v>
      </c>
      <c r="AH93" s="407">
        <f>AG93+AG92+AG91</f>
        <v>39743</v>
      </c>
      <c r="AI93" s="407">
        <f>R93+H93</f>
        <v>179</v>
      </c>
      <c r="AJ93" s="972"/>
      <c r="AK93" s="389">
        <f t="shared" si="60"/>
        <v>2.0862068965517242</v>
      </c>
      <c r="AL93" s="390">
        <f t="shared" si="61"/>
        <v>3.4523326572008113</v>
      </c>
    </row>
    <row r="94" spans="1:38" ht="14.25">
      <c r="A94" s="969"/>
      <c r="B94" s="366" t="s">
        <v>303</v>
      </c>
      <c r="C94" s="367">
        <f>C93+C92</f>
        <v>15320</v>
      </c>
      <c r="D94" s="368">
        <v>0</v>
      </c>
      <c r="E94" s="369">
        <v>0</v>
      </c>
      <c r="F94" s="370">
        <f>SUM(F92:F93)</f>
        <v>19030</v>
      </c>
      <c r="G94" s="407">
        <f>F94+F91</f>
        <v>35138</v>
      </c>
      <c r="H94" s="407">
        <f>H93+H92</f>
        <v>110</v>
      </c>
      <c r="I94" s="972"/>
      <c r="J94" s="417">
        <f t="shared" si="52"/>
        <v>2.2352941176470589</v>
      </c>
      <c r="K94" s="390">
        <f t="shared" si="53"/>
        <v>2.8995901639344264</v>
      </c>
      <c r="M94" s="367">
        <f>M93+M92</f>
        <v>2530</v>
      </c>
      <c r="N94" s="368">
        <v>0</v>
      </c>
      <c r="O94" s="369">
        <v>0</v>
      </c>
      <c r="P94" s="370">
        <f>SUM(P92:P93)</f>
        <v>3210</v>
      </c>
      <c r="Q94" s="407">
        <f>P94+P91</f>
        <v>4605</v>
      </c>
      <c r="R94" s="407">
        <f>R93+R92</f>
        <v>74</v>
      </c>
      <c r="S94" s="972"/>
      <c r="T94" s="389">
        <f>(R94-R81)/R81</f>
        <v>1.96</v>
      </c>
      <c r="U94" s="390">
        <f t="shared" si="55"/>
        <v>0.64615384615384619</v>
      </c>
      <c r="AD94" s="367">
        <f t="shared" si="62"/>
        <v>17850</v>
      </c>
      <c r="AE94" s="425">
        <f t="shared" si="56"/>
        <v>0</v>
      </c>
      <c r="AF94" s="428">
        <f t="shared" si="57"/>
        <v>0</v>
      </c>
      <c r="AG94" s="370">
        <f t="shared" si="58"/>
        <v>22240</v>
      </c>
      <c r="AH94" s="407">
        <f>AG94+AG91</f>
        <v>39743</v>
      </c>
      <c r="AI94" s="407">
        <f t="shared" si="59"/>
        <v>184</v>
      </c>
      <c r="AJ94" s="972"/>
      <c r="AK94" s="389">
        <f t="shared" si="60"/>
        <v>2.1186440677966103</v>
      </c>
      <c r="AL94" s="390">
        <f t="shared" si="61"/>
        <v>2.2562225475841875</v>
      </c>
    </row>
    <row r="95" spans="1:38" ht="14.25">
      <c r="A95" s="969"/>
      <c r="B95" s="366" t="s">
        <v>305</v>
      </c>
      <c r="C95" s="367">
        <f>C94+C91</f>
        <v>28071</v>
      </c>
      <c r="D95" s="409">
        <v>0</v>
      </c>
      <c r="E95" s="410">
        <v>0</v>
      </c>
      <c r="F95" s="370">
        <f>F94+F91</f>
        <v>35138</v>
      </c>
      <c r="G95" s="407">
        <f>F95</f>
        <v>35138</v>
      </c>
      <c r="H95" s="407">
        <f>H94+H91</f>
        <v>519</v>
      </c>
      <c r="I95" s="972"/>
      <c r="J95" s="417">
        <f t="shared" si="52"/>
        <v>0.19036697247706422</v>
      </c>
      <c r="K95" s="390">
        <f t="shared" si="53"/>
        <v>0.68301561452246384</v>
      </c>
      <c r="M95" s="367">
        <f>M94+M91</f>
        <v>3612</v>
      </c>
      <c r="N95" s="409">
        <v>0</v>
      </c>
      <c r="O95" s="410">
        <v>0</v>
      </c>
      <c r="P95" s="370">
        <f>P94+P91</f>
        <v>4605</v>
      </c>
      <c r="Q95" s="407">
        <f>P95</f>
        <v>4605</v>
      </c>
      <c r="R95" s="407">
        <f>R94+R91</f>
        <v>236</v>
      </c>
      <c r="S95" s="972"/>
      <c r="T95" s="389">
        <f t="shared" si="63"/>
        <v>0.26881720430107525</v>
      </c>
      <c r="U95" s="390">
        <f>(P95-P82)/P82</f>
        <v>0.41253335787245793</v>
      </c>
      <c r="AD95" s="367">
        <f t="shared" si="62"/>
        <v>31683</v>
      </c>
      <c r="AE95" s="425">
        <f t="shared" si="56"/>
        <v>0</v>
      </c>
      <c r="AF95" s="428">
        <f t="shared" si="57"/>
        <v>0</v>
      </c>
      <c r="AG95" s="370">
        <f t="shared" si="58"/>
        <v>39743</v>
      </c>
      <c r="AH95" s="407">
        <f>AG95</f>
        <v>39743</v>
      </c>
      <c r="AI95" s="407">
        <f t="shared" si="59"/>
        <v>755</v>
      </c>
      <c r="AJ95" s="972"/>
      <c r="AK95" s="389">
        <f t="shared" si="60"/>
        <v>0.21382636655948553</v>
      </c>
      <c r="AL95" s="390">
        <f>(AG95-AG82)/AG82</f>
        <v>0.64648418889639214</v>
      </c>
    </row>
    <row r="96" spans="1:38" ht="14.25">
      <c r="A96" s="969"/>
      <c r="B96" s="366" t="s">
        <v>35</v>
      </c>
      <c r="C96" s="367">
        <v>1540</v>
      </c>
      <c r="D96" s="368">
        <v>0</v>
      </c>
      <c r="E96" s="369">
        <v>0</v>
      </c>
      <c r="F96" s="370">
        <v>1960</v>
      </c>
      <c r="G96" s="407">
        <f>F95+F96</f>
        <v>37098</v>
      </c>
      <c r="H96" s="407">
        <v>70</v>
      </c>
      <c r="I96" s="972"/>
      <c r="J96" s="417">
        <f t="shared" si="52"/>
        <v>-5.4054054054054057E-2</v>
      </c>
      <c r="K96" s="390">
        <f t="shared" si="53"/>
        <v>-0.4731182795698925</v>
      </c>
      <c r="M96" s="367">
        <v>5940</v>
      </c>
      <c r="N96" s="368">
        <v>0</v>
      </c>
      <c r="O96" s="369">
        <v>0</v>
      </c>
      <c r="P96" s="370">
        <v>7570</v>
      </c>
      <c r="Q96" s="407">
        <f>P95+P96</f>
        <v>12175</v>
      </c>
      <c r="R96" s="407">
        <v>310</v>
      </c>
      <c r="S96" s="972"/>
      <c r="T96" s="389">
        <f t="shared" si="63"/>
        <v>-2.8213166144200628E-2</v>
      </c>
      <c r="U96" s="390">
        <f t="shared" si="55"/>
        <v>0.2288961038961039</v>
      </c>
      <c r="AD96" s="367">
        <f t="shared" si="62"/>
        <v>7480</v>
      </c>
      <c r="AE96" s="425">
        <f t="shared" si="56"/>
        <v>0</v>
      </c>
      <c r="AF96" s="428">
        <f t="shared" si="57"/>
        <v>0</v>
      </c>
      <c r="AG96" s="370">
        <f t="shared" si="58"/>
        <v>9530</v>
      </c>
      <c r="AH96" s="407">
        <f>AG95+AG96</f>
        <v>49273</v>
      </c>
      <c r="AI96" s="407">
        <f t="shared" si="59"/>
        <v>380</v>
      </c>
      <c r="AJ96" s="972"/>
      <c r="AK96" s="389">
        <f t="shared" si="60"/>
        <v>-3.3078880407124679E-2</v>
      </c>
      <c r="AL96" s="390">
        <f t="shared" ref="AL96:AL99" si="64">(AG96-AG83)/AG83</f>
        <v>-3.54251012145749E-2</v>
      </c>
    </row>
    <row r="97" spans="1:38" ht="14.25">
      <c r="A97" s="969"/>
      <c r="B97" s="366" t="s">
        <v>308</v>
      </c>
      <c r="C97" s="367">
        <v>0</v>
      </c>
      <c r="D97" s="368">
        <v>0</v>
      </c>
      <c r="E97" s="369">
        <v>0</v>
      </c>
      <c r="F97" s="370">
        <v>0</v>
      </c>
      <c r="G97" s="407">
        <f>SUM(F95:F97)</f>
        <v>37098</v>
      </c>
      <c r="H97" s="407">
        <v>0</v>
      </c>
      <c r="I97" s="972"/>
      <c r="J97" s="417">
        <f>IFERROR((H97-H84)/H84,0)</f>
        <v>0</v>
      </c>
      <c r="K97" s="390" t="e">
        <f t="shared" si="53"/>
        <v>#DIV/0!</v>
      </c>
      <c r="M97" s="367">
        <v>780</v>
      </c>
      <c r="N97" s="368">
        <v>0</v>
      </c>
      <c r="O97" s="369">
        <v>0</v>
      </c>
      <c r="P97" s="370">
        <v>980</v>
      </c>
      <c r="Q97" s="407">
        <f>SUM(P95:P97)</f>
        <v>13155</v>
      </c>
      <c r="R97" s="407">
        <v>3959</v>
      </c>
      <c r="S97" s="972"/>
      <c r="T97" s="389">
        <f t="shared" si="63"/>
        <v>0.66135123793537554</v>
      </c>
      <c r="U97" s="390">
        <f t="shared" si="55"/>
        <v>0.80811808118081185</v>
      </c>
      <c r="AD97" s="367">
        <f t="shared" si="62"/>
        <v>780</v>
      </c>
      <c r="AE97" s="425">
        <f t="shared" si="56"/>
        <v>0</v>
      </c>
      <c r="AF97" s="428">
        <f t="shared" si="57"/>
        <v>0</v>
      </c>
      <c r="AG97" s="370">
        <f t="shared" si="58"/>
        <v>980</v>
      </c>
      <c r="AH97" s="407">
        <f>SUM(AG95:AG97)</f>
        <v>50253</v>
      </c>
      <c r="AI97" s="407">
        <f t="shared" si="59"/>
        <v>3959</v>
      </c>
      <c r="AJ97" s="972"/>
      <c r="AK97" s="389">
        <f>(AI97-AI84)/AI84</f>
        <v>0.66135123793537554</v>
      </c>
      <c r="AL97" s="390">
        <f t="shared" si="64"/>
        <v>0.80811808118081185</v>
      </c>
    </row>
    <row r="98" spans="1:38" ht="15" thickBot="1">
      <c r="A98" s="977"/>
      <c r="B98" s="366" t="s">
        <v>310</v>
      </c>
      <c r="C98" s="375">
        <v>760</v>
      </c>
      <c r="D98" s="376">
        <v>0</v>
      </c>
      <c r="E98" s="377">
        <v>0</v>
      </c>
      <c r="F98" s="411">
        <v>970</v>
      </c>
      <c r="G98" s="407">
        <f>SUM(F95:F98)</f>
        <v>38068</v>
      </c>
      <c r="H98" s="407">
        <v>28</v>
      </c>
      <c r="I98" s="972"/>
      <c r="J98" s="418">
        <f t="shared" ref="J98:J99" si="65">(H98-H85)/H85</f>
        <v>0.55555555555555558</v>
      </c>
      <c r="K98" s="394">
        <f t="shared" si="53"/>
        <v>2.2333333333333334</v>
      </c>
      <c r="M98" s="375">
        <v>1070</v>
      </c>
      <c r="N98" s="376">
        <v>0</v>
      </c>
      <c r="O98" s="377">
        <v>0</v>
      </c>
      <c r="P98" s="411">
        <v>1360</v>
      </c>
      <c r="Q98" s="407">
        <f>SUM(P95:P98)</f>
        <v>14515</v>
      </c>
      <c r="R98" s="407">
        <v>49</v>
      </c>
      <c r="S98" s="972"/>
      <c r="T98" s="393">
        <f>(R98-R85)/R85</f>
        <v>-0.18333333333333332</v>
      </c>
      <c r="U98" s="394">
        <f t="shared" si="55"/>
        <v>0.94285714285714284</v>
      </c>
      <c r="AD98" s="375">
        <f t="shared" si="62"/>
        <v>1830</v>
      </c>
      <c r="AE98" s="426">
        <f t="shared" si="56"/>
        <v>0</v>
      </c>
      <c r="AF98" s="429">
        <f t="shared" si="57"/>
        <v>0</v>
      </c>
      <c r="AG98" s="411">
        <f t="shared" si="58"/>
        <v>2330</v>
      </c>
      <c r="AH98" s="407">
        <f>SUM(AG95:AG98)</f>
        <v>52583</v>
      </c>
      <c r="AI98" s="407">
        <f t="shared" si="59"/>
        <v>77</v>
      </c>
      <c r="AJ98" s="972"/>
      <c r="AK98" s="393">
        <f>(AI98-AI85)/AI85</f>
        <v>-1.282051282051282E-2</v>
      </c>
      <c r="AL98" s="394">
        <f t="shared" si="64"/>
        <v>1.33</v>
      </c>
    </row>
    <row r="99" spans="1:38" ht="15" thickBot="1">
      <c r="A99" s="379" t="s">
        <v>690</v>
      </c>
      <c r="B99" s="380">
        <f>A87</f>
        <v>2022</v>
      </c>
      <c r="C99" s="381">
        <f>SUM(C95:C98)</f>
        <v>30371</v>
      </c>
      <c r="D99" s="412">
        <f>SUM(D95:D98)</f>
        <v>0</v>
      </c>
      <c r="E99" s="412">
        <f>SUM(E95:E98)</f>
        <v>0</v>
      </c>
      <c r="F99" s="381">
        <f>SUM(F95:F98)</f>
        <v>38068</v>
      </c>
      <c r="G99" s="382">
        <f>G98</f>
        <v>38068</v>
      </c>
      <c r="H99" s="382">
        <f>SUM(H95:H98)</f>
        <v>617</v>
      </c>
      <c r="I99" s="973"/>
      <c r="J99" s="397">
        <f t="shared" si="65"/>
        <v>0.16856060606060605</v>
      </c>
      <c r="K99" s="398">
        <f t="shared" si="53"/>
        <v>0.52895814924893569</v>
      </c>
      <c r="M99" s="381">
        <f>SUM(M95:M98)</f>
        <v>11402</v>
      </c>
      <c r="N99" s="412">
        <f>SUM(N95:N98)</f>
        <v>0</v>
      </c>
      <c r="O99" s="412">
        <f>SUM(O95:O98)</f>
        <v>0</v>
      </c>
      <c r="P99" s="381">
        <f>SUM(P95:P98)</f>
        <v>14515</v>
      </c>
      <c r="Q99" s="382">
        <f>Q98</f>
        <v>14515</v>
      </c>
      <c r="R99" s="382">
        <f>SUM(R95:R98)</f>
        <v>4554</v>
      </c>
      <c r="S99" s="973"/>
      <c r="T99" s="397">
        <f>(R99-R86)/R86</f>
        <v>0.54477611940298509</v>
      </c>
      <c r="U99" s="398">
        <f t="shared" si="55"/>
        <v>0.36136408399846182</v>
      </c>
      <c r="AD99" s="381">
        <f t="shared" si="62"/>
        <v>41773</v>
      </c>
      <c r="AE99" s="761">
        <f t="shared" si="56"/>
        <v>0</v>
      </c>
      <c r="AF99" s="762">
        <f t="shared" si="57"/>
        <v>0</v>
      </c>
      <c r="AG99" s="382">
        <f>SUM(AG95:AG98)</f>
        <v>52583</v>
      </c>
      <c r="AH99" s="382">
        <f>AH98</f>
        <v>52583</v>
      </c>
      <c r="AI99" s="382">
        <f t="shared" si="59"/>
        <v>5171</v>
      </c>
      <c r="AJ99" s="973"/>
      <c r="AK99" s="397">
        <f>(AI99-AI86)/AI86</f>
        <v>0.48762945914844646</v>
      </c>
      <c r="AL99" s="398">
        <f t="shared" si="64"/>
        <v>0.47870787764938799</v>
      </c>
    </row>
    <row r="100" spans="1:38">
      <c r="N100" s="858"/>
      <c r="O100" s="858"/>
      <c r="P100" s="858"/>
      <c r="Q100" s="858"/>
      <c r="R100" s="25"/>
    </row>
    <row r="101" spans="1:38">
      <c r="D101" s="858"/>
      <c r="N101" s="858"/>
      <c r="O101" s="858"/>
      <c r="P101" s="858"/>
      <c r="Q101" s="858"/>
    </row>
    <row r="102" spans="1:38">
      <c r="D102" s="858"/>
    </row>
    <row r="103" spans="1:38">
      <c r="F103" s="858"/>
    </row>
    <row r="107" spans="1:38">
      <c r="O107">
        <f>M62/O62</f>
        <v>25153.374233128838</v>
      </c>
    </row>
    <row r="109" spans="1:38">
      <c r="O109">
        <f>M64/O64</f>
        <v>25345.622119815667</v>
      </c>
    </row>
    <row r="110" spans="1:38">
      <c r="O110">
        <f>M65/O65</f>
        <v>25315.227934044618</v>
      </c>
    </row>
    <row r="112" spans="1:38">
      <c r="O112">
        <f t="shared" ref="O112:O118" si="66">M67/O67</f>
        <v>27400</v>
      </c>
    </row>
    <row r="113" spans="15:15">
      <c r="O113">
        <f t="shared" si="66"/>
        <v>27400</v>
      </c>
    </row>
    <row r="114" spans="15:15">
      <c r="O114">
        <f t="shared" si="66"/>
        <v>25897.973445143256</v>
      </c>
    </row>
    <row r="115" spans="15:15">
      <c r="O115">
        <f t="shared" si="66"/>
        <v>24428.969359331477</v>
      </c>
    </row>
    <row r="116" spans="15:15">
      <c r="O116">
        <f t="shared" si="66"/>
        <v>23066.666666666668</v>
      </c>
    </row>
    <row r="117" spans="15:15">
      <c r="O117">
        <f t="shared" si="66"/>
        <v>41090.909090909088</v>
      </c>
    </row>
    <row r="118" spans="15:15">
      <c r="O118">
        <f t="shared" si="66"/>
        <v>25207.228654907478</v>
      </c>
    </row>
  </sheetData>
  <mergeCells count="44">
    <mergeCell ref="A87:A98"/>
    <mergeCell ref="I87:I99"/>
    <mergeCell ref="S87:S99"/>
    <mergeCell ref="AJ87:AJ99"/>
    <mergeCell ref="A74:A85"/>
    <mergeCell ref="I74:I86"/>
    <mergeCell ref="S74:S86"/>
    <mergeCell ref="AJ74:AJ86"/>
    <mergeCell ref="A2:K2"/>
    <mergeCell ref="A3:B5"/>
    <mergeCell ref="C3:K3"/>
    <mergeCell ref="M3:U3"/>
    <mergeCell ref="AD3:AL3"/>
    <mergeCell ref="G4:G6"/>
    <mergeCell ref="I4:K4"/>
    <mergeCell ref="Q4:Q6"/>
    <mergeCell ref="S4:U4"/>
    <mergeCell ref="AH4:AH6"/>
    <mergeCell ref="AI4:AI6"/>
    <mergeCell ref="R4:R6"/>
    <mergeCell ref="A61:A72"/>
    <mergeCell ref="I61:I73"/>
    <mergeCell ref="S61:S73"/>
    <mergeCell ref="AJ4:AL4"/>
    <mergeCell ref="S5:U5"/>
    <mergeCell ref="A7:B7"/>
    <mergeCell ref="AJ5:AL5"/>
    <mergeCell ref="C8:E8"/>
    <mergeCell ref="M8:O8"/>
    <mergeCell ref="AD8:AF8"/>
    <mergeCell ref="A9:A20"/>
    <mergeCell ref="AJ61:AJ73"/>
    <mergeCell ref="AJ22:AJ34"/>
    <mergeCell ref="A35:A46"/>
    <mergeCell ref="I35:I47"/>
    <mergeCell ref="A22:A33"/>
    <mergeCell ref="I22:I34"/>
    <mergeCell ref="S35:S47"/>
    <mergeCell ref="AJ35:AJ47"/>
    <mergeCell ref="A48:A59"/>
    <mergeCell ref="I48:I60"/>
    <mergeCell ref="S48:S60"/>
    <mergeCell ref="AJ48:AJ60"/>
    <mergeCell ref="S22:S34"/>
  </mergeCells>
  <hyperlinks>
    <hyperlink ref="AO16" r:id="rId1" xr:uid="{212921FB-31B9-49B4-BDDF-D7FF16614D49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6DAAD-4314-4ECC-B9AA-9B38705BDA12}">
  <dimension ref="A2:BS108"/>
  <sheetViews>
    <sheetView showGridLines="0" topLeftCell="AR78" workbookViewId="0">
      <selection activeCell="BA87" sqref="BA87"/>
    </sheetView>
  </sheetViews>
  <sheetFormatPr defaultColWidth="9.1328125" defaultRowHeight="13"/>
  <cols>
    <col min="2" max="2" width="16.7265625" customWidth="1"/>
    <col min="3" max="3" width="13" customWidth="1"/>
    <col min="4" max="4" width="13.54296875" customWidth="1"/>
    <col min="6" max="6" width="10.1328125" bestFit="1" customWidth="1"/>
    <col min="7" max="7" width="10.1328125" customWidth="1"/>
    <col min="8" max="9" width="10.54296875" customWidth="1"/>
    <col min="10" max="10" width="10.40625" customWidth="1"/>
    <col min="47" max="47" width="10.26953125" customWidth="1"/>
    <col min="50" max="50" width="19.40625" customWidth="1"/>
    <col min="52" max="52" width="11.86328125" customWidth="1"/>
    <col min="53" max="53" width="10.54296875" customWidth="1"/>
    <col min="54" max="54" width="11.40625" customWidth="1"/>
    <col min="57" max="57" width="11" customWidth="1"/>
    <col min="58" max="58" width="7.86328125" customWidth="1"/>
    <col min="59" max="60" width="10.54296875" customWidth="1"/>
  </cols>
  <sheetData>
    <row r="2" spans="1:71">
      <c r="AL2">
        <f>1/13</f>
        <v>7.6923076923076927E-2</v>
      </c>
      <c r="AO2">
        <f>1/12</f>
        <v>8.3333333333333329E-2</v>
      </c>
    </row>
    <row r="4" spans="1:71" ht="17.5" thickBot="1">
      <c r="A4" s="984" t="s">
        <v>266</v>
      </c>
      <c r="B4" s="984"/>
      <c r="C4" s="984"/>
      <c r="D4" s="984"/>
      <c r="E4" s="984"/>
      <c r="F4" s="984"/>
      <c r="G4" s="984"/>
      <c r="H4" s="984"/>
      <c r="I4" s="984"/>
      <c r="J4" s="984"/>
      <c r="K4" s="984"/>
      <c r="L4" s="984"/>
      <c r="M4" s="984"/>
      <c r="N4" s="984"/>
      <c r="O4" s="984"/>
      <c r="P4" s="321"/>
      <c r="Q4" s="321"/>
    </row>
    <row r="5" spans="1:71" ht="25.25">
      <c r="A5" s="985"/>
      <c r="B5" s="986"/>
      <c r="C5" s="991" t="s">
        <v>267</v>
      </c>
      <c r="D5" s="992"/>
      <c r="E5" s="992"/>
      <c r="F5" s="992"/>
      <c r="G5" s="992"/>
      <c r="H5" s="992"/>
      <c r="I5" s="992"/>
      <c r="J5" s="992"/>
      <c r="K5" s="992"/>
      <c r="L5" s="992"/>
      <c r="M5" s="992"/>
      <c r="N5" s="992"/>
      <c r="O5" s="992"/>
      <c r="P5" s="322"/>
      <c r="Q5" s="322"/>
      <c r="R5" s="322"/>
      <c r="S5" s="322"/>
      <c r="AW5" s="985"/>
      <c r="AX5" s="986"/>
      <c r="AY5" s="991" t="s">
        <v>442</v>
      </c>
      <c r="AZ5" s="992"/>
      <c r="BA5" s="992"/>
      <c r="BB5" s="992"/>
      <c r="BC5" s="992"/>
      <c r="BD5" s="992"/>
      <c r="BE5" s="992"/>
      <c r="BF5" s="992"/>
      <c r="BG5" s="992"/>
      <c r="BH5" s="322"/>
      <c r="BI5" s="322"/>
    </row>
    <row r="6" spans="1:71" ht="25.25">
      <c r="A6" s="987"/>
      <c r="B6" s="988"/>
      <c r="C6" s="323"/>
      <c r="D6" s="324"/>
      <c r="E6" s="325"/>
      <c r="F6" s="326"/>
      <c r="G6" s="327"/>
      <c r="H6" s="994"/>
      <c r="I6" s="328"/>
      <c r="J6" s="328"/>
      <c r="K6" s="997" t="s">
        <v>148</v>
      </c>
      <c r="L6" s="998"/>
      <c r="M6" s="998"/>
      <c r="N6" s="998"/>
      <c r="O6" s="998"/>
      <c r="P6" s="998"/>
      <c r="Q6" s="998"/>
      <c r="R6" s="998"/>
      <c r="S6" s="998"/>
      <c r="V6" s="226" t="str">
        <f>G9</f>
        <v>Farþegar</v>
      </c>
      <c r="W6" s="226" t="str">
        <f>H9</f>
        <v>Hreyfingar</v>
      </c>
      <c r="X6" s="226" t="str">
        <f>I9</f>
        <v>Cargo</v>
      </c>
      <c r="Y6" s="226" t="str">
        <f>J9</f>
        <v>Yfirflug</v>
      </c>
      <c r="AB6" s="226" t="str">
        <f>M9</f>
        <v>Hreyfingar</v>
      </c>
      <c r="AC6" s="226" t="str">
        <f>N9</f>
        <v>Cargo</v>
      </c>
      <c r="AD6" s="226" t="str">
        <f>O9</f>
        <v>Yfirflug</v>
      </c>
      <c r="AE6" s="226" t="str">
        <f>P9</f>
        <v>Farþegar</v>
      </c>
      <c r="AW6" s="987"/>
      <c r="AX6" s="988"/>
      <c r="AY6" s="323"/>
      <c r="AZ6" s="324"/>
      <c r="BA6" s="325"/>
      <c r="BB6" s="327"/>
      <c r="BC6" s="328"/>
      <c r="BD6" s="997" t="s">
        <v>148</v>
      </c>
      <c r="BE6" s="998"/>
      <c r="BF6" s="998"/>
      <c r="BG6" s="998"/>
      <c r="BH6" s="998"/>
      <c r="BI6" s="998"/>
    </row>
    <row r="7" spans="1:71" ht="25.25">
      <c r="A7" s="989"/>
      <c r="B7" s="990"/>
      <c r="C7" s="329"/>
      <c r="D7" s="330"/>
      <c r="E7" s="331"/>
      <c r="F7" s="332"/>
      <c r="G7" s="333"/>
      <c r="H7" s="995"/>
      <c r="I7" s="334"/>
      <c r="J7" s="334"/>
      <c r="K7" s="335"/>
      <c r="L7" s="336"/>
      <c r="M7" s="336"/>
      <c r="N7" s="336"/>
      <c r="O7" s="336"/>
      <c r="P7" s="337"/>
      <c r="Q7" s="337"/>
      <c r="R7" s="337"/>
      <c r="S7" s="337"/>
      <c r="U7">
        <v>2016</v>
      </c>
      <c r="V7" s="32">
        <f t="shared" ref="V7:Y12" si="0">INDEX($C$9:$F$101,MATCH($U7,$B$9:$B$101,0),MATCH(V$6,$C$9:$F$9,0))</f>
        <v>417309</v>
      </c>
      <c r="W7" s="32">
        <f t="shared" si="0"/>
        <v>63732</v>
      </c>
      <c r="X7" s="32">
        <f t="shared" si="0"/>
        <v>1061</v>
      </c>
      <c r="Y7" s="32">
        <f t="shared" si="0"/>
        <v>111733</v>
      </c>
      <c r="AA7">
        <v>2016</v>
      </c>
      <c r="AB7" s="32">
        <f t="shared" ref="AB7:AE12" si="1">INDEX($G$9:$J$101,MATCH($U7,$B$9:$B$101,0),MATCH(AB$6,$G$9:$J$9,0))</f>
        <v>28087</v>
      </c>
      <c r="AC7" s="32">
        <f t="shared" si="1"/>
        <v>432</v>
      </c>
      <c r="AD7" s="32">
        <f t="shared" si="1"/>
        <v>41565</v>
      </c>
      <c r="AE7" s="32">
        <f t="shared" si="1"/>
        <v>154074</v>
      </c>
      <c r="AW7" s="989"/>
      <c r="AX7" s="990"/>
      <c r="AY7" s="329"/>
      <c r="AZ7" s="330"/>
      <c r="BA7" s="331"/>
      <c r="BB7" s="333"/>
      <c r="BC7" s="334"/>
      <c r="BD7" s="335"/>
      <c r="BE7" s="336"/>
      <c r="BF7" s="336"/>
      <c r="BG7" s="336"/>
      <c r="BH7" s="337"/>
      <c r="BI7" s="337"/>
      <c r="BN7" s="1047" t="s">
        <v>448</v>
      </c>
      <c r="BO7" s="1048"/>
      <c r="BP7" s="1048"/>
      <c r="BQ7" s="1048"/>
    </row>
    <row r="8" spans="1:71" ht="14.25" customHeight="1">
      <c r="A8" s="1025" t="s">
        <v>268</v>
      </c>
      <c r="B8" s="1026"/>
      <c r="C8" s="340"/>
      <c r="D8" s="341"/>
      <c r="E8" s="342"/>
      <c r="F8" s="341"/>
      <c r="G8" s="343"/>
      <c r="H8" s="996"/>
      <c r="I8" s="334"/>
      <c r="J8" s="334"/>
      <c r="K8" s="344"/>
      <c r="L8" s="1000"/>
      <c r="M8" s="1001"/>
      <c r="N8" s="1001"/>
      <c r="O8" s="345"/>
      <c r="P8" s="346"/>
      <c r="Q8" s="346"/>
      <c r="R8" s="346"/>
      <c r="S8" s="346"/>
      <c r="U8">
        <v>2017</v>
      </c>
      <c r="V8" s="32">
        <f t="shared" si="0"/>
        <v>425515</v>
      </c>
      <c r="W8" s="32">
        <f t="shared" si="0"/>
        <v>64656</v>
      </c>
      <c r="X8" s="32">
        <f t="shared" si="0"/>
        <v>781</v>
      </c>
      <c r="Y8" s="32">
        <f t="shared" si="0"/>
        <v>120005</v>
      </c>
      <c r="AA8">
        <v>2017</v>
      </c>
      <c r="AB8" s="32">
        <f t="shared" si="1"/>
        <v>24184</v>
      </c>
      <c r="AC8" s="32">
        <f t="shared" si="1"/>
        <v>309</v>
      </c>
      <c r="AD8" s="32">
        <f t="shared" si="1"/>
        <v>43136</v>
      </c>
      <c r="AE8" s="32">
        <f t="shared" si="1"/>
        <v>156017</v>
      </c>
      <c r="AW8" s="1025" t="s">
        <v>268</v>
      </c>
      <c r="AX8" s="1026"/>
      <c r="AY8" s="340"/>
      <c r="AZ8" s="341"/>
      <c r="BA8" s="342"/>
      <c r="BB8" s="343"/>
      <c r="BC8" s="334"/>
      <c r="BD8" s="344"/>
      <c r="BE8" s="1000"/>
      <c r="BF8" s="1001"/>
      <c r="BG8" s="1001"/>
      <c r="BH8" s="346"/>
      <c r="BI8" s="346"/>
      <c r="BN8" s="461"/>
      <c r="BO8" s="462">
        <v>28</v>
      </c>
      <c r="BP8" s="463">
        <v>265</v>
      </c>
      <c r="BQ8" s="1049" t="s">
        <v>457</v>
      </c>
      <c r="BR8" s="1049" t="s">
        <v>453</v>
      </c>
      <c r="BS8" s="1049" t="s">
        <v>455</v>
      </c>
    </row>
    <row r="9" spans="1:71" ht="16.5" customHeight="1">
      <c r="C9" s="347" t="s">
        <v>269</v>
      </c>
      <c r="D9" s="348" t="s">
        <v>270</v>
      </c>
      <c r="E9" s="349" t="s">
        <v>271</v>
      </c>
      <c r="F9" s="348" t="s">
        <v>272</v>
      </c>
      <c r="G9" s="350" t="s">
        <v>269</v>
      </c>
      <c r="H9" s="350" t="s">
        <v>270</v>
      </c>
      <c r="I9" s="350" t="s">
        <v>271</v>
      </c>
      <c r="J9" s="350" t="s">
        <v>272</v>
      </c>
      <c r="K9" s="351"/>
      <c r="L9" s="347" t="s">
        <v>269</v>
      </c>
      <c r="M9" s="348" t="s">
        <v>270</v>
      </c>
      <c r="N9" s="349" t="s">
        <v>271</v>
      </c>
      <c r="O9" s="348" t="s">
        <v>272</v>
      </c>
      <c r="P9" s="350" t="s">
        <v>269</v>
      </c>
      <c r="Q9" s="350" t="s">
        <v>270</v>
      </c>
      <c r="R9" s="350" t="s">
        <v>271</v>
      </c>
      <c r="S9" s="350" t="s">
        <v>272</v>
      </c>
      <c r="U9">
        <v>2018</v>
      </c>
      <c r="V9" s="32">
        <f t="shared" si="0"/>
        <v>394445</v>
      </c>
      <c r="W9" s="32">
        <f t="shared" si="0"/>
        <v>61220</v>
      </c>
      <c r="X9" s="32">
        <f t="shared" si="0"/>
        <v>753.5</v>
      </c>
      <c r="Y9" s="32">
        <f t="shared" si="0"/>
        <v>125073</v>
      </c>
      <c r="AA9">
        <v>2018</v>
      </c>
      <c r="AB9" s="32">
        <f t="shared" si="1"/>
        <v>21830</v>
      </c>
      <c r="AC9" s="32">
        <f t="shared" si="1"/>
        <v>305.39999999999998</v>
      </c>
      <c r="AD9" s="32">
        <f t="shared" si="1"/>
        <v>48584</v>
      </c>
      <c r="AE9" s="32">
        <f t="shared" si="1"/>
        <v>144444</v>
      </c>
      <c r="AP9" s="226" t="str">
        <f>G9</f>
        <v>Farþegar</v>
      </c>
      <c r="AQ9" s="226" t="str">
        <f>H9</f>
        <v>Hreyfingar</v>
      </c>
      <c r="AY9" s="347" t="s">
        <v>270</v>
      </c>
      <c r="AZ9" s="348" t="s">
        <v>6</v>
      </c>
      <c r="BA9" s="349" t="s">
        <v>65</v>
      </c>
      <c r="BB9" s="350" t="s">
        <v>270</v>
      </c>
      <c r="BC9" s="350" t="s">
        <v>65</v>
      </c>
      <c r="BD9" s="351"/>
      <c r="BE9" s="347" t="s">
        <v>270</v>
      </c>
      <c r="BF9" s="348" t="s">
        <v>28</v>
      </c>
      <c r="BG9" s="349" t="s">
        <v>65</v>
      </c>
      <c r="BH9" s="350" t="s">
        <v>270</v>
      </c>
      <c r="BI9" s="350" t="s">
        <v>65</v>
      </c>
      <c r="BN9" s="461" t="s">
        <v>456</v>
      </c>
      <c r="BO9" s="462" t="s">
        <v>449</v>
      </c>
      <c r="BP9" s="463" t="s">
        <v>450</v>
      </c>
      <c r="BQ9" s="1050"/>
      <c r="BR9" s="1050"/>
      <c r="BS9" s="1050"/>
    </row>
    <row r="10" spans="1:71" ht="15" thickBot="1">
      <c r="A10" s="352"/>
      <c r="B10" s="353"/>
      <c r="C10" s="1031"/>
      <c r="D10" s="1032"/>
      <c r="E10" s="1032"/>
      <c r="F10" s="1051"/>
      <c r="G10" s="354" t="s">
        <v>273</v>
      </c>
      <c r="H10" s="355" t="s">
        <v>273</v>
      </c>
      <c r="I10" s="356"/>
      <c r="J10" s="356"/>
      <c r="K10" s="357"/>
      <c r="L10" s="1031"/>
      <c r="M10" s="1032"/>
      <c r="N10" s="1032"/>
      <c r="O10" s="1051"/>
      <c r="P10" s="354" t="s">
        <v>273</v>
      </c>
      <c r="Q10" s="355" t="s">
        <v>273</v>
      </c>
      <c r="R10" s="356"/>
      <c r="S10" s="356"/>
      <c r="U10">
        <v>2019</v>
      </c>
      <c r="V10" s="32">
        <f t="shared" si="0"/>
        <v>356428</v>
      </c>
      <c r="W10" s="32">
        <f t="shared" si="0"/>
        <v>62658</v>
      </c>
      <c r="X10" s="32">
        <f t="shared" si="0"/>
        <v>653.59999999999991</v>
      </c>
      <c r="Y10" s="32">
        <f t="shared" si="0"/>
        <v>124154</v>
      </c>
      <c r="AA10">
        <v>2019</v>
      </c>
      <c r="AB10" s="32">
        <f t="shared" si="1"/>
        <v>26979</v>
      </c>
      <c r="AC10" s="32">
        <f t="shared" si="1"/>
        <v>268</v>
      </c>
      <c r="AD10" s="32">
        <f t="shared" si="1"/>
        <v>44749</v>
      </c>
      <c r="AE10" s="32">
        <f t="shared" si="1"/>
        <v>138592</v>
      </c>
      <c r="AL10">
        <v>2016</v>
      </c>
      <c r="AO10">
        <v>2016</v>
      </c>
      <c r="AW10" s="352"/>
      <c r="AX10" s="353"/>
      <c r="AY10" s="442"/>
      <c r="AZ10" s="465" t="s">
        <v>458</v>
      </c>
      <c r="BA10" s="431" t="s">
        <v>459</v>
      </c>
      <c r="BB10" s="354" t="s">
        <v>273</v>
      </c>
      <c r="BC10" s="443" t="s">
        <v>459</v>
      </c>
      <c r="BD10" s="357"/>
      <c r="BE10" s="1031"/>
      <c r="BF10" s="1032"/>
      <c r="BG10" s="1032"/>
      <c r="BH10" s="354" t="s">
        <v>273</v>
      </c>
      <c r="BI10" s="356"/>
      <c r="BN10" s="460" t="s">
        <v>451</v>
      </c>
      <c r="BO10" s="464" t="s">
        <v>452</v>
      </c>
      <c r="BP10" s="464" t="s">
        <v>452</v>
      </c>
      <c r="BQ10" s="464" t="s">
        <v>452</v>
      </c>
      <c r="BR10" s="464" t="s">
        <v>454</v>
      </c>
      <c r="BS10" s="464" t="s">
        <v>627</v>
      </c>
    </row>
    <row r="11" spans="1:71" ht="14.25" customHeight="1">
      <c r="A11" s="976">
        <v>2016</v>
      </c>
      <c r="B11" s="358" t="s">
        <v>191</v>
      </c>
      <c r="C11" s="359">
        <v>26732</v>
      </c>
      <c r="D11" s="360">
        <v>5361</v>
      </c>
      <c r="E11" s="361">
        <v>63</v>
      </c>
      <c r="F11" s="360">
        <v>8113</v>
      </c>
      <c r="G11" s="362">
        <f>C11</f>
        <v>26732</v>
      </c>
      <c r="H11" s="362">
        <f>D11</f>
        <v>5361</v>
      </c>
      <c r="I11" s="362">
        <f>E11</f>
        <v>63</v>
      </c>
      <c r="J11" s="362">
        <f>F11</f>
        <v>8113</v>
      </c>
      <c r="K11" s="363"/>
      <c r="L11" s="364"/>
      <c r="M11" s="364"/>
      <c r="N11" s="364"/>
      <c r="O11" s="365"/>
      <c r="P11" s="365"/>
      <c r="Q11" s="365"/>
      <c r="R11" s="365"/>
      <c r="S11" s="365"/>
      <c r="U11">
        <v>2020</v>
      </c>
      <c r="V11" s="32">
        <f t="shared" si="0"/>
        <v>164214</v>
      </c>
      <c r="W11" s="32">
        <f t="shared" si="0"/>
        <v>40561</v>
      </c>
      <c r="X11" s="32">
        <f t="shared" si="0"/>
        <v>480.5</v>
      </c>
      <c r="Y11" s="32">
        <f t="shared" si="0"/>
        <v>55916</v>
      </c>
      <c r="AA11">
        <v>2020</v>
      </c>
      <c r="AB11" s="32">
        <f t="shared" si="1"/>
        <v>15275</v>
      </c>
      <c r="AC11" s="32">
        <f t="shared" si="1"/>
        <v>197</v>
      </c>
      <c r="AD11" s="32">
        <f t="shared" si="1"/>
        <v>28929</v>
      </c>
      <c r="AE11" s="32">
        <f t="shared" si="1"/>
        <v>66619</v>
      </c>
      <c r="AL11">
        <f t="shared" ref="AL11:AL42" si="2">AL10+$AL$2</f>
        <v>2016.0769230769231</v>
      </c>
      <c r="AO11">
        <f>AO10+$AO$2</f>
        <v>2016.0833333333333</v>
      </c>
      <c r="AW11" s="976">
        <v>2016</v>
      </c>
      <c r="AX11" s="450" t="s">
        <v>437</v>
      </c>
      <c r="AY11" s="359">
        <v>18041</v>
      </c>
      <c r="AZ11" s="360">
        <f>INDEX($BK$16:$BL$19,MATCH($AX11,$BK$16:$BK$19,0),2)</f>
        <v>130</v>
      </c>
      <c r="BA11" s="361">
        <f>AY11/2*AZ11*$BS$13/10^3</f>
        <v>3670.8071048985767</v>
      </c>
      <c r="BB11" s="362">
        <f>AY11</f>
        <v>18041</v>
      </c>
      <c r="BC11" s="362">
        <f>BA11</f>
        <v>3670.8071048985767</v>
      </c>
      <c r="BD11" s="363"/>
      <c r="BE11" s="364"/>
      <c r="BF11" s="364"/>
      <c r="BG11" s="364"/>
      <c r="BH11" s="365"/>
      <c r="BI11" s="365"/>
      <c r="BK11" s="454" t="s">
        <v>447</v>
      </c>
      <c r="BL11" s="455"/>
      <c r="BM11" s="455"/>
      <c r="BN11" s="456" t="s">
        <v>418</v>
      </c>
      <c r="BO11" s="456" t="s">
        <v>418</v>
      </c>
      <c r="BP11" s="456" t="s">
        <v>418</v>
      </c>
      <c r="BQ11" s="456" t="s">
        <v>418</v>
      </c>
      <c r="BR11" s="456" t="s">
        <v>418</v>
      </c>
      <c r="BS11" s="456" t="s">
        <v>418</v>
      </c>
    </row>
    <row r="12" spans="1:71" ht="14.25">
      <c r="A12" s="969"/>
      <c r="B12" s="366" t="s">
        <v>195</v>
      </c>
      <c r="C12" s="367">
        <v>29502</v>
      </c>
      <c r="D12" s="368">
        <v>6654</v>
      </c>
      <c r="E12" s="369">
        <v>86</v>
      </c>
      <c r="F12" s="368">
        <v>7876</v>
      </c>
      <c r="G12" s="370">
        <f>SUM(C11:C12)</f>
        <v>56234</v>
      </c>
      <c r="H12" s="370">
        <f>SUM(D11:D12)</f>
        <v>12015</v>
      </c>
      <c r="I12" s="370">
        <f>SUM(E11:E12)</f>
        <v>149</v>
      </c>
      <c r="J12" s="370">
        <f>SUM(F11:F12)</f>
        <v>15989</v>
      </c>
      <c r="K12" s="363"/>
      <c r="L12" s="364"/>
      <c r="M12" s="364"/>
      <c r="N12" s="364"/>
      <c r="O12" s="371"/>
      <c r="P12" s="371"/>
      <c r="Q12" s="371"/>
      <c r="R12" s="371"/>
      <c r="S12" s="371"/>
      <c r="U12">
        <v>2021</v>
      </c>
      <c r="V12" s="32">
        <f t="shared" si="0"/>
        <v>296812</v>
      </c>
      <c r="W12" s="32">
        <f t="shared" si="0"/>
        <v>50616</v>
      </c>
      <c r="X12" s="32">
        <f t="shared" si="0"/>
        <v>582.79999999999995</v>
      </c>
      <c r="Y12" s="32">
        <f t="shared" si="0"/>
        <v>69215</v>
      </c>
      <c r="AA12">
        <v>2021</v>
      </c>
      <c r="AB12" s="32">
        <f t="shared" si="1"/>
        <v>22090</v>
      </c>
      <c r="AC12" s="32">
        <f t="shared" si="1"/>
        <v>192.7</v>
      </c>
      <c r="AD12" s="32">
        <f t="shared" si="1"/>
        <v>21016</v>
      </c>
      <c r="AE12" s="32">
        <f t="shared" si="1"/>
        <v>92358</v>
      </c>
      <c r="AL12">
        <f t="shared" si="2"/>
        <v>2016.1538461538462</v>
      </c>
      <c r="AO12">
        <f t="shared" ref="AO12:AO75" si="3">AO11+$AO$2</f>
        <v>2016.1666666666665</v>
      </c>
      <c r="AW12" s="969"/>
      <c r="AX12" s="451" t="s">
        <v>438</v>
      </c>
      <c r="AY12" s="367">
        <v>5617</v>
      </c>
      <c r="AZ12" s="368">
        <f>INDEX($BK$16:$BL$19,MATCH($AX12,$BK$16:$BK$19,0),2)</f>
        <v>110</v>
      </c>
      <c r="BA12" s="369">
        <f>AY12/2*AZ12*$BS$13/10^3</f>
        <v>967.06288066228785</v>
      </c>
      <c r="BB12" s="370">
        <f>SUM(AY11:AY12)</f>
        <v>23658</v>
      </c>
      <c r="BC12" s="370">
        <f>SUM(BA11:BA12)</f>
        <v>4637.8699855608647</v>
      </c>
      <c r="BD12" s="363"/>
      <c r="BE12" s="364"/>
      <c r="BF12" s="364"/>
      <c r="BG12" s="364"/>
      <c r="BH12" s="371"/>
      <c r="BI12" s="371"/>
      <c r="BK12" s="458" t="s">
        <v>443</v>
      </c>
      <c r="BL12" s="457">
        <v>3.13</v>
      </c>
      <c r="BM12" s="455"/>
      <c r="BN12" s="455">
        <v>70.03197445184658</v>
      </c>
      <c r="BO12" s="455">
        <v>0.49996766056529002</v>
      </c>
      <c r="BP12" s="455">
        <v>1.9999353211305899</v>
      </c>
      <c r="BQ12" s="455">
        <f>BN12*1000+BO12*$BO$8+BP12*$BP$8</f>
        <v>70575.956406442012</v>
      </c>
      <c r="BR12" s="455">
        <v>44.36</v>
      </c>
      <c r="BS12" s="763">
        <f>BQ12*BR12*10^-6</f>
        <v>3.1307494261897677</v>
      </c>
    </row>
    <row r="13" spans="1:71" ht="14.25">
      <c r="A13" s="969"/>
      <c r="B13" s="366" t="s">
        <v>15</v>
      </c>
      <c r="C13" s="367">
        <v>32035</v>
      </c>
      <c r="D13" s="368">
        <v>4058</v>
      </c>
      <c r="E13" s="369">
        <v>98</v>
      </c>
      <c r="F13" s="368">
        <v>8085</v>
      </c>
      <c r="G13" s="370">
        <f>SUM(C11:C13)</f>
        <v>88269</v>
      </c>
      <c r="H13" s="370">
        <f>SUM(D11:D13)</f>
        <v>16073</v>
      </c>
      <c r="I13" s="370">
        <f>SUM(E11:E13)</f>
        <v>247</v>
      </c>
      <c r="J13" s="370">
        <f>SUM(F11:F13)</f>
        <v>24074</v>
      </c>
      <c r="K13" s="372"/>
      <c r="L13" s="364"/>
      <c r="M13" s="364"/>
      <c r="N13" s="364"/>
      <c r="O13" s="364"/>
      <c r="P13" s="364"/>
      <c r="Q13" s="364"/>
      <c r="R13" s="364"/>
      <c r="S13" s="364"/>
      <c r="U13">
        <v>2022</v>
      </c>
      <c r="V13" s="32">
        <f>INDEX($C$9:$F$101,MATCH($U13,$B$9:$B$101,0),MATCH(V$6,$C$9:$F$9,0))</f>
        <v>348813</v>
      </c>
      <c r="W13" s="32">
        <f t="shared" ref="W13:Y13" si="4">INDEX($C$9:$F$101,MATCH($U13,$B$9:$B$101,0),MATCH(W$6,$C$9:$F$9,0))</f>
        <v>42731</v>
      </c>
      <c r="X13" s="32">
        <f t="shared" si="4"/>
        <v>709.99999999999989</v>
      </c>
      <c r="Y13" s="32">
        <f t="shared" si="4"/>
        <v>108781</v>
      </c>
      <c r="AA13">
        <v>2022</v>
      </c>
      <c r="AB13" s="32">
        <f>INDEX($G$9:$J$101,MATCH($U13,$B$9:$B$101,0),MATCH(AB$6,$G$9:$J$9,0))</f>
        <v>13873</v>
      </c>
      <c r="AC13" s="32">
        <f t="shared" ref="AC13:AE13" si="5">INDEX($G$9:$J$101,MATCH($U13,$B$9:$B$101,0),MATCH(AC$6,$G$9:$J$9,0))</f>
        <v>248.2</v>
      </c>
      <c r="AD13" s="32">
        <f t="shared" si="5"/>
        <v>37896</v>
      </c>
      <c r="AE13" s="32">
        <f t="shared" si="5"/>
        <v>121660</v>
      </c>
      <c r="AL13">
        <f t="shared" si="2"/>
        <v>2016.2307692307693</v>
      </c>
      <c r="AO13">
        <f t="shared" si="3"/>
        <v>2016.2499999999998</v>
      </c>
      <c r="AW13" s="969"/>
      <c r="AX13" s="451" t="s">
        <v>439</v>
      </c>
      <c r="AY13" s="367">
        <v>37038</v>
      </c>
      <c r="AZ13" s="425">
        <f>INDEX($BK$16:$BL$19,MATCH($AX13,$BK$16:$BK$19,0),2)</f>
        <v>3.5</v>
      </c>
      <c r="BA13" s="369">
        <f>AY13/2*AZ13*$BS$13/10^3</f>
        <v>202.89585577693424</v>
      </c>
      <c r="BB13" s="370">
        <f>SUM(AY11:AY13)</f>
        <v>60696</v>
      </c>
      <c r="BC13" s="370">
        <f>SUM(BA11:BA13)</f>
        <v>4840.7658413377994</v>
      </c>
      <c r="BD13" s="372"/>
      <c r="BE13" s="364"/>
      <c r="BF13" s="364"/>
      <c r="BG13" s="364"/>
      <c r="BH13" s="364"/>
      <c r="BI13" s="364"/>
      <c r="BK13" s="459" t="s">
        <v>444</v>
      </c>
      <c r="BL13" s="457"/>
      <c r="BM13" s="455"/>
      <c r="BN13" s="455">
        <v>71.5</v>
      </c>
      <c r="BO13" s="455">
        <v>0.50000106487426998</v>
      </c>
      <c r="BP13" s="455">
        <v>2.0000012169991699</v>
      </c>
      <c r="BQ13" s="455">
        <f>BN13*1000+BO13*$BO$8+BP13*$BP$8</f>
        <v>72044.000352321265</v>
      </c>
      <c r="BR13" s="455">
        <v>43.45</v>
      </c>
      <c r="BS13" s="763">
        <f>BQ13*BR13*10^-6</f>
        <v>3.1303118153083589</v>
      </c>
    </row>
    <row r="14" spans="1:71" ht="14.25">
      <c r="A14" s="969"/>
      <c r="B14" s="366" t="s">
        <v>16</v>
      </c>
      <c r="C14" s="367">
        <v>32146</v>
      </c>
      <c r="D14" s="368">
        <v>6141</v>
      </c>
      <c r="E14" s="369">
        <v>92</v>
      </c>
      <c r="F14" s="368">
        <v>8273</v>
      </c>
      <c r="G14" s="370">
        <f>SUM(C11:C14)</f>
        <v>120415</v>
      </c>
      <c r="H14" s="370">
        <f>SUM(D11:D14)</f>
        <v>22214</v>
      </c>
      <c r="I14" s="370">
        <f>SUM(E11:E14)</f>
        <v>339</v>
      </c>
      <c r="J14" s="370">
        <f>SUM(F11:F14)</f>
        <v>32347</v>
      </c>
      <c r="K14" s="372"/>
      <c r="L14" s="364"/>
      <c r="M14" s="364"/>
      <c r="N14" s="364"/>
      <c r="O14" s="364"/>
      <c r="P14" s="364"/>
      <c r="Q14" s="364"/>
      <c r="R14" s="364"/>
      <c r="S14" s="364"/>
      <c r="AL14">
        <f t="shared" si="2"/>
        <v>2016.3076923076924</v>
      </c>
      <c r="AO14">
        <f t="shared" si="3"/>
        <v>2016.333333333333</v>
      </c>
      <c r="AW14" s="969"/>
      <c r="AX14" s="451" t="s">
        <v>440</v>
      </c>
      <c r="AY14" s="367">
        <f>SUM(AY11:AY13)</f>
        <v>60696</v>
      </c>
      <c r="AZ14" s="368"/>
      <c r="BA14" s="369">
        <f>SUM(BA11:BA13)</f>
        <v>4840.7658413377994</v>
      </c>
      <c r="BB14" s="370">
        <f>SUM(AY11:AY13)</f>
        <v>60696</v>
      </c>
      <c r="BC14" s="370">
        <f>SUM(BA11:BA13)</f>
        <v>4840.7658413377994</v>
      </c>
      <c r="BD14" s="372"/>
      <c r="BE14" s="364"/>
      <c r="BF14" s="364"/>
      <c r="BG14" s="364"/>
      <c r="BH14" s="364"/>
      <c r="BI14" s="364"/>
      <c r="BK14" s="459" t="s">
        <v>445</v>
      </c>
      <c r="BL14" s="457"/>
      <c r="BM14" s="455" t="s">
        <v>418</v>
      </c>
      <c r="BN14" s="455" t="s">
        <v>446</v>
      </c>
      <c r="BO14" s="455" t="s">
        <v>446</v>
      </c>
      <c r="BP14" s="455" t="s">
        <v>446</v>
      </c>
      <c r="BQ14" s="455"/>
      <c r="BR14" s="455"/>
      <c r="BS14" s="455"/>
    </row>
    <row r="15" spans="1:71" ht="14.25">
      <c r="A15" s="969"/>
      <c r="B15" s="366" t="s">
        <v>17</v>
      </c>
      <c r="C15" s="367">
        <v>33659</v>
      </c>
      <c r="D15" s="368">
        <v>5873</v>
      </c>
      <c r="E15" s="369">
        <v>93</v>
      </c>
      <c r="F15" s="368">
        <v>9218</v>
      </c>
      <c r="G15" s="370">
        <f>SUM(C11:C15)</f>
        <v>154074</v>
      </c>
      <c r="H15" s="370">
        <f>SUM(D11:D15)</f>
        <v>28087</v>
      </c>
      <c r="I15" s="370">
        <f>SUM(E11:E15)</f>
        <v>432</v>
      </c>
      <c r="J15" s="370">
        <f>SUM(F11:F15)</f>
        <v>41565</v>
      </c>
      <c r="K15" s="372"/>
      <c r="L15" s="364"/>
      <c r="M15" s="364"/>
      <c r="N15" s="364"/>
      <c r="O15" s="364"/>
      <c r="P15" s="364"/>
      <c r="Q15" s="364"/>
      <c r="R15" s="364"/>
      <c r="S15" s="364"/>
      <c r="V15" s="226" t="str">
        <f>G9</f>
        <v>Farþegar</v>
      </c>
      <c r="W15" s="226" t="str">
        <f>H9</f>
        <v>Hreyfingar</v>
      </c>
      <c r="X15" s="226" t="str">
        <f>I9</f>
        <v>Cargo</v>
      </c>
      <c r="Y15" s="226" t="str">
        <f>J9</f>
        <v>Yfirflug</v>
      </c>
      <c r="AB15" s="226" t="str">
        <f>M9</f>
        <v>Hreyfingar</v>
      </c>
      <c r="AC15" s="226" t="str">
        <f>N9</f>
        <v>Cargo</v>
      </c>
      <c r="AD15" s="226" t="str">
        <f>O9</f>
        <v>Yfirflug</v>
      </c>
      <c r="AE15" s="226" t="str">
        <f>P9</f>
        <v>Farþegar</v>
      </c>
      <c r="AL15">
        <f t="shared" si="2"/>
        <v>2016.3846153846155</v>
      </c>
      <c r="AO15">
        <f t="shared" si="3"/>
        <v>2016.4166666666663</v>
      </c>
      <c r="AW15" s="969"/>
      <c r="AX15" s="451" t="s">
        <v>437</v>
      </c>
      <c r="AY15" s="367">
        <v>1190</v>
      </c>
      <c r="AZ15" s="368">
        <f>INDEX($BK$16:$BL$19,MATCH($AX15,$BK$16:$BK$19,0),2)</f>
        <v>130</v>
      </c>
      <c r="BA15" s="369">
        <f>AY15/2*AZ15*$BS$13/10^3</f>
        <v>242.12961891410157</v>
      </c>
      <c r="BB15" s="370">
        <f>SUM(AY15)</f>
        <v>1190</v>
      </c>
      <c r="BC15" s="370">
        <f>SUM(BA15)</f>
        <v>242.12961891410157</v>
      </c>
      <c r="BD15" s="372"/>
      <c r="BE15" s="364"/>
      <c r="BF15" s="364"/>
      <c r="BG15" s="364"/>
      <c r="BH15" s="364"/>
      <c r="BI15" s="364"/>
    </row>
    <row r="16" spans="1:71" ht="14.25">
      <c r="A16" s="969"/>
      <c r="B16" s="366" t="s">
        <v>18</v>
      </c>
      <c r="C16" s="367">
        <v>39204</v>
      </c>
      <c r="D16" s="368">
        <v>6108</v>
      </c>
      <c r="E16" s="369">
        <v>97</v>
      </c>
      <c r="F16" s="368">
        <v>9912</v>
      </c>
      <c r="G16" s="370">
        <f>SUM(C11:C16)</f>
        <v>193278</v>
      </c>
      <c r="H16" s="370">
        <f>SUM(D11:D16)</f>
        <v>34195</v>
      </c>
      <c r="I16" s="370">
        <f>SUM(E11:E16)</f>
        <v>529</v>
      </c>
      <c r="J16" s="370">
        <f>SUM(F11:F16)</f>
        <v>51477</v>
      </c>
      <c r="K16" s="372"/>
      <c r="L16" s="364"/>
      <c r="M16" s="364"/>
      <c r="N16" s="364"/>
      <c r="O16" s="364"/>
      <c r="P16" s="364"/>
      <c r="Q16" s="364"/>
      <c r="R16" s="364"/>
      <c r="S16" s="364"/>
      <c r="V16" s="32"/>
      <c r="W16" s="32"/>
      <c r="X16" s="32"/>
      <c r="Y16" s="32"/>
      <c r="AB16" s="32"/>
      <c r="AC16" s="32"/>
      <c r="AD16" s="32"/>
      <c r="AE16" s="32"/>
      <c r="AL16">
        <f t="shared" si="2"/>
        <v>2016.4615384615386</v>
      </c>
      <c r="AO16">
        <f t="shared" si="3"/>
        <v>2016.4999999999995</v>
      </c>
      <c r="AW16" s="969"/>
      <c r="AX16" s="451" t="s">
        <v>438</v>
      </c>
      <c r="AY16" s="367">
        <v>1846</v>
      </c>
      <c r="AZ16" s="368">
        <f>INDEX($BK$16:$BL$19,MATCH($AX16,$BK$16:$BK$19,0),2)</f>
        <v>110</v>
      </c>
      <c r="BA16" s="369">
        <f>AY16/2*AZ16*$BS$13/10^3</f>
        <v>317.82055860825767</v>
      </c>
      <c r="BB16" s="370">
        <f>SUM(AY15:AY16)</f>
        <v>3036</v>
      </c>
      <c r="BC16" s="370">
        <f>SUM(BA15:BA16)</f>
        <v>559.95017752235924</v>
      </c>
      <c r="BD16" s="372"/>
      <c r="BE16" s="364"/>
      <c r="BF16" s="364"/>
      <c r="BG16" s="364"/>
      <c r="BH16" s="364"/>
      <c r="BI16" s="364"/>
      <c r="BK16" s="459"/>
      <c r="BL16" s="459" t="s">
        <v>461</v>
      </c>
    </row>
    <row r="17" spans="1:64" ht="14.25">
      <c r="A17" s="969"/>
      <c r="B17" s="366" t="s">
        <v>19</v>
      </c>
      <c r="C17" s="367">
        <v>47875</v>
      </c>
      <c r="D17" s="368">
        <v>6881</v>
      </c>
      <c r="E17" s="369">
        <v>94</v>
      </c>
      <c r="F17" s="368">
        <v>11589</v>
      </c>
      <c r="G17" s="370">
        <f>SUM(C11:C17)</f>
        <v>241153</v>
      </c>
      <c r="H17" s="370">
        <f>SUM(D11:D17)</f>
        <v>41076</v>
      </c>
      <c r="I17" s="370">
        <f>SUM(E11:E17)</f>
        <v>623</v>
      </c>
      <c r="J17" s="370">
        <f>SUM(F11:F17)</f>
        <v>63066</v>
      </c>
      <c r="K17" s="372"/>
      <c r="L17" s="364"/>
      <c r="M17" s="364"/>
      <c r="N17" s="364"/>
      <c r="O17" s="364"/>
      <c r="P17" s="364"/>
      <c r="Q17" s="364"/>
      <c r="R17" s="364"/>
      <c r="S17" s="364"/>
      <c r="U17">
        <v>2017</v>
      </c>
      <c r="V17" s="135">
        <f t="shared" ref="V17:Y21" si="6">INDEX($L$24:$O$101,MATCH($U17,$B$24:$B$101,0),MATCH(V$15,$L$9:$O$9,0))</f>
        <v>1.9664085845260946E-2</v>
      </c>
      <c r="W17" s="135">
        <f t="shared" si="6"/>
        <v>1.4498211259649783E-2</v>
      </c>
      <c r="X17" s="135">
        <f t="shared" si="6"/>
        <v>-0.26390197926484449</v>
      </c>
      <c r="Y17" s="135">
        <f t="shared" si="6"/>
        <v>7.4033633751890662E-2</v>
      </c>
      <c r="AA17">
        <v>2017</v>
      </c>
      <c r="AB17" s="135">
        <f t="shared" ref="AB17:AE21" si="7">INDEX($P$24:$S$101,MATCH($U17,$B$24:$B$101,0),MATCH(AB$15,$P$9:$S$9,0))</f>
        <v>-0.13896108519955852</v>
      </c>
      <c r="AC17" s="135">
        <f t="shared" si="7"/>
        <v>-0.28472222222222221</v>
      </c>
      <c r="AD17" s="135">
        <f t="shared" si="7"/>
        <v>3.7796222783591966E-2</v>
      </c>
      <c r="AE17" s="135">
        <f t="shared" si="7"/>
        <v>1.2610823370588159E-2</v>
      </c>
      <c r="AL17">
        <f t="shared" si="2"/>
        <v>2016.5384615384617</v>
      </c>
      <c r="AO17">
        <f t="shared" si="3"/>
        <v>2016.5833333333328</v>
      </c>
      <c r="AW17" s="969"/>
      <c r="AX17" s="451" t="s">
        <v>441</v>
      </c>
      <c r="AY17" s="367">
        <f>AY16+AY15</f>
        <v>3036</v>
      </c>
      <c r="AZ17" s="368"/>
      <c r="BA17" s="369">
        <f>SUM(BA15:BA16)</f>
        <v>559.95017752235924</v>
      </c>
      <c r="BB17" s="370">
        <f>SUM(AY17)</f>
        <v>3036</v>
      </c>
      <c r="BC17" s="370">
        <f>SUM(BA17)</f>
        <v>559.95017752235924</v>
      </c>
      <c r="BD17" s="372"/>
      <c r="BE17" s="364"/>
      <c r="BF17" s="364"/>
      <c r="BG17" s="364"/>
      <c r="BH17" s="364"/>
      <c r="BI17" s="364"/>
      <c r="BK17" s="459" t="s">
        <v>437</v>
      </c>
      <c r="BL17" s="459">
        <v>130</v>
      </c>
    </row>
    <row r="18" spans="1:64" ht="14.25">
      <c r="A18" s="969"/>
      <c r="B18" s="366" t="s">
        <v>20</v>
      </c>
      <c r="C18" s="367">
        <v>46951</v>
      </c>
      <c r="D18" s="368">
        <v>7335</v>
      </c>
      <c r="E18" s="369">
        <v>112</v>
      </c>
      <c r="F18" s="368">
        <v>10982</v>
      </c>
      <c r="G18" s="370">
        <f>SUM(C11:C18)</f>
        <v>288104</v>
      </c>
      <c r="H18" s="370">
        <f>SUM(D11:D18)</f>
        <v>48411</v>
      </c>
      <c r="I18" s="370">
        <f>SUM(E11:E18)</f>
        <v>735</v>
      </c>
      <c r="J18" s="370">
        <f>SUM(F11:F18)</f>
        <v>74048</v>
      </c>
      <c r="K18" s="372"/>
      <c r="L18" s="364"/>
      <c r="M18" s="364"/>
      <c r="N18" s="364"/>
      <c r="O18" s="364"/>
      <c r="P18" s="364"/>
      <c r="Q18" s="364"/>
      <c r="R18" s="364"/>
      <c r="S18" s="364"/>
      <c r="U18">
        <v>2018</v>
      </c>
      <c r="V18" s="135">
        <f t="shared" si="6"/>
        <v>-7.3017402441747065E-2</v>
      </c>
      <c r="W18" s="135">
        <f t="shared" si="6"/>
        <v>-5.314278643900025E-2</v>
      </c>
      <c r="X18" s="135">
        <f t="shared" si="6"/>
        <v>-3.5211267605633804E-2</v>
      </c>
      <c r="Y18" s="135">
        <f t="shared" si="6"/>
        <v>4.2231573684429813E-2</v>
      </c>
      <c r="AA18">
        <v>2018</v>
      </c>
      <c r="AB18" s="135">
        <f t="shared" si="7"/>
        <v>-9.7337082368508104E-2</v>
      </c>
      <c r="AC18" s="135">
        <f t="shared" si="7"/>
        <v>-1.1650485436893277E-2</v>
      </c>
      <c r="AD18" s="135">
        <f t="shared" si="7"/>
        <v>0.12629821958456974</v>
      </c>
      <c r="AE18" s="135">
        <f t="shared" si="7"/>
        <v>-7.4177813956171443E-2</v>
      </c>
      <c r="AL18">
        <f t="shared" si="2"/>
        <v>2016.6153846153848</v>
      </c>
      <c r="AO18">
        <f t="shared" si="3"/>
        <v>2016.6666666666661</v>
      </c>
      <c r="AW18" s="969"/>
      <c r="AX18" s="452" t="s">
        <v>437</v>
      </c>
      <c r="AY18" s="453">
        <f>AY11+AY15</f>
        <v>19231</v>
      </c>
      <c r="AZ18" s="368">
        <f>INDEX($BK$16:$BL$19,MATCH($AX18,$BK$16:$BK$19,0),2)</f>
        <v>130</v>
      </c>
      <c r="BA18" s="369">
        <f>AY18/2*AZ18*$BS$13/10^3</f>
        <v>3912.9367238126783</v>
      </c>
      <c r="BB18" s="370">
        <f>SUM(AY18)</f>
        <v>19231</v>
      </c>
      <c r="BC18" s="370">
        <f>SUM(BA18)</f>
        <v>3912.9367238126783</v>
      </c>
      <c r="BD18" s="372"/>
      <c r="BE18" s="364"/>
      <c r="BF18" s="364"/>
      <c r="BG18" s="364"/>
      <c r="BH18" s="364"/>
      <c r="BI18" s="364"/>
      <c r="BK18" s="459" t="s">
        <v>438</v>
      </c>
      <c r="BL18" s="459">
        <v>110</v>
      </c>
    </row>
    <row r="19" spans="1:64" ht="16.5" customHeight="1">
      <c r="A19" s="969"/>
      <c r="B19" s="366" t="s">
        <v>211</v>
      </c>
      <c r="C19" s="367">
        <v>41298</v>
      </c>
      <c r="D19" s="368">
        <v>5519</v>
      </c>
      <c r="E19" s="369">
        <v>86</v>
      </c>
      <c r="F19" s="368">
        <v>11002</v>
      </c>
      <c r="G19" s="370">
        <f>SUM(C11:C19)</f>
        <v>329402</v>
      </c>
      <c r="H19" s="370">
        <f>SUM(D11:D19)</f>
        <v>53930</v>
      </c>
      <c r="I19" s="370">
        <f>SUM(E11:E19)</f>
        <v>821</v>
      </c>
      <c r="J19" s="370">
        <f>SUM(F11:F19)</f>
        <v>85050</v>
      </c>
      <c r="K19" s="344"/>
      <c r="L19" s="373"/>
      <c r="M19" s="373"/>
      <c r="N19" s="373"/>
      <c r="O19" s="373"/>
      <c r="P19" s="373"/>
      <c r="Q19" s="373"/>
      <c r="R19" s="373"/>
      <c r="S19" s="373"/>
      <c r="U19">
        <v>2019</v>
      </c>
      <c r="V19" s="135">
        <f t="shared" si="6"/>
        <v>-9.638099101268871E-2</v>
      </c>
      <c r="W19" s="135">
        <f t="shared" si="6"/>
        <v>2.3489055864096699E-2</v>
      </c>
      <c r="X19" s="135">
        <f t="shared" si="6"/>
        <v>-0.13258128732581301</v>
      </c>
      <c r="Y19" s="135">
        <f t="shared" si="6"/>
        <v>-7.3477089379802192E-3</v>
      </c>
      <c r="AA19">
        <v>2019</v>
      </c>
      <c r="AB19" s="135">
        <f t="shared" si="7"/>
        <v>0.2358680714612918</v>
      </c>
      <c r="AC19" s="135">
        <f t="shared" si="7"/>
        <v>-0.12246234446627367</v>
      </c>
      <c r="AD19" s="135">
        <f t="shared" si="7"/>
        <v>-7.8935452000658657E-2</v>
      </c>
      <c r="AE19" s="135">
        <f t="shared" si="7"/>
        <v>-4.0513970812217887E-2</v>
      </c>
      <c r="AL19">
        <f t="shared" si="2"/>
        <v>2016.6923076923078</v>
      </c>
      <c r="AO19">
        <f t="shared" si="3"/>
        <v>2016.7499999999993</v>
      </c>
      <c r="AW19" s="969"/>
      <c r="AX19" s="452" t="s">
        <v>438</v>
      </c>
      <c r="AY19" s="453">
        <f>AY12+AY16</f>
        <v>7463</v>
      </c>
      <c r="AZ19" s="368">
        <f>INDEX($BK$16:$BL$19,MATCH($AX19,$BK$16:$BK$19,0),2)</f>
        <v>110</v>
      </c>
      <c r="BA19" s="369">
        <f>AY19/2*AZ19*$BS$13/10^3</f>
        <v>1284.8834392705455</v>
      </c>
      <c r="BB19" s="370">
        <f>SUM(AY18:AY19)</f>
        <v>26694</v>
      </c>
      <c r="BC19" s="370">
        <f>SUM(BA18:BA19)</f>
        <v>5197.8201630832236</v>
      </c>
      <c r="BD19" s="372"/>
      <c r="BE19" s="364"/>
      <c r="BF19" s="364"/>
      <c r="BG19" s="364"/>
      <c r="BH19" s="364"/>
      <c r="BI19" s="364"/>
      <c r="BK19" s="459" t="s">
        <v>439</v>
      </c>
      <c r="BL19" s="459">
        <v>3.5</v>
      </c>
    </row>
    <row r="20" spans="1:64" ht="15" thickBot="1">
      <c r="A20" s="969"/>
      <c r="B20" s="366" t="s">
        <v>213</v>
      </c>
      <c r="C20" s="367">
        <v>33758</v>
      </c>
      <c r="D20" s="368">
        <v>3899</v>
      </c>
      <c r="E20" s="369">
        <v>96</v>
      </c>
      <c r="F20" s="368">
        <v>9509</v>
      </c>
      <c r="G20" s="370">
        <f>SUM(C11:C20)</f>
        <v>363160</v>
      </c>
      <c r="H20" s="370">
        <f>SUM(D11:D20)</f>
        <v>57829</v>
      </c>
      <c r="I20" s="370">
        <f>SUM(E11:E20)</f>
        <v>917</v>
      </c>
      <c r="J20" s="370">
        <f>SUM(F11:F20)</f>
        <v>94559</v>
      </c>
      <c r="K20" s="344"/>
      <c r="L20" s="373"/>
      <c r="M20" s="373"/>
      <c r="N20" s="373"/>
      <c r="O20" s="373"/>
      <c r="P20" s="373"/>
      <c r="Q20" s="373"/>
      <c r="R20" s="373"/>
      <c r="S20" s="373"/>
      <c r="U20">
        <v>2020</v>
      </c>
      <c r="V20" s="135">
        <f t="shared" si="6"/>
        <v>-0.53927862008596406</v>
      </c>
      <c r="W20" s="135">
        <f t="shared" si="6"/>
        <v>-0.35266047432091674</v>
      </c>
      <c r="X20" s="135">
        <f t="shared" si="6"/>
        <v>-0.26484088127294969</v>
      </c>
      <c r="Y20" s="135">
        <f t="shared" si="6"/>
        <v>-0.54962385424553373</v>
      </c>
      <c r="AA20">
        <v>2020</v>
      </c>
      <c r="AB20" s="135">
        <f t="shared" si="7"/>
        <v>-0.43381889617850922</v>
      </c>
      <c r="AC20" s="135">
        <f t="shared" si="7"/>
        <v>-0.26492537313432835</v>
      </c>
      <c r="AD20" s="135">
        <f t="shared" si="7"/>
        <v>-0.35352745312744421</v>
      </c>
      <c r="AE20" s="135">
        <f t="shared" si="7"/>
        <v>-0.51931568921727089</v>
      </c>
      <c r="AL20">
        <f t="shared" si="2"/>
        <v>2016.7692307692309</v>
      </c>
      <c r="AO20">
        <f t="shared" si="3"/>
        <v>2016.8333333333326</v>
      </c>
      <c r="AW20" s="970"/>
      <c r="AX20" s="452" t="s">
        <v>439</v>
      </c>
      <c r="AY20" s="453">
        <f>AY13</f>
        <v>37038</v>
      </c>
      <c r="AZ20" s="425">
        <f>INDEX($BK$16:$BL$19,MATCH($AX20,$BK$16:$BK$19,0),2)</f>
        <v>3.5</v>
      </c>
      <c r="BA20" s="369">
        <f>AY20/2*AZ20*$BS$13/10^3</f>
        <v>202.89585577693424</v>
      </c>
      <c r="BB20" s="370">
        <f>SUM(AY18:AY20)</f>
        <v>63732</v>
      </c>
      <c r="BC20" s="370">
        <f>SUM(BA18:BA20)</f>
        <v>5400.7160188601574</v>
      </c>
      <c r="BD20" s="372"/>
      <c r="BE20" s="364"/>
      <c r="BF20" s="364"/>
      <c r="BG20" s="364"/>
      <c r="BH20" s="364"/>
      <c r="BI20" s="364"/>
    </row>
    <row r="21" spans="1:64" ht="15" thickBot="1">
      <c r="A21" s="969"/>
      <c r="B21" s="366" t="s">
        <v>216</v>
      </c>
      <c r="C21" s="367">
        <v>29146</v>
      </c>
      <c r="D21" s="368">
        <v>4062</v>
      </c>
      <c r="E21" s="369">
        <v>67</v>
      </c>
      <c r="F21" s="368">
        <v>8095</v>
      </c>
      <c r="G21" s="370">
        <f>SUM(C11:C21)</f>
        <v>392306</v>
      </c>
      <c r="H21" s="370">
        <f>SUM(D11:D21)</f>
        <v>61891</v>
      </c>
      <c r="I21" s="370">
        <f>SUM(E11:E21)</f>
        <v>984</v>
      </c>
      <c r="J21" s="370">
        <f>SUM(F11:F21)</f>
        <v>102654</v>
      </c>
      <c r="K21" s="344"/>
      <c r="L21" s="373"/>
      <c r="M21" s="373"/>
      <c r="N21" s="373"/>
      <c r="O21" s="373"/>
      <c r="P21" s="373"/>
      <c r="Q21" s="373"/>
      <c r="R21" s="373"/>
      <c r="S21" s="373"/>
      <c r="U21">
        <v>2021</v>
      </c>
      <c r="V21" s="135">
        <f t="shared" si="6"/>
        <v>0.80747073940102554</v>
      </c>
      <c r="W21" s="135">
        <f t="shared" si="6"/>
        <v>0.24789822736125836</v>
      </c>
      <c r="X21" s="135">
        <f t="shared" si="6"/>
        <v>0.21290322580645152</v>
      </c>
      <c r="Y21" s="135">
        <f t="shared" si="6"/>
        <v>0.23783890120895629</v>
      </c>
      <c r="AA21">
        <v>2021</v>
      </c>
      <c r="AB21" s="135">
        <f t="shared" si="7"/>
        <v>0.44615384615384618</v>
      </c>
      <c r="AC21" s="135">
        <f t="shared" si="7"/>
        <v>-2.1827411167512748E-2</v>
      </c>
      <c r="AD21" s="135">
        <f t="shared" si="7"/>
        <v>-0.27353175014691139</v>
      </c>
      <c r="AE21" s="135">
        <f t="shared" si="7"/>
        <v>0.38636124829252916</v>
      </c>
      <c r="AL21">
        <f t="shared" si="2"/>
        <v>2016.846153846154</v>
      </c>
      <c r="AO21">
        <f t="shared" si="3"/>
        <v>2016.9166666666658</v>
      </c>
      <c r="AW21" s="379" t="s">
        <v>21</v>
      </c>
      <c r="AX21" s="380">
        <f>AW11</f>
        <v>2016</v>
      </c>
      <c r="AY21" s="381">
        <f>SUM(AY18:AY20)</f>
        <v>63732</v>
      </c>
      <c r="AZ21" s="381"/>
      <c r="BA21" s="381">
        <f>SUM(BA18:BA20)</f>
        <v>5400.7160188601574</v>
      </c>
      <c r="BB21" s="382">
        <f>BB20</f>
        <v>63732</v>
      </c>
      <c r="BC21" s="382">
        <f>BC20</f>
        <v>5400.7160188601574</v>
      </c>
      <c r="BD21" s="383"/>
      <c r="BE21" s="384"/>
      <c r="BF21" s="384"/>
      <c r="BG21" s="384"/>
      <c r="BH21" s="384"/>
      <c r="BI21" s="384"/>
    </row>
    <row r="22" spans="1:64" ht="15" thickBot="1">
      <c r="A22" s="970"/>
      <c r="B22" s="374" t="s">
        <v>217</v>
      </c>
      <c r="C22" s="375">
        <v>25003</v>
      </c>
      <c r="D22" s="376">
        <v>1841</v>
      </c>
      <c r="E22" s="377">
        <v>77</v>
      </c>
      <c r="F22" s="378">
        <v>9079</v>
      </c>
      <c r="G22" s="370">
        <f>SUM(C11:C22)</f>
        <v>417309</v>
      </c>
      <c r="H22" s="370">
        <f>SUM(D11:D22)</f>
        <v>63732</v>
      </c>
      <c r="I22" s="370">
        <f>SUM(E11:E22)</f>
        <v>1061</v>
      </c>
      <c r="J22" s="370">
        <f>SUM(F11:F22)</f>
        <v>111733</v>
      </c>
      <c r="K22" s="344"/>
      <c r="L22" s="373"/>
      <c r="M22" s="373"/>
      <c r="N22" s="373"/>
      <c r="O22" s="373"/>
      <c r="P22" s="373"/>
      <c r="Q22" s="373"/>
      <c r="R22" s="373"/>
      <c r="S22" s="373"/>
      <c r="U22">
        <v>2022</v>
      </c>
      <c r="V22" s="135">
        <f>INDEX($L$24:$O$101,MATCH($U22,$B$24:$B$101,0),MATCH(V$15,$L$9:$O$9,0))</f>
        <v>0.17519844211150493</v>
      </c>
      <c r="W22" s="135">
        <f>INDEX($L$24:$O$101,MATCH($U22,$B$24:$B$101,0),MATCH(W$15,$L$9:$O$9,0))</f>
        <v>-0.15578078078078078</v>
      </c>
      <c r="X22" s="135">
        <f>INDEX($L$24:$O$101,MATCH($U22,$B$24:$B$101,0),MATCH(X$15,$L$9:$O$9,0))</f>
        <v>0.21825669183253249</v>
      </c>
      <c r="Y22" s="135">
        <f t="shared" ref="Y22" si="8">INDEX($L$24:$O$101,MATCH($U22,$B$24:$B$101,0),MATCH(Y$15,$L$9:$O$9,0))</f>
        <v>0.57163909557176917</v>
      </c>
      <c r="AA22">
        <v>2022</v>
      </c>
      <c r="AB22" s="135">
        <f>INDEX($P$24:$S$101,MATCH($U22,$B$24:$B$101,0),MATCH(AB$15,$P$9:$S$9,0))</f>
        <v>-0.37197827071072881</v>
      </c>
      <c r="AC22" s="135">
        <f t="shared" ref="AC22:AE22" si="9">INDEX($P$24:$S$101,MATCH($U22,$B$24:$B$101,0),MATCH(AC$15,$P$9:$S$9,0))</f>
        <v>0.28801245459263103</v>
      </c>
      <c r="AD22" s="135">
        <f t="shared" si="9"/>
        <v>0.80319756376094409</v>
      </c>
      <c r="AE22" s="135">
        <f t="shared" si="9"/>
        <v>0.31726542367742916</v>
      </c>
      <c r="AL22">
        <f t="shared" si="2"/>
        <v>2016.9230769230771</v>
      </c>
      <c r="AO22">
        <f t="shared" si="3"/>
        <v>2016.9999999999991</v>
      </c>
      <c r="AP22" s="173">
        <f t="shared" ref="AP22:AQ33" si="10">L24</f>
        <v>-5.2820589555588805E-2</v>
      </c>
      <c r="AQ22" s="173">
        <f t="shared" si="10"/>
        <v>-0.45719082260772242</v>
      </c>
      <c r="AW22" s="976">
        <v>2017</v>
      </c>
      <c r="AX22" s="450" t="s">
        <v>437</v>
      </c>
      <c r="AY22" s="359">
        <v>16301</v>
      </c>
      <c r="AZ22" s="360">
        <f>INDEX($BK$16:$BL$19,MATCH($AX22,$BK$16:$BK$19,0),2)</f>
        <v>130</v>
      </c>
      <c r="BA22" s="361">
        <f>AY22/2*AZ22*$BS$13/10^3</f>
        <v>3316.7688385872011</v>
      </c>
      <c r="BB22" s="362">
        <f>AY22</f>
        <v>16301</v>
      </c>
      <c r="BC22" s="362">
        <f>BA22</f>
        <v>3316.7688385872011</v>
      </c>
      <c r="BD22" s="1052" t="str">
        <f>"Milli áranna "&amp; AW11&amp;" og "&amp; AW22</f>
        <v>Milli áranna 2016 og 2017</v>
      </c>
      <c r="BE22" s="385">
        <f t="shared" ref="BE22:BE65" si="11">(AY22-AY11)/AY11</f>
        <v>-9.644698187461892E-2</v>
      </c>
      <c r="BF22" s="385"/>
      <c r="BG22" s="385">
        <f>(BA22-BA11)/BA11</f>
        <v>-9.6446981874618962E-2</v>
      </c>
      <c r="BH22" s="386">
        <f>(BB22-BB11)/BB11</f>
        <v>-9.644698187461892E-2</v>
      </c>
      <c r="BI22" s="386">
        <f>(BC22-BC11)/BC11</f>
        <v>-9.6446981874618962E-2</v>
      </c>
    </row>
    <row r="23" spans="1:64" ht="15" thickBot="1">
      <c r="A23" s="379" t="s">
        <v>21</v>
      </c>
      <c r="B23" s="380">
        <v>2016</v>
      </c>
      <c r="C23" s="381">
        <f>SUM(C11:C22)</f>
        <v>417309</v>
      </c>
      <c r="D23" s="381">
        <f>SUM(D11:D22)</f>
        <v>63732</v>
      </c>
      <c r="E23" s="381">
        <f>SUM(E11:E22)</f>
        <v>1061</v>
      </c>
      <c r="F23" s="381">
        <f>SUM(F11:F22)</f>
        <v>111733</v>
      </c>
      <c r="G23" s="382">
        <f>G15</f>
        <v>154074</v>
      </c>
      <c r="H23" s="382">
        <f>H15</f>
        <v>28087</v>
      </c>
      <c r="I23" s="382">
        <f>I15</f>
        <v>432</v>
      </c>
      <c r="J23" s="382">
        <f>J15</f>
        <v>41565</v>
      </c>
      <c r="K23" s="383"/>
      <c r="L23" s="384"/>
      <c r="M23" s="384"/>
      <c r="N23" s="384"/>
      <c r="O23" s="384"/>
      <c r="P23" s="384"/>
      <c r="Q23" s="384"/>
      <c r="R23" s="384"/>
      <c r="S23" s="384"/>
      <c r="AL23">
        <f t="shared" si="2"/>
        <v>2017.0000000000002</v>
      </c>
      <c r="AO23">
        <f t="shared" si="3"/>
        <v>2017.0833333333323</v>
      </c>
      <c r="AP23" s="173">
        <f t="shared" si="10"/>
        <v>-5.219985085756898E-2</v>
      </c>
      <c r="AQ23" s="173">
        <f t="shared" si="10"/>
        <v>-0.39149383829275625</v>
      </c>
      <c r="AW23" s="969"/>
      <c r="AX23" s="451" t="s">
        <v>438</v>
      </c>
      <c r="AY23" s="367">
        <v>3876</v>
      </c>
      <c r="AZ23" s="368">
        <f>INDEX($BK$16:$BL$19,MATCH($AX23,$BK$16:$BK$19,0),2)</f>
        <v>110</v>
      </c>
      <c r="BA23" s="369">
        <f>AY23/2*AZ23*$BS$13/10^3</f>
        <v>667.319872787436</v>
      </c>
      <c r="BB23" s="370">
        <f>SUM(AY22:AY23)</f>
        <v>20177</v>
      </c>
      <c r="BC23" s="370">
        <f>SUM(BA22:BA23)</f>
        <v>3984.0887113746371</v>
      </c>
      <c r="BD23" s="1023"/>
      <c r="BE23" s="385">
        <f t="shared" si="11"/>
        <v>-0.30995193163610468</v>
      </c>
      <c r="BF23" s="388"/>
      <c r="BG23" s="389">
        <f t="shared" ref="BG23:BG65" si="12">(BA23-BA12)/BA12</f>
        <v>-0.30995193163610463</v>
      </c>
      <c r="BH23" s="390">
        <f t="shared" ref="BH23:BH65" si="13">(BB23-BB12)/BB12</f>
        <v>-0.14713838870572321</v>
      </c>
      <c r="BI23" s="390">
        <f t="shared" ref="BI23:BI65" si="14">(BC23-BC12)/BC12</f>
        <v>-0.14096584773218149</v>
      </c>
    </row>
    <row r="24" spans="1:64" ht="14.25" customHeight="1">
      <c r="A24" s="969">
        <v>2017</v>
      </c>
      <c r="B24" s="358" t="s">
        <v>191</v>
      </c>
      <c r="C24" s="359">
        <v>25320</v>
      </c>
      <c r="D24" s="360">
        <v>2910</v>
      </c>
      <c r="E24" s="361">
        <v>51</v>
      </c>
      <c r="F24" s="360">
        <v>8230</v>
      </c>
      <c r="G24" s="362">
        <f>C24</f>
        <v>25320</v>
      </c>
      <c r="H24" s="362">
        <f>D24</f>
        <v>2910</v>
      </c>
      <c r="I24" s="362">
        <f>E24</f>
        <v>51</v>
      </c>
      <c r="J24" s="362">
        <f>F24</f>
        <v>8230</v>
      </c>
      <c r="K24" s="1023" t="s">
        <v>244</v>
      </c>
      <c r="L24" s="385">
        <f t="shared" ref="L24:L55" si="15">(C24-C11)/C11</f>
        <v>-5.2820589555588805E-2</v>
      </c>
      <c r="M24" s="385">
        <f t="shared" ref="M24:M55" si="16">(D24-D11)/D11</f>
        <v>-0.45719082260772242</v>
      </c>
      <c r="N24" s="385">
        <f t="shared" ref="N24:N55" si="17">(E24-E11)/E11</f>
        <v>-0.19047619047619047</v>
      </c>
      <c r="O24" s="386">
        <f t="shared" ref="O24:O55" si="18">(F24-F11)/F11</f>
        <v>1.4421299149513128E-2</v>
      </c>
      <c r="P24" s="386">
        <f t="shared" ref="P24:P55" si="19">(G24-G11)/G11</f>
        <v>-5.2820589555588805E-2</v>
      </c>
      <c r="Q24" s="386">
        <f t="shared" ref="Q24:Q55" si="20">(H24-H11)/H11</f>
        <v>-0.45719082260772242</v>
      </c>
      <c r="R24" s="386">
        <f t="shared" ref="R24:R55" si="21">(I24-I11)/I11</f>
        <v>-0.19047619047619047</v>
      </c>
      <c r="S24" s="386">
        <f t="shared" ref="S24:S55" si="22">(J24-J11)/J11</f>
        <v>1.4421299149513128E-2</v>
      </c>
      <c r="AL24">
        <f t="shared" si="2"/>
        <v>2017.0769230769233</v>
      </c>
      <c r="AO24">
        <f t="shared" si="3"/>
        <v>2017.1666666666656</v>
      </c>
      <c r="AP24" s="173">
        <f t="shared" si="10"/>
        <v>0.1015451849539566</v>
      </c>
      <c r="AQ24" s="173">
        <f t="shared" si="10"/>
        <v>1.0741744701823559</v>
      </c>
      <c r="AW24" s="969"/>
      <c r="AX24" s="451" t="s">
        <v>439</v>
      </c>
      <c r="AY24" s="367">
        <v>41379</v>
      </c>
      <c r="AZ24" s="425">
        <f>INDEX($BK$16:$BL$19,MATCH($AX24,$BK$16:$BK$19,0),2)</f>
        <v>3.5</v>
      </c>
      <c r="BA24" s="369">
        <f>AY24/2*AZ24*$BS$13/10^3</f>
        <v>226.676052059878</v>
      </c>
      <c r="BB24" s="370">
        <f>SUM(AY22:AY24)</f>
        <v>61556</v>
      </c>
      <c r="BC24" s="370">
        <f>SUM(BA22:BA24)</f>
        <v>4210.7647634345149</v>
      </c>
      <c r="BD24" s="1023"/>
      <c r="BE24" s="385">
        <f t="shared" si="11"/>
        <v>0.11720395269722987</v>
      </c>
      <c r="BF24" s="388"/>
      <c r="BG24" s="389">
        <f t="shared" si="12"/>
        <v>0.11720395269722982</v>
      </c>
      <c r="BH24" s="390">
        <f t="shared" si="13"/>
        <v>1.4168973243706339E-2</v>
      </c>
      <c r="BI24" s="390">
        <f t="shared" si="14"/>
        <v>-0.13014491891414784</v>
      </c>
    </row>
    <row r="25" spans="1:64" ht="14.25">
      <c r="A25" s="969"/>
      <c r="B25" s="366" t="s">
        <v>195</v>
      </c>
      <c r="C25" s="367">
        <v>27962</v>
      </c>
      <c r="D25" s="368">
        <v>4049</v>
      </c>
      <c r="E25" s="369">
        <v>57</v>
      </c>
      <c r="F25" s="368">
        <v>7494</v>
      </c>
      <c r="G25" s="370">
        <f>SUM(C24:C25)</f>
        <v>53282</v>
      </c>
      <c r="H25" s="370">
        <f>SUM(D24:D25)</f>
        <v>6959</v>
      </c>
      <c r="I25" s="370">
        <f>SUM(E24:E25)</f>
        <v>108</v>
      </c>
      <c r="J25" s="370">
        <f>SUM(F24:F25)</f>
        <v>15724</v>
      </c>
      <c r="K25" s="1023"/>
      <c r="L25" s="387">
        <f t="shared" si="15"/>
        <v>-5.219985085756898E-2</v>
      </c>
      <c r="M25" s="388">
        <f t="shared" si="16"/>
        <v>-0.39149383829275625</v>
      </c>
      <c r="N25" s="389">
        <f t="shared" si="17"/>
        <v>-0.33720930232558138</v>
      </c>
      <c r="O25" s="390">
        <f t="shared" si="18"/>
        <v>-4.8501777552056882E-2</v>
      </c>
      <c r="P25" s="390">
        <f t="shared" si="19"/>
        <v>-5.2494931891738095E-2</v>
      </c>
      <c r="Q25" s="390">
        <f t="shared" si="20"/>
        <v>-0.42080732417811068</v>
      </c>
      <c r="R25" s="390">
        <f t="shared" si="21"/>
        <v>-0.27516778523489932</v>
      </c>
      <c r="S25" s="390">
        <f t="shared" si="22"/>
        <v>-1.6573894552504846E-2</v>
      </c>
      <c r="AL25">
        <f t="shared" si="2"/>
        <v>2017.1538461538464</v>
      </c>
      <c r="AO25">
        <f t="shared" si="3"/>
        <v>2017.2499999999989</v>
      </c>
      <c r="AP25" s="173">
        <f t="shared" si="10"/>
        <v>-4.3893485970260687E-2</v>
      </c>
      <c r="AQ25" s="173">
        <f t="shared" si="10"/>
        <v>-0.41833577593225857</v>
      </c>
      <c r="AW25" s="969"/>
      <c r="AX25" s="451" t="s">
        <v>440</v>
      </c>
      <c r="AY25" s="367">
        <f>SUM(AY22:AY24)</f>
        <v>61556</v>
      </c>
      <c r="AZ25" s="368"/>
      <c r="BA25" s="369">
        <f>SUM(BA22:BA24)</f>
        <v>4210.7647634345149</v>
      </c>
      <c r="BB25" s="370">
        <f>SUM(AY22:AY24)</f>
        <v>61556</v>
      </c>
      <c r="BC25" s="370">
        <f>SUM(BA22:BA24)</f>
        <v>4210.7647634345149</v>
      </c>
      <c r="BD25" s="1023"/>
      <c r="BE25" s="385">
        <f t="shared" si="11"/>
        <v>1.4168973243706339E-2</v>
      </c>
      <c r="BF25" s="388"/>
      <c r="BG25" s="389">
        <f t="shared" si="12"/>
        <v>-0.13014491891414784</v>
      </c>
      <c r="BH25" s="390">
        <f t="shared" si="13"/>
        <v>1.4168973243706339E-2</v>
      </c>
      <c r="BI25" s="390">
        <f t="shared" si="14"/>
        <v>-0.13014491891414784</v>
      </c>
    </row>
    <row r="26" spans="1:64" ht="14.25">
      <c r="A26" s="969"/>
      <c r="B26" s="366" t="s">
        <v>15</v>
      </c>
      <c r="C26" s="367">
        <v>35288</v>
      </c>
      <c r="D26" s="368">
        <v>8417</v>
      </c>
      <c r="E26" s="369">
        <v>70</v>
      </c>
      <c r="F26" s="368">
        <v>8896</v>
      </c>
      <c r="G26" s="370">
        <f>SUM(C24:C26)</f>
        <v>88570</v>
      </c>
      <c r="H26" s="370">
        <f>SUM(D24:D26)</f>
        <v>15376</v>
      </c>
      <c r="I26" s="370">
        <f>SUM(E24:E26)</f>
        <v>178</v>
      </c>
      <c r="J26" s="370">
        <f>SUM(F24:F26)</f>
        <v>24620</v>
      </c>
      <c r="K26" s="1023"/>
      <c r="L26" s="387">
        <f t="shared" si="15"/>
        <v>0.1015451849539566</v>
      </c>
      <c r="M26" s="388">
        <f t="shared" si="16"/>
        <v>1.0741744701823559</v>
      </c>
      <c r="N26" s="389">
        <f t="shared" si="17"/>
        <v>-0.2857142857142857</v>
      </c>
      <c r="O26" s="390">
        <f t="shared" si="18"/>
        <v>0.10030921459492888</v>
      </c>
      <c r="P26" s="390">
        <f t="shared" si="19"/>
        <v>3.4100307016053199E-3</v>
      </c>
      <c r="Q26" s="390">
        <f t="shared" si="20"/>
        <v>-4.3364648789896099E-2</v>
      </c>
      <c r="R26" s="390">
        <f t="shared" si="21"/>
        <v>-0.2793522267206478</v>
      </c>
      <c r="S26" s="390">
        <f t="shared" si="22"/>
        <v>2.2680069784830108E-2</v>
      </c>
      <c r="AL26">
        <f t="shared" si="2"/>
        <v>2017.2307692307695</v>
      </c>
      <c r="AO26">
        <f t="shared" si="3"/>
        <v>2017.3333333333321</v>
      </c>
      <c r="AP26" s="173">
        <f t="shared" si="10"/>
        <v>9.0703823643007817E-2</v>
      </c>
      <c r="AQ26" s="173">
        <f t="shared" si="10"/>
        <v>-0.10846245530393325</v>
      </c>
      <c r="AW26" s="969"/>
      <c r="AX26" s="451" t="s">
        <v>437</v>
      </c>
      <c r="AY26" s="367">
        <v>1529</v>
      </c>
      <c r="AZ26" s="368">
        <f>INDEX($BK$16:$BL$19,MATCH($AX26,$BK$16:$BK$19,0),2)</f>
        <v>130</v>
      </c>
      <c r="BA26" s="369">
        <f>AY26/2*AZ26*$BS$13/10^3</f>
        <v>311.10603976442121</v>
      </c>
      <c r="BB26" s="370">
        <f>SUM(AY26)</f>
        <v>1529</v>
      </c>
      <c r="BC26" s="370">
        <f>SUM(BA26)</f>
        <v>311.10603976442121</v>
      </c>
      <c r="BD26" s="1023"/>
      <c r="BE26" s="385">
        <f t="shared" si="11"/>
        <v>0.28487394957983192</v>
      </c>
      <c r="BF26" s="388"/>
      <c r="BG26" s="389">
        <f t="shared" si="12"/>
        <v>0.28487394957983175</v>
      </c>
      <c r="BH26" s="390">
        <f t="shared" si="13"/>
        <v>0.28487394957983192</v>
      </c>
      <c r="BI26" s="390">
        <f t="shared" si="14"/>
        <v>0.28487394957983175</v>
      </c>
    </row>
    <row r="27" spans="1:64" ht="14.25">
      <c r="A27" s="969"/>
      <c r="B27" s="366" t="s">
        <v>16</v>
      </c>
      <c r="C27" s="367">
        <v>30735</v>
      </c>
      <c r="D27" s="368">
        <v>3572</v>
      </c>
      <c r="E27" s="369">
        <v>64</v>
      </c>
      <c r="F27" s="368">
        <v>8792</v>
      </c>
      <c r="G27" s="370">
        <f>SUM(C24:C27)</f>
        <v>119305</v>
      </c>
      <c r="H27" s="370">
        <f>SUM(D24:D27)</f>
        <v>18948</v>
      </c>
      <c r="I27" s="370">
        <f>SUM(E24:E27)</f>
        <v>242</v>
      </c>
      <c r="J27" s="370">
        <f>SUM(F24:F27)</f>
        <v>33412</v>
      </c>
      <c r="K27" s="1023"/>
      <c r="L27" s="387">
        <f t="shared" si="15"/>
        <v>-4.3893485970260687E-2</v>
      </c>
      <c r="M27" s="388">
        <f t="shared" si="16"/>
        <v>-0.41833577593225857</v>
      </c>
      <c r="N27" s="389">
        <f t="shared" si="17"/>
        <v>-0.30434782608695654</v>
      </c>
      <c r="O27" s="390">
        <f t="shared" si="18"/>
        <v>6.2734195575970028E-2</v>
      </c>
      <c r="P27" s="390">
        <f t="shared" si="19"/>
        <v>-9.2181206660299792E-3</v>
      </c>
      <c r="Q27" s="390">
        <f t="shared" si="20"/>
        <v>-0.14702439902764022</v>
      </c>
      <c r="R27" s="390">
        <f t="shared" si="21"/>
        <v>-0.28613569321533922</v>
      </c>
      <c r="S27" s="390">
        <f t="shared" si="22"/>
        <v>3.2924227903669584E-2</v>
      </c>
      <c r="AL27">
        <f t="shared" si="2"/>
        <v>2017.3076923076926</v>
      </c>
      <c r="AO27">
        <f t="shared" si="3"/>
        <v>2017.4166666666654</v>
      </c>
      <c r="AP27" s="173">
        <f t="shared" si="10"/>
        <v>6.3871033568003263E-2</v>
      </c>
      <c r="AQ27" s="173">
        <f t="shared" si="10"/>
        <v>0.3007531106745252</v>
      </c>
      <c r="AW27" s="969"/>
      <c r="AX27" s="451" t="s">
        <v>438</v>
      </c>
      <c r="AY27" s="367">
        <v>1571</v>
      </c>
      <c r="AZ27" s="368">
        <f>INDEX($BK$16:$BL$19,MATCH($AX27,$BK$16:$BK$19,0),2)</f>
        <v>110</v>
      </c>
      <c r="BA27" s="369">
        <f>AY27/2*AZ27*$BS$13/10^3</f>
        <v>270.47459240171878</v>
      </c>
      <c r="BB27" s="370">
        <f>SUM(AY26:AY27)</f>
        <v>3100</v>
      </c>
      <c r="BC27" s="370">
        <f>SUM(BA26:BA27)</f>
        <v>581.58063216614005</v>
      </c>
      <c r="BD27" s="1023"/>
      <c r="BE27" s="385">
        <f t="shared" si="11"/>
        <v>-0.14897074756229686</v>
      </c>
      <c r="BF27" s="388"/>
      <c r="BG27" s="389">
        <f t="shared" si="12"/>
        <v>-0.14897074756229675</v>
      </c>
      <c r="BH27" s="390">
        <f t="shared" si="13"/>
        <v>2.1080368906455864E-2</v>
      </c>
      <c r="BI27" s="390">
        <f t="shared" si="14"/>
        <v>3.8629248658318516E-2</v>
      </c>
    </row>
    <row r="28" spans="1:64" ht="14.25">
      <c r="A28" s="969"/>
      <c r="B28" s="366" t="s">
        <v>17</v>
      </c>
      <c r="C28" s="367">
        <v>36712</v>
      </c>
      <c r="D28" s="368">
        <v>5236</v>
      </c>
      <c r="E28" s="369">
        <v>67</v>
      </c>
      <c r="F28" s="368">
        <v>9724</v>
      </c>
      <c r="G28" s="370">
        <f>SUM(C24:C28)</f>
        <v>156017</v>
      </c>
      <c r="H28" s="370">
        <f>SUM(D24:D28)</f>
        <v>24184</v>
      </c>
      <c r="I28" s="370">
        <f>SUM(E24:E28)</f>
        <v>309</v>
      </c>
      <c r="J28" s="370">
        <f>SUM(F24:F28)</f>
        <v>43136</v>
      </c>
      <c r="K28" s="1023"/>
      <c r="L28" s="387">
        <f t="shared" si="15"/>
        <v>9.0703823643007817E-2</v>
      </c>
      <c r="M28" s="388">
        <f t="shared" si="16"/>
        <v>-0.10846245530393325</v>
      </c>
      <c r="N28" s="389">
        <f t="shared" si="17"/>
        <v>-0.27956989247311825</v>
      </c>
      <c r="O28" s="390">
        <f t="shared" si="18"/>
        <v>5.4892601431980909E-2</v>
      </c>
      <c r="P28" s="390">
        <f t="shared" si="19"/>
        <v>1.2610823370588159E-2</v>
      </c>
      <c r="Q28" s="390">
        <f t="shared" si="20"/>
        <v>-0.13896108519955852</v>
      </c>
      <c r="R28" s="390">
        <f t="shared" si="21"/>
        <v>-0.28472222222222221</v>
      </c>
      <c r="S28" s="390">
        <f t="shared" si="22"/>
        <v>3.7796222783591966E-2</v>
      </c>
      <c r="AL28">
        <f t="shared" si="2"/>
        <v>2017.3846153846157</v>
      </c>
      <c r="AO28">
        <f t="shared" si="3"/>
        <v>2017.4999999999986</v>
      </c>
      <c r="AP28" s="173">
        <f t="shared" si="10"/>
        <v>-4.6558746736292428E-2</v>
      </c>
      <c r="AQ28" s="173">
        <f t="shared" si="10"/>
        <v>-1.1626217119604709E-2</v>
      </c>
      <c r="AW28" s="969"/>
      <c r="AX28" s="451" t="s">
        <v>441</v>
      </c>
      <c r="AY28" s="367">
        <f>AY27+AY26</f>
        <v>3100</v>
      </c>
      <c r="AZ28" s="368"/>
      <c r="BA28" s="369">
        <f>SUM(BA26:BA27)</f>
        <v>581.58063216614005</v>
      </c>
      <c r="BB28" s="370">
        <f>SUM(AY28)</f>
        <v>3100</v>
      </c>
      <c r="BC28" s="370">
        <f>SUM(BA28)</f>
        <v>581.58063216614005</v>
      </c>
      <c r="BD28" s="1023"/>
      <c r="BE28" s="385">
        <f t="shared" si="11"/>
        <v>2.1080368906455864E-2</v>
      </c>
      <c r="BF28" s="388"/>
      <c r="BG28" s="389">
        <f t="shared" si="12"/>
        <v>3.8629248658318516E-2</v>
      </c>
      <c r="BH28" s="390">
        <f t="shared" si="13"/>
        <v>2.1080368906455864E-2</v>
      </c>
      <c r="BI28" s="390">
        <f t="shared" si="14"/>
        <v>3.8629248658318516E-2</v>
      </c>
    </row>
    <row r="29" spans="1:64" ht="14.25">
      <c r="A29" s="969"/>
      <c r="B29" s="366" t="s">
        <v>18</v>
      </c>
      <c r="C29" s="367">
        <v>41708</v>
      </c>
      <c r="D29" s="368">
        <v>7945</v>
      </c>
      <c r="E29" s="369">
        <v>67</v>
      </c>
      <c r="F29" s="368">
        <v>11975</v>
      </c>
      <c r="G29" s="370">
        <f>SUM(C24:C29)</f>
        <v>197725</v>
      </c>
      <c r="H29" s="370">
        <f>SUM(D24:D29)</f>
        <v>32129</v>
      </c>
      <c r="I29" s="370">
        <f>SUM(E24:E29)</f>
        <v>376</v>
      </c>
      <c r="J29" s="370">
        <f>SUM(F24:F29)</f>
        <v>55111</v>
      </c>
      <c r="K29" s="1023"/>
      <c r="L29" s="387">
        <f t="shared" si="15"/>
        <v>6.3871033568003263E-2</v>
      </c>
      <c r="M29" s="388">
        <f t="shared" si="16"/>
        <v>0.3007531106745252</v>
      </c>
      <c r="N29" s="389">
        <f t="shared" si="17"/>
        <v>-0.30927835051546393</v>
      </c>
      <c r="O29" s="390">
        <f t="shared" si="18"/>
        <v>0.2081315577078289</v>
      </c>
      <c r="P29" s="390">
        <f t="shared" si="19"/>
        <v>2.3008309274723457E-2</v>
      </c>
      <c r="Q29" s="390">
        <f t="shared" si="20"/>
        <v>-6.0418189793829506E-2</v>
      </c>
      <c r="R29" s="390">
        <f t="shared" si="21"/>
        <v>-0.28922495274102078</v>
      </c>
      <c r="S29" s="390">
        <f t="shared" si="22"/>
        <v>7.059463449695981E-2</v>
      </c>
      <c r="AL29">
        <f t="shared" si="2"/>
        <v>2017.4615384615388</v>
      </c>
      <c r="AO29">
        <f t="shared" si="3"/>
        <v>2017.5833333333319</v>
      </c>
      <c r="AP29" s="173">
        <f t="shared" si="10"/>
        <v>1.3588634959851761E-2</v>
      </c>
      <c r="AQ29" s="173">
        <f t="shared" si="10"/>
        <v>-0.26066802999318339</v>
      </c>
      <c r="AW29" s="969"/>
      <c r="AX29" s="452" t="s">
        <v>437</v>
      </c>
      <c r="AY29" s="453">
        <f>AY22+AY26</f>
        <v>17830</v>
      </c>
      <c r="AZ29" s="368">
        <f>INDEX($BK$16:$BL$19,MATCH($AX29,$BK$16:$BK$19,0),2)</f>
        <v>130</v>
      </c>
      <c r="BA29" s="369">
        <f>AY29/2*AZ29*$BS$13/10^3</f>
        <v>3627.8748783516226</v>
      </c>
      <c r="BB29" s="370">
        <f>SUM(AY29)</f>
        <v>17830</v>
      </c>
      <c r="BC29" s="370">
        <f>SUM(BA29)</f>
        <v>3627.8748783516226</v>
      </c>
      <c r="BD29" s="1023"/>
      <c r="BE29" s="385">
        <f t="shared" si="11"/>
        <v>-7.2851125786490556E-2</v>
      </c>
      <c r="BF29" s="388"/>
      <c r="BG29" s="389">
        <f t="shared" si="12"/>
        <v>-7.2851125786490584E-2</v>
      </c>
      <c r="BH29" s="390">
        <f t="shared" si="13"/>
        <v>-7.2851125786490556E-2</v>
      </c>
      <c r="BI29" s="390">
        <f t="shared" si="14"/>
        <v>-7.2851125786490584E-2</v>
      </c>
    </row>
    <row r="30" spans="1:64" ht="14.25">
      <c r="A30" s="969"/>
      <c r="B30" s="366" t="s">
        <v>19</v>
      </c>
      <c r="C30" s="367">
        <v>45646</v>
      </c>
      <c r="D30" s="368">
        <v>6801</v>
      </c>
      <c r="E30" s="369">
        <v>67</v>
      </c>
      <c r="F30" s="368">
        <v>12413</v>
      </c>
      <c r="G30" s="370">
        <f>SUM(C24:C30)</f>
        <v>243371</v>
      </c>
      <c r="H30" s="370">
        <f>SUM(D24:D30)</f>
        <v>38930</v>
      </c>
      <c r="I30" s="370">
        <f>SUM(E24:E30)</f>
        <v>443</v>
      </c>
      <c r="J30" s="370">
        <f>SUM(F24:F30)</f>
        <v>67524</v>
      </c>
      <c r="K30" s="1023"/>
      <c r="L30" s="387">
        <f t="shared" si="15"/>
        <v>-4.6558746736292428E-2</v>
      </c>
      <c r="M30" s="388">
        <f t="shared" si="16"/>
        <v>-1.1626217119604709E-2</v>
      </c>
      <c r="N30" s="389">
        <f t="shared" si="17"/>
        <v>-0.28723404255319152</v>
      </c>
      <c r="O30" s="390">
        <f t="shared" si="18"/>
        <v>7.110190698075762E-2</v>
      </c>
      <c r="P30" s="390">
        <f t="shared" si="19"/>
        <v>9.1974804377304032E-3</v>
      </c>
      <c r="Q30" s="390">
        <f t="shared" si="20"/>
        <v>-5.2244619729282307E-2</v>
      </c>
      <c r="R30" s="390">
        <f t="shared" si="21"/>
        <v>-0.28892455858747995</v>
      </c>
      <c r="S30" s="390">
        <f t="shared" si="22"/>
        <v>7.0687850822947387E-2</v>
      </c>
      <c r="AL30">
        <f t="shared" si="2"/>
        <v>2017.5384615384619</v>
      </c>
      <c r="AO30">
        <f t="shared" si="3"/>
        <v>2017.6666666666652</v>
      </c>
      <c r="AP30" s="173">
        <f t="shared" si="10"/>
        <v>-2.7555813840863964E-2</v>
      </c>
      <c r="AQ30" s="173">
        <f t="shared" si="10"/>
        <v>-7.7912665337923539E-3</v>
      </c>
      <c r="AW30" s="969"/>
      <c r="AX30" s="452" t="s">
        <v>438</v>
      </c>
      <c r="AY30" s="453">
        <f>AY23+AY27</f>
        <v>5447</v>
      </c>
      <c r="AZ30" s="368">
        <f>INDEX($BK$16:$BL$19,MATCH($AX30,$BK$16:$BK$19,0),2)</f>
        <v>110</v>
      </c>
      <c r="BA30" s="369">
        <f>AY30/2*AZ30*$BS$13/10^3</f>
        <v>937.79446518915472</v>
      </c>
      <c r="BB30" s="370">
        <f>SUM(AY29:AY30)</f>
        <v>23277</v>
      </c>
      <c r="BC30" s="370">
        <f>SUM(BA29:BA30)</f>
        <v>4565.6693435407769</v>
      </c>
      <c r="BD30" s="1023"/>
      <c r="BE30" s="385">
        <f t="shared" si="11"/>
        <v>-0.27013265442851403</v>
      </c>
      <c r="BF30" s="388"/>
      <c r="BG30" s="389">
        <f t="shared" si="12"/>
        <v>-0.27013265442851397</v>
      </c>
      <c r="BH30" s="390">
        <f t="shared" si="13"/>
        <v>-0.12800629354911217</v>
      </c>
      <c r="BI30" s="390">
        <f t="shared" si="14"/>
        <v>-0.12161844767777995</v>
      </c>
    </row>
    <row r="31" spans="1:64" ht="15" thickBot="1">
      <c r="A31" s="969"/>
      <c r="B31" s="366" t="s">
        <v>20</v>
      </c>
      <c r="C31" s="367">
        <v>47589</v>
      </c>
      <c r="D31" s="368">
        <v>5423</v>
      </c>
      <c r="E31" s="369">
        <v>67</v>
      </c>
      <c r="F31" s="368">
        <v>12364</v>
      </c>
      <c r="G31" s="370">
        <f>SUM(C24:C31)</f>
        <v>290960</v>
      </c>
      <c r="H31" s="370">
        <f>SUM(D24:D31)</f>
        <v>44353</v>
      </c>
      <c r="I31" s="370">
        <f>SUM(E24:E31)</f>
        <v>510</v>
      </c>
      <c r="J31" s="370">
        <f>SUM(F24:F31)</f>
        <v>79888</v>
      </c>
      <c r="K31" s="1023"/>
      <c r="L31" s="387">
        <f t="shared" si="15"/>
        <v>1.3588634959851761E-2</v>
      </c>
      <c r="M31" s="388">
        <f t="shared" si="16"/>
        <v>-0.26066802999318339</v>
      </c>
      <c r="N31" s="389">
        <f t="shared" si="17"/>
        <v>-0.4017857142857143</v>
      </c>
      <c r="O31" s="390">
        <f t="shared" si="18"/>
        <v>0.12584228737934802</v>
      </c>
      <c r="P31" s="390">
        <f t="shared" si="19"/>
        <v>9.9130869408269231E-3</v>
      </c>
      <c r="Q31" s="390">
        <f t="shared" si="20"/>
        <v>-8.3823924314721868E-2</v>
      </c>
      <c r="R31" s="390">
        <f t="shared" si="21"/>
        <v>-0.30612244897959184</v>
      </c>
      <c r="S31" s="390">
        <f t="shared" si="22"/>
        <v>7.8867761452031115E-2</v>
      </c>
      <c r="AL31">
        <f t="shared" si="2"/>
        <v>2017.615384615385</v>
      </c>
      <c r="AO31">
        <f t="shared" si="3"/>
        <v>2017.7499999999984</v>
      </c>
      <c r="AP31" s="173">
        <f t="shared" si="10"/>
        <v>8.1580662361514303E-2</v>
      </c>
      <c r="AQ31" s="173">
        <f t="shared" si="10"/>
        <v>0.55373172608361121</v>
      </c>
      <c r="AW31" s="970"/>
      <c r="AX31" s="452" t="s">
        <v>439</v>
      </c>
      <c r="AY31" s="453">
        <f>AY24</f>
        <v>41379</v>
      </c>
      <c r="AZ31" s="425">
        <f>INDEX($BK$16:$BL$19,MATCH($AX31,$BK$16:$BK$19,0),2)</f>
        <v>3.5</v>
      </c>
      <c r="BA31" s="369">
        <f>AY31/2*AZ31*$BS$13/10^3</f>
        <v>226.676052059878</v>
      </c>
      <c r="BB31" s="370">
        <f>SUM(AY29:AY31)</f>
        <v>64656</v>
      </c>
      <c r="BC31" s="370">
        <f>SUM(BA29:BA31)</f>
        <v>4792.3453956006551</v>
      </c>
      <c r="BD31" s="1023"/>
      <c r="BE31" s="385">
        <f t="shared" si="11"/>
        <v>0.11720395269722987</v>
      </c>
      <c r="BF31" s="388"/>
      <c r="BG31" s="389">
        <f t="shared" si="12"/>
        <v>0.11720395269722982</v>
      </c>
      <c r="BH31" s="390">
        <f t="shared" si="13"/>
        <v>1.4498211259649783E-2</v>
      </c>
      <c r="BI31" s="390">
        <f t="shared" si="14"/>
        <v>-0.11264629007245994</v>
      </c>
    </row>
    <row r="32" spans="1:64" ht="15" thickBot="1">
      <c r="A32" s="969"/>
      <c r="B32" s="366" t="s">
        <v>211</v>
      </c>
      <c r="C32" s="367">
        <v>40160</v>
      </c>
      <c r="D32" s="368">
        <v>5476</v>
      </c>
      <c r="E32" s="369">
        <v>72</v>
      </c>
      <c r="F32" s="368">
        <v>11969</v>
      </c>
      <c r="G32" s="370">
        <f>SUM(C24:C32)</f>
        <v>331120</v>
      </c>
      <c r="H32" s="370">
        <f>SUM(D24:D32)</f>
        <v>49829</v>
      </c>
      <c r="I32" s="370">
        <f>SUM(E24:E32)</f>
        <v>582</v>
      </c>
      <c r="J32" s="370">
        <f>SUM(F24:F32)</f>
        <v>91857</v>
      </c>
      <c r="K32" s="1023"/>
      <c r="L32" s="387">
        <f t="shared" si="15"/>
        <v>-2.7555813840863964E-2</v>
      </c>
      <c r="M32" s="388">
        <f t="shared" si="16"/>
        <v>-7.7912665337923539E-3</v>
      </c>
      <c r="N32" s="389">
        <f t="shared" si="17"/>
        <v>-0.16279069767441862</v>
      </c>
      <c r="O32" s="390">
        <f t="shared" si="18"/>
        <v>8.7893110343573902E-2</v>
      </c>
      <c r="P32" s="390">
        <f t="shared" si="19"/>
        <v>5.2155117455267427E-3</v>
      </c>
      <c r="Q32" s="390">
        <f t="shared" si="20"/>
        <v>-7.6043018727980721E-2</v>
      </c>
      <c r="R32" s="390">
        <f t="shared" si="21"/>
        <v>-0.29110840438489649</v>
      </c>
      <c r="S32" s="390">
        <f t="shared" si="22"/>
        <v>8.0035273368606705E-2</v>
      </c>
      <c r="AL32">
        <f t="shared" si="2"/>
        <v>2017.6923076923081</v>
      </c>
      <c r="AO32">
        <f t="shared" si="3"/>
        <v>2017.8333333333317</v>
      </c>
      <c r="AP32" s="173">
        <f t="shared" si="10"/>
        <v>5.0229877170109107E-2</v>
      </c>
      <c r="AQ32" s="173">
        <f t="shared" si="10"/>
        <v>0.11669128508124077</v>
      </c>
      <c r="AW32" s="379" t="s">
        <v>21</v>
      </c>
      <c r="AX32" s="395">
        <f>AW22</f>
        <v>2017</v>
      </c>
      <c r="AY32" s="381">
        <f>SUM(AY29:AY31)</f>
        <v>64656</v>
      </c>
      <c r="AZ32" s="381"/>
      <c r="BA32" s="381">
        <f>SUM(BA29:BA31)</f>
        <v>4792.3453956006551</v>
      </c>
      <c r="BB32" s="382">
        <f>BB31</f>
        <v>64656</v>
      </c>
      <c r="BC32" s="382">
        <f>BC31</f>
        <v>4792.3453956006551</v>
      </c>
      <c r="BD32" s="1024"/>
      <c r="BE32" s="396">
        <f t="shared" si="11"/>
        <v>1.4498211259649783E-2</v>
      </c>
      <c r="BF32" s="396"/>
      <c r="BG32" s="397">
        <f t="shared" si="12"/>
        <v>-0.11264629007245994</v>
      </c>
      <c r="BH32" s="398">
        <f t="shared" si="13"/>
        <v>1.4498211259649783E-2</v>
      </c>
      <c r="BI32" s="398">
        <f t="shared" si="14"/>
        <v>-0.11264629007245994</v>
      </c>
    </row>
    <row r="33" spans="1:70" ht="14.25">
      <c r="A33" s="969"/>
      <c r="B33" s="366" t="s">
        <v>213</v>
      </c>
      <c r="C33" s="367">
        <v>36512</v>
      </c>
      <c r="D33" s="368">
        <v>6058</v>
      </c>
      <c r="E33" s="369">
        <v>56</v>
      </c>
      <c r="F33" s="368">
        <v>10824</v>
      </c>
      <c r="G33" s="370">
        <f>SUM(C24:C33)</f>
        <v>367632</v>
      </c>
      <c r="H33" s="370">
        <f>SUM(D24:D33)</f>
        <v>55887</v>
      </c>
      <c r="I33" s="370">
        <f>SUM(E24:E33)</f>
        <v>638</v>
      </c>
      <c r="J33" s="370">
        <f>SUM(F24:F33)</f>
        <v>102681</v>
      </c>
      <c r="K33" s="1023"/>
      <c r="L33" s="387">
        <f t="shared" si="15"/>
        <v>8.1580662361514303E-2</v>
      </c>
      <c r="M33" s="388">
        <f t="shared" si="16"/>
        <v>0.55373172608361121</v>
      </c>
      <c r="N33" s="389">
        <f t="shared" si="17"/>
        <v>-0.41666666666666669</v>
      </c>
      <c r="O33" s="390">
        <f t="shared" si="18"/>
        <v>0.13829004101377643</v>
      </c>
      <c r="P33" s="390">
        <f t="shared" si="19"/>
        <v>1.2314131512281088E-2</v>
      </c>
      <c r="Q33" s="390">
        <f t="shared" si="20"/>
        <v>-3.3581766933545455E-2</v>
      </c>
      <c r="R33" s="390">
        <f t="shared" si="21"/>
        <v>-0.30425299890948748</v>
      </c>
      <c r="S33" s="390">
        <f t="shared" si="22"/>
        <v>8.589346334034835E-2</v>
      </c>
      <c r="AL33">
        <f t="shared" si="2"/>
        <v>2017.7692307692312</v>
      </c>
      <c r="AO33">
        <f t="shared" si="3"/>
        <v>2017.9166666666649</v>
      </c>
      <c r="AP33" s="173">
        <f t="shared" si="10"/>
        <v>9.0789105307363116E-2</v>
      </c>
      <c r="AQ33" s="173">
        <f t="shared" si="10"/>
        <v>1.2992938620315047</v>
      </c>
      <c r="AW33" s="976">
        <v>2018</v>
      </c>
      <c r="AX33" s="450" t="s">
        <v>437</v>
      </c>
      <c r="AY33" s="359">
        <v>15974</v>
      </c>
      <c r="AZ33" s="360">
        <f>INDEX($BK$16:$BL$19,MATCH($AX33,$BK$16:$BK$19,0),2)</f>
        <v>130</v>
      </c>
      <c r="BA33" s="361">
        <f>AY33/2*AZ33*$BS$13/10^3</f>
        <v>3250.2340609528223</v>
      </c>
      <c r="BB33" s="362">
        <f>AY33</f>
        <v>15974</v>
      </c>
      <c r="BC33" s="362">
        <f>BA33</f>
        <v>3250.2340609528223</v>
      </c>
      <c r="BD33" s="1052" t="str">
        <f>"Milli áranna "&amp; AW22&amp;" og "&amp; AW33</f>
        <v>Milli áranna 2017 og 2018</v>
      </c>
      <c r="BE33" s="385">
        <f t="shared" si="11"/>
        <v>-2.0060119011103612E-2</v>
      </c>
      <c r="BF33" s="385"/>
      <c r="BG33" s="385">
        <f t="shared" si="12"/>
        <v>-2.0060119011103494E-2</v>
      </c>
      <c r="BH33" s="386">
        <f t="shared" si="13"/>
        <v>-2.0060119011103612E-2</v>
      </c>
      <c r="BI33" s="386">
        <f t="shared" si="14"/>
        <v>-2.0060119011103494E-2</v>
      </c>
    </row>
    <row r="34" spans="1:70" ht="14.25">
      <c r="A34" s="969"/>
      <c r="B34" s="366" t="s">
        <v>216</v>
      </c>
      <c r="C34" s="367">
        <v>30610</v>
      </c>
      <c r="D34" s="368">
        <v>4536</v>
      </c>
      <c r="E34" s="369">
        <v>63</v>
      </c>
      <c r="F34" s="368">
        <v>8147</v>
      </c>
      <c r="G34" s="370">
        <f>SUM(C24:C34)</f>
        <v>398242</v>
      </c>
      <c r="H34" s="370">
        <f>SUM(D24:D34)</f>
        <v>60423</v>
      </c>
      <c r="I34" s="370">
        <f>SUM(E24:E34)</f>
        <v>701</v>
      </c>
      <c r="J34" s="370">
        <f>SUM(F24:F34)</f>
        <v>110828</v>
      </c>
      <c r="K34" s="1023"/>
      <c r="L34" s="387">
        <f t="shared" si="15"/>
        <v>5.0229877170109107E-2</v>
      </c>
      <c r="M34" s="388">
        <f t="shared" si="16"/>
        <v>0.11669128508124077</v>
      </c>
      <c r="N34" s="389">
        <f t="shared" si="17"/>
        <v>-5.9701492537313432E-2</v>
      </c>
      <c r="O34" s="390">
        <f t="shared" si="18"/>
        <v>6.4237183446571961E-3</v>
      </c>
      <c r="P34" s="390">
        <f t="shared" si="19"/>
        <v>1.5131045663334234E-2</v>
      </c>
      <c r="Q34" s="390">
        <f t="shared" si="20"/>
        <v>-2.3719119096476064E-2</v>
      </c>
      <c r="R34" s="390">
        <f t="shared" si="21"/>
        <v>-0.28760162601626016</v>
      </c>
      <c r="S34" s="390">
        <f t="shared" si="22"/>
        <v>7.9626707191146964E-2</v>
      </c>
      <c r="AL34">
        <f t="shared" si="2"/>
        <v>2017.8461538461543</v>
      </c>
      <c r="AO34">
        <f t="shared" si="3"/>
        <v>2017.9999999999982</v>
      </c>
      <c r="AP34" s="173">
        <f t="shared" ref="AP34:AQ45" si="23">L37</f>
        <v>6.0703001579778829E-2</v>
      </c>
      <c r="AQ34" s="173">
        <f t="shared" si="23"/>
        <v>0.53608247422680411</v>
      </c>
      <c r="AW34" s="969"/>
      <c r="AX34" s="451" t="s">
        <v>438</v>
      </c>
      <c r="AY34" s="367">
        <v>19403</v>
      </c>
      <c r="AZ34" s="368">
        <f>INDEX($BK$16:$BL$19,MATCH($AX34,$BK$16:$BK$19,0),2)</f>
        <v>110</v>
      </c>
      <c r="BA34" s="369">
        <f>AY34/2*AZ34*$BS$13/10^3</f>
        <v>3340.559208383545</v>
      </c>
      <c r="BB34" s="370">
        <f>SUM(AY33:AY34)</f>
        <v>35377</v>
      </c>
      <c r="BC34" s="370">
        <f>SUM(BA33:BA34)</f>
        <v>6590.7932693363673</v>
      </c>
      <c r="BD34" s="1023"/>
      <c r="BE34" s="385">
        <f t="shared" si="11"/>
        <v>4.0059339525283795</v>
      </c>
      <c r="BF34" s="388"/>
      <c r="BG34" s="389">
        <f t="shared" si="12"/>
        <v>4.0059339525283795</v>
      </c>
      <c r="BH34" s="390">
        <f t="shared" si="13"/>
        <v>0.75333300292412153</v>
      </c>
      <c r="BI34" s="390">
        <f t="shared" si="14"/>
        <v>0.65427874397463759</v>
      </c>
    </row>
    <row r="35" spans="1:70" ht="15" thickBot="1">
      <c r="A35" s="1022"/>
      <c r="B35" s="374" t="s">
        <v>217</v>
      </c>
      <c r="C35" s="375">
        <v>27273</v>
      </c>
      <c r="D35" s="376">
        <v>4233</v>
      </c>
      <c r="E35" s="377">
        <v>80</v>
      </c>
      <c r="F35" s="378">
        <v>9177</v>
      </c>
      <c r="G35" s="370">
        <f>SUM(C24:C35)</f>
        <v>425515</v>
      </c>
      <c r="H35" s="370">
        <f>SUM(D24:D35)</f>
        <v>64656</v>
      </c>
      <c r="I35" s="370">
        <f>SUM(E24:E35)</f>
        <v>781</v>
      </c>
      <c r="J35" s="370">
        <f>SUM(F24:F35)</f>
        <v>120005</v>
      </c>
      <c r="K35" s="1023"/>
      <c r="L35" s="391">
        <f t="shared" si="15"/>
        <v>9.0789105307363116E-2</v>
      </c>
      <c r="M35" s="392">
        <f t="shared" si="16"/>
        <v>1.2992938620315047</v>
      </c>
      <c r="N35" s="393">
        <f t="shared" si="17"/>
        <v>3.896103896103896E-2</v>
      </c>
      <c r="O35" s="394">
        <f t="shared" si="18"/>
        <v>1.0794140323824209E-2</v>
      </c>
      <c r="P35" s="394">
        <f t="shared" si="19"/>
        <v>1.9664085845260946E-2</v>
      </c>
      <c r="Q35" s="394">
        <f t="shared" si="20"/>
        <v>1.4498211259649783E-2</v>
      </c>
      <c r="R35" s="394">
        <f t="shared" si="21"/>
        <v>-0.26390197926484449</v>
      </c>
      <c r="S35" s="394">
        <f t="shared" si="22"/>
        <v>7.4033633751890662E-2</v>
      </c>
      <c r="AL35">
        <f t="shared" si="2"/>
        <v>2017.9230769230774</v>
      </c>
      <c r="AO35">
        <f t="shared" si="3"/>
        <v>2018.0833333333314</v>
      </c>
      <c r="AP35" s="173">
        <f t="shared" si="23"/>
        <v>-8.9979257563836637E-2</v>
      </c>
      <c r="AQ35" s="173">
        <f t="shared" si="23"/>
        <v>-0.45714991355890344</v>
      </c>
      <c r="AW35" s="969"/>
      <c r="AX35" s="451" t="s">
        <v>439</v>
      </c>
      <c r="AY35" s="367">
        <v>25632</v>
      </c>
      <c r="AZ35" s="425">
        <f>INDEX($BK$16:$BL$19,MATCH($AX35,$BK$16:$BK$19,0),2)</f>
        <v>3.5</v>
      </c>
      <c r="BA35" s="369">
        <f>AY35/2*AZ35*$BS$13/10^3</f>
        <v>140.41326678747174</v>
      </c>
      <c r="BB35" s="370">
        <f>SUM(AY33:AY35)</f>
        <v>61009</v>
      </c>
      <c r="BC35" s="370">
        <f>SUM(BA33:BA35)</f>
        <v>6731.2065361238392</v>
      </c>
      <c r="BD35" s="1023"/>
      <c r="BE35" s="385">
        <f t="shared" si="11"/>
        <v>-0.38055535416515623</v>
      </c>
      <c r="BF35" s="388"/>
      <c r="BG35" s="389">
        <f t="shared" si="12"/>
        <v>-0.38055535416515623</v>
      </c>
      <c r="BH35" s="390">
        <f t="shared" si="13"/>
        <v>-8.8862174280330102E-3</v>
      </c>
      <c r="BI35" s="390">
        <f t="shared" si="14"/>
        <v>0.59857102314913535</v>
      </c>
    </row>
    <row r="36" spans="1:70" ht="15" thickBot="1">
      <c r="A36" s="379" t="s">
        <v>21</v>
      </c>
      <c r="B36" s="395">
        <v>2017</v>
      </c>
      <c r="C36" s="381">
        <f>SUM(C24:C35)</f>
        <v>425515</v>
      </c>
      <c r="D36" s="381">
        <f>SUM(D24:D35)</f>
        <v>64656</v>
      </c>
      <c r="E36" s="381">
        <f>SUM(E24:E35)</f>
        <v>781</v>
      </c>
      <c r="F36" s="381">
        <f>SUM(F24:F35)</f>
        <v>120005</v>
      </c>
      <c r="G36" s="382">
        <f>G28</f>
        <v>156017</v>
      </c>
      <c r="H36" s="382">
        <f>H28</f>
        <v>24184</v>
      </c>
      <c r="I36" s="382">
        <f>I28</f>
        <v>309</v>
      </c>
      <c r="J36" s="382">
        <f>J28</f>
        <v>43136</v>
      </c>
      <c r="K36" s="1024"/>
      <c r="L36" s="396">
        <f t="shared" si="15"/>
        <v>1.9664085845260946E-2</v>
      </c>
      <c r="M36" s="396">
        <f t="shared" si="16"/>
        <v>1.4498211259649783E-2</v>
      </c>
      <c r="N36" s="397">
        <f t="shared" si="17"/>
        <v>-0.26390197926484449</v>
      </c>
      <c r="O36" s="398">
        <f t="shared" si="18"/>
        <v>7.4033633751890662E-2</v>
      </c>
      <c r="P36" s="398">
        <f t="shared" si="19"/>
        <v>1.2610823370588159E-2</v>
      </c>
      <c r="Q36" s="398">
        <f t="shared" si="20"/>
        <v>-0.13896108519955852</v>
      </c>
      <c r="R36" s="398">
        <f t="shared" si="21"/>
        <v>-0.28472222222222221</v>
      </c>
      <c r="S36" s="398">
        <f t="shared" si="22"/>
        <v>3.7796222783591966E-2</v>
      </c>
      <c r="AL36">
        <f t="shared" si="2"/>
        <v>2018.0000000000005</v>
      </c>
      <c r="AO36">
        <f t="shared" si="3"/>
        <v>2018.1666666666647</v>
      </c>
      <c r="AP36" s="173">
        <f t="shared" si="23"/>
        <v>-0.21806279755157559</v>
      </c>
      <c r="AQ36" s="173">
        <f t="shared" si="23"/>
        <v>-0.46619935844124988</v>
      </c>
      <c r="AW36" s="969"/>
      <c r="AX36" s="451" t="s">
        <v>440</v>
      </c>
      <c r="AY36" s="367">
        <f>SUM(AY33:AY35)</f>
        <v>61009</v>
      </c>
      <c r="AZ36" s="368"/>
      <c r="BA36" s="369">
        <f>SUM(BA33:BA35)</f>
        <v>6731.2065361238392</v>
      </c>
      <c r="BB36" s="370">
        <f>SUM(AY33:AY35)</f>
        <v>61009</v>
      </c>
      <c r="BC36" s="370">
        <f>SUM(BA33:BA35)</f>
        <v>6731.2065361238392</v>
      </c>
      <c r="BD36" s="1023"/>
      <c r="BE36" s="385">
        <f t="shared" si="11"/>
        <v>-8.8862174280330102E-3</v>
      </c>
      <c r="BF36" s="388"/>
      <c r="BG36" s="389">
        <f t="shared" si="12"/>
        <v>0.59857102314913535</v>
      </c>
      <c r="BH36" s="390">
        <f t="shared" si="13"/>
        <v>-8.8862174280330102E-3</v>
      </c>
      <c r="BI36" s="390">
        <f t="shared" si="14"/>
        <v>0.59857102314913535</v>
      </c>
    </row>
    <row r="37" spans="1:70" ht="14.25" customHeight="1">
      <c r="A37" s="969">
        <v>2018</v>
      </c>
      <c r="B37" s="358" t="s">
        <v>191</v>
      </c>
      <c r="C37" s="359">
        <v>26857</v>
      </c>
      <c r="D37" s="360">
        <v>4470</v>
      </c>
      <c r="E37" s="361">
        <v>64</v>
      </c>
      <c r="F37" s="360">
        <v>10185</v>
      </c>
      <c r="G37" s="362">
        <f>C37</f>
        <v>26857</v>
      </c>
      <c r="H37" s="362">
        <f>D37</f>
        <v>4470</v>
      </c>
      <c r="I37" s="362">
        <f>E37</f>
        <v>64</v>
      </c>
      <c r="J37" s="362">
        <f>F37</f>
        <v>10185</v>
      </c>
      <c r="K37" s="971" t="s">
        <v>245</v>
      </c>
      <c r="L37" s="385">
        <f t="shared" si="15"/>
        <v>6.0703001579778829E-2</v>
      </c>
      <c r="M37" s="385">
        <f t="shared" si="16"/>
        <v>0.53608247422680411</v>
      </c>
      <c r="N37" s="385">
        <f t="shared" si="17"/>
        <v>0.25490196078431371</v>
      </c>
      <c r="O37" s="386">
        <f t="shared" si="18"/>
        <v>0.23754556500607532</v>
      </c>
      <c r="P37" s="386">
        <f t="shared" si="19"/>
        <v>6.0703001579778829E-2</v>
      </c>
      <c r="Q37" s="386">
        <f t="shared" si="20"/>
        <v>0.53608247422680411</v>
      </c>
      <c r="R37" s="386">
        <f t="shared" si="21"/>
        <v>0.25490196078431371</v>
      </c>
      <c r="S37" s="386">
        <f t="shared" si="22"/>
        <v>0.23754556500607532</v>
      </c>
      <c r="AL37">
        <f t="shared" si="2"/>
        <v>2018.0769230769235</v>
      </c>
      <c r="AO37">
        <f t="shared" si="3"/>
        <v>2018.249999999998</v>
      </c>
      <c r="AP37" s="173">
        <f t="shared" si="23"/>
        <v>-1.8122661460875225E-2</v>
      </c>
      <c r="AQ37" s="173">
        <f t="shared" si="23"/>
        <v>0.55207166853303469</v>
      </c>
      <c r="AW37" s="969"/>
      <c r="AX37" s="451" t="s">
        <v>437</v>
      </c>
      <c r="AY37" s="367">
        <v>1486</v>
      </c>
      <c r="AZ37" s="368">
        <f>INDEX($BK$16:$BL$19,MATCH($AX37,$BK$16:$BK$19,0),2)</f>
        <v>130</v>
      </c>
      <c r="BA37" s="369">
        <f>AY37/2*AZ37*$BS$13/10^3</f>
        <v>302.35681824063442</v>
      </c>
      <c r="BB37" s="370">
        <f>SUM(AY37)</f>
        <v>1486</v>
      </c>
      <c r="BC37" s="370">
        <f>SUM(BA37)</f>
        <v>302.35681824063442</v>
      </c>
      <c r="BD37" s="1023"/>
      <c r="BE37" s="385">
        <f t="shared" si="11"/>
        <v>-2.8122956180510136E-2</v>
      </c>
      <c r="BF37" s="388"/>
      <c r="BG37" s="389">
        <f t="shared" si="12"/>
        <v>-2.8122956180509896E-2</v>
      </c>
      <c r="BH37" s="390">
        <f t="shared" si="13"/>
        <v>-2.8122956180510136E-2</v>
      </c>
      <c r="BI37" s="390">
        <f t="shared" si="14"/>
        <v>-2.8122956180509896E-2</v>
      </c>
    </row>
    <row r="38" spans="1:70" ht="14.25">
      <c r="A38" s="969"/>
      <c r="B38" s="366" t="s">
        <v>195</v>
      </c>
      <c r="C38" s="367">
        <v>25446</v>
      </c>
      <c r="D38" s="368">
        <v>2198</v>
      </c>
      <c r="E38" s="369">
        <v>61</v>
      </c>
      <c r="F38" s="368">
        <v>8026</v>
      </c>
      <c r="G38" s="370">
        <f>SUM(C37:C38)</f>
        <v>52303</v>
      </c>
      <c r="H38" s="370">
        <f>SUM(D37:D38)</f>
        <v>6668</v>
      </c>
      <c r="I38" s="370">
        <f>SUM(E37:E38)</f>
        <v>125</v>
      </c>
      <c r="J38" s="370">
        <f>SUM(F37:F38)</f>
        <v>18211</v>
      </c>
      <c r="K38" s="972"/>
      <c r="L38" s="387">
        <f t="shared" si="15"/>
        <v>-8.9979257563836637E-2</v>
      </c>
      <c r="M38" s="388">
        <f t="shared" si="16"/>
        <v>-0.45714991355890344</v>
      </c>
      <c r="N38" s="389">
        <f t="shared" si="17"/>
        <v>7.0175438596491224E-2</v>
      </c>
      <c r="O38" s="390">
        <f t="shared" si="18"/>
        <v>7.0990125433680273E-2</v>
      </c>
      <c r="P38" s="390">
        <f t="shared" si="19"/>
        <v>-1.8373934912353139E-2</v>
      </c>
      <c r="Q38" s="390">
        <f t="shared" si="20"/>
        <v>-4.181635292427073E-2</v>
      </c>
      <c r="R38" s="390">
        <f t="shared" si="21"/>
        <v>0.15740740740740741</v>
      </c>
      <c r="S38" s="390">
        <f t="shared" si="22"/>
        <v>0.15816586110404476</v>
      </c>
      <c r="AL38">
        <f t="shared" si="2"/>
        <v>2018.1538461538466</v>
      </c>
      <c r="AO38">
        <f t="shared" si="3"/>
        <v>2018.3333333333312</v>
      </c>
      <c r="AP38" s="173">
        <f t="shared" si="23"/>
        <v>-6.3793854870342129E-2</v>
      </c>
      <c r="AQ38" s="173">
        <f t="shared" si="23"/>
        <v>-2.1199388846447668E-2</v>
      </c>
      <c r="AW38" s="969"/>
      <c r="AX38" s="451" t="s">
        <v>438</v>
      </c>
      <c r="AY38" s="367">
        <v>1695</v>
      </c>
      <c r="AZ38" s="368">
        <f>INDEX($BK$16:$BL$19,MATCH($AX38,$BK$16:$BK$19,0),2)</f>
        <v>110</v>
      </c>
      <c r="BA38" s="369">
        <f>AY38/2*AZ38*$BS$13/10^3</f>
        <v>291.82331898212175</v>
      </c>
      <c r="BB38" s="370">
        <f>SUM(AY37:AY38)</f>
        <v>3181</v>
      </c>
      <c r="BC38" s="370">
        <f>SUM(BA37:BA38)</f>
        <v>594.18013722275623</v>
      </c>
      <c r="BD38" s="1023"/>
      <c r="BE38" s="385">
        <f t="shared" si="11"/>
        <v>7.8930617441120302E-2</v>
      </c>
      <c r="BF38" s="388"/>
      <c r="BG38" s="389">
        <f t="shared" si="12"/>
        <v>7.8930617441120149E-2</v>
      </c>
      <c r="BH38" s="390">
        <f t="shared" si="13"/>
        <v>2.6129032258064518E-2</v>
      </c>
      <c r="BI38" s="390">
        <f t="shared" si="14"/>
        <v>2.1664244577210889E-2</v>
      </c>
    </row>
    <row r="39" spans="1:70" ht="14.25">
      <c r="A39" s="969"/>
      <c r="B39" s="366" t="s">
        <v>15</v>
      </c>
      <c r="C39" s="367">
        <v>27593</v>
      </c>
      <c r="D39" s="368">
        <v>4493</v>
      </c>
      <c r="E39" s="369">
        <v>60</v>
      </c>
      <c r="F39" s="368">
        <v>9262</v>
      </c>
      <c r="G39" s="370">
        <f>SUM(C37:C39)</f>
        <v>79896</v>
      </c>
      <c r="H39" s="370">
        <f>SUM(D37:D39)</f>
        <v>11161</v>
      </c>
      <c r="I39" s="370">
        <f>SUM(E37:E39)</f>
        <v>185</v>
      </c>
      <c r="J39" s="370">
        <f>SUM(F37:F39)</f>
        <v>27473</v>
      </c>
      <c r="K39" s="972"/>
      <c r="L39" s="387">
        <f t="shared" si="15"/>
        <v>-0.21806279755157559</v>
      </c>
      <c r="M39" s="388">
        <f t="shared" si="16"/>
        <v>-0.46619935844124988</v>
      </c>
      <c r="N39" s="389">
        <f t="shared" si="17"/>
        <v>-0.14285714285714285</v>
      </c>
      <c r="O39" s="390">
        <f t="shared" si="18"/>
        <v>4.1142086330935253E-2</v>
      </c>
      <c r="P39" s="390">
        <f t="shared" si="19"/>
        <v>-9.7933837642542626E-2</v>
      </c>
      <c r="Q39" s="390">
        <f t="shared" si="20"/>
        <v>-0.27412851196670135</v>
      </c>
      <c r="R39" s="390">
        <f t="shared" si="21"/>
        <v>3.9325842696629212E-2</v>
      </c>
      <c r="S39" s="390">
        <f t="shared" si="22"/>
        <v>0.11588139723801787</v>
      </c>
      <c r="AL39">
        <f t="shared" si="2"/>
        <v>2018.2307692307697</v>
      </c>
      <c r="AO39">
        <f t="shared" si="3"/>
        <v>2018.4166666666645</v>
      </c>
      <c r="AP39" s="173">
        <f t="shared" si="23"/>
        <v>-7.8042581758895183E-2</v>
      </c>
      <c r="AQ39" s="173">
        <f t="shared" si="23"/>
        <v>-0.2303335431088735</v>
      </c>
      <c r="AW39" s="969"/>
      <c r="AX39" s="451" t="s">
        <v>441</v>
      </c>
      <c r="AY39" s="367">
        <f>AY38+AY37</f>
        <v>3181</v>
      </c>
      <c r="AZ39" s="368"/>
      <c r="BA39" s="369">
        <f>SUM(BA37:BA38)</f>
        <v>594.18013722275623</v>
      </c>
      <c r="BB39" s="370">
        <f>SUM(AY39)</f>
        <v>3181</v>
      </c>
      <c r="BC39" s="370">
        <f>SUM(BA39)</f>
        <v>594.18013722275623</v>
      </c>
      <c r="BD39" s="1023"/>
      <c r="BE39" s="385">
        <f t="shared" si="11"/>
        <v>2.6129032258064518E-2</v>
      </c>
      <c r="BF39" s="388"/>
      <c r="BG39" s="389">
        <f t="shared" si="12"/>
        <v>2.1664244577210889E-2</v>
      </c>
      <c r="BH39" s="390">
        <f t="shared" si="13"/>
        <v>2.6129032258064518E-2</v>
      </c>
      <c r="BI39" s="390">
        <f t="shared" si="14"/>
        <v>2.1664244577210889E-2</v>
      </c>
    </row>
    <row r="40" spans="1:70" ht="14.25">
      <c r="A40" s="969"/>
      <c r="B40" s="366" t="s">
        <v>16</v>
      </c>
      <c r="C40" s="367">
        <v>30178</v>
      </c>
      <c r="D40" s="368">
        <v>5544</v>
      </c>
      <c r="E40" s="369">
        <v>55.7</v>
      </c>
      <c r="F40" s="368">
        <v>9359</v>
      </c>
      <c r="G40" s="370">
        <f>SUM(C37:C40)</f>
        <v>110074</v>
      </c>
      <c r="H40" s="370">
        <f>SUM(D37:D40)</f>
        <v>16705</v>
      </c>
      <c r="I40" s="370">
        <f>SUM(E37:E40)</f>
        <v>240.7</v>
      </c>
      <c r="J40" s="370">
        <f>SUM(F37:F40)</f>
        <v>36832</v>
      </c>
      <c r="K40" s="972"/>
      <c r="L40" s="387">
        <f t="shared" si="15"/>
        <v>-1.8122661460875225E-2</v>
      </c>
      <c r="M40" s="388">
        <f t="shared" si="16"/>
        <v>0.55207166853303469</v>
      </c>
      <c r="N40" s="389">
        <f t="shared" si="17"/>
        <v>-0.12968749999999996</v>
      </c>
      <c r="O40" s="390">
        <f t="shared" si="18"/>
        <v>6.4490445859872611E-2</v>
      </c>
      <c r="P40" s="390">
        <f t="shared" si="19"/>
        <v>-7.7373119316038727E-2</v>
      </c>
      <c r="Q40" s="390">
        <f t="shared" si="20"/>
        <v>-0.1183766096685666</v>
      </c>
      <c r="R40" s="390">
        <f t="shared" si="21"/>
        <v>-5.3719008264463278E-3</v>
      </c>
      <c r="S40" s="390">
        <f t="shared" si="22"/>
        <v>0.10235843409553454</v>
      </c>
      <c r="AL40">
        <f t="shared" si="2"/>
        <v>2018.3076923076928</v>
      </c>
      <c r="AO40">
        <f t="shared" si="3"/>
        <v>2018.4999999999977</v>
      </c>
      <c r="AP40" s="173">
        <f t="shared" si="23"/>
        <v>-4.927047276869824E-2</v>
      </c>
      <c r="AQ40" s="173">
        <f t="shared" si="23"/>
        <v>2.6466696074106751E-3</v>
      </c>
      <c r="AW40" s="969"/>
      <c r="AX40" s="452" t="s">
        <v>437</v>
      </c>
      <c r="AY40" s="453">
        <f>AY33+AY37</f>
        <v>17460</v>
      </c>
      <c r="AZ40" s="368">
        <f>INDEX($BK$16:$BL$19,MATCH($AX40,$BK$16:$BK$19,0),2)</f>
        <v>130</v>
      </c>
      <c r="BA40" s="369">
        <f>AY40/2*AZ40*$BS$13/10^3</f>
        <v>3552.5908791934562</v>
      </c>
      <c r="BB40" s="370">
        <f>SUM(AY40)</f>
        <v>17460</v>
      </c>
      <c r="BC40" s="370">
        <f>SUM(BA40)</f>
        <v>3552.5908791934562</v>
      </c>
      <c r="BD40" s="1023"/>
      <c r="BE40" s="385">
        <f t="shared" si="11"/>
        <v>-2.0751542344363431E-2</v>
      </c>
      <c r="BF40" s="388"/>
      <c r="BG40" s="389">
        <f t="shared" si="12"/>
        <v>-2.0751542344363522E-2</v>
      </c>
      <c r="BH40" s="390">
        <f t="shared" si="13"/>
        <v>-2.0751542344363431E-2</v>
      </c>
      <c r="BI40" s="390">
        <f t="shared" si="14"/>
        <v>-2.0751542344363522E-2</v>
      </c>
    </row>
    <row r="41" spans="1:70" ht="14.25">
      <c r="A41" s="969"/>
      <c r="B41" s="366" t="s">
        <v>17</v>
      </c>
      <c r="C41" s="367">
        <v>34370</v>
      </c>
      <c r="D41" s="368">
        <v>5125</v>
      </c>
      <c r="E41" s="369">
        <v>64.7</v>
      </c>
      <c r="F41" s="368">
        <v>11752</v>
      </c>
      <c r="G41" s="370">
        <f>SUM(C37:C41)</f>
        <v>144444</v>
      </c>
      <c r="H41" s="370">
        <f>SUM(D37:D41)</f>
        <v>21830</v>
      </c>
      <c r="I41" s="370">
        <f>SUM(E37:E41)</f>
        <v>305.39999999999998</v>
      </c>
      <c r="J41" s="370">
        <f>SUM(F37:F41)</f>
        <v>48584</v>
      </c>
      <c r="K41" s="972"/>
      <c r="L41" s="387">
        <f t="shared" si="15"/>
        <v>-6.3793854870342129E-2</v>
      </c>
      <c r="M41" s="388">
        <f t="shared" si="16"/>
        <v>-2.1199388846447668E-2</v>
      </c>
      <c r="N41" s="389">
        <f t="shared" si="17"/>
        <v>-3.4328358208955183E-2</v>
      </c>
      <c r="O41" s="390">
        <f t="shared" si="18"/>
        <v>0.20855614973262032</v>
      </c>
      <c r="P41" s="390">
        <f t="shared" si="19"/>
        <v>-7.4177813956171443E-2</v>
      </c>
      <c r="Q41" s="390">
        <f t="shared" si="20"/>
        <v>-9.7337082368508104E-2</v>
      </c>
      <c r="R41" s="390">
        <f t="shared" si="21"/>
        <v>-1.1650485436893277E-2</v>
      </c>
      <c r="S41" s="390">
        <f t="shared" si="22"/>
        <v>0.12629821958456974</v>
      </c>
      <c r="AL41">
        <f t="shared" si="2"/>
        <v>2018.3846153846159</v>
      </c>
      <c r="AO41">
        <f t="shared" si="3"/>
        <v>2018.583333333331</v>
      </c>
      <c r="AP41" s="173">
        <f t="shared" si="23"/>
        <v>-3.6899283447855598E-2</v>
      </c>
      <c r="AQ41" s="173">
        <f t="shared" si="23"/>
        <v>0.25705329153605017</v>
      </c>
      <c r="AW41" s="969"/>
      <c r="AX41" s="452" t="s">
        <v>438</v>
      </c>
      <c r="AY41" s="453">
        <f>AY34+AY38</f>
        <v>21098</v>
      </c>
      <c r="AZ41" s="368">
        <f>INDEX($BK$16:$BL$19,MATCH($AX41,$BK$16:$BK$19,0),2)</f>
        <v>110</v>
      </c>
      <c r="BA41" s="369">
        <f>AY41/2*AZ41*$BS$13/10^3</f>
        <v>3632.3825273656662</v>
      </c>
      <c r="BB41" s="370">
        <f>SUM(AY40:AY41)</f>
        <v>38558</v>
      </c>
      <c r="BC41" s="370">
        <f>SUM(BA40:BA41)</f>
        <v>7184.9734065591219</v>
      </c>
      <c r="BD41" s="1023"/>
      <c r="BE41" s="385">
        <f t="shared" si="11"/>
        <v>2.8733247659261978</v>
      </c>
      <c r="BF41" s="388"/>
      <c r="BG41" s="389">
        <f>(BA41-BA30)/BA30</f>
        <v>2.8733247659261973</v>
      </c>
      <c r="BH41" s="390">
        <f t="shared" si="13"/>
        <v>0.65648494221763976</v>
      </c>
      <c r="BI41" s="390">
        <f t="shared" si="14"/>
        <v>0.57369552324764217</v>
      </c>
    </row>
    <row r="42" spans="1:70" ht="15" thickBot="1">
      <c r="A42" s="969"/>
      <c r="B42" s="366" t="s">
        <v>18</v>
      </c>
      <c r="C42" s="367">
        <v>38453</v>
      </c>
      <c r="D42" s="368">
        <v>6115</v>
      </c>
      <c r="E42" s="369">
        <v>68.5</v>
      </c>
      <c r="F42" s="368">
        <v>11466</v>
      </c>
      <c r="G42" s="370">
        <f>SUM(C37:C42)</f>
        <v>182897</v>
      </c>
      <c r="H42" s="370">
        <f>SUM(D37:D42)</f>
        <v>27945</v>
      </c>
      <c r="I42" s="370">
        <f>SUM(E37:E42)</f>
        <v>373.9</v>
      </c>
      <c r="J42" s="370">
        <f>SUM(F37:F42)</f>
        <v>60050</v>
      </c>
      <c r="K42" s="972"/>
      <c r="L42" s="387">
        <f t="shared" si="15"/>
        <v>-7.8042581758895183E-2</v>
      </c>
      <c r="M42" s="388">
        <f t="shared" si="16"/>
        <v>-0.2303335431088735</v>
      </c>
      <c r="N42" s="389">
        <f t="shared" si="17"/>
        <v>2.2388059701492536E-2</v>
      </c>
      <c r="O42" s="390">
        <f t="shared" si="18"/>
        <v>-4.2505219206680586E-2</v>
      </c>
      <c r="P42" s="390">
        <f t="shared" si="19"/>
        <v>-7.499304589707928E-2</v>
      </c>
      <c r="Q42" s="390">
        <f t="shared" si="20"/>
        <v>-0.130225030346416</v>
      </c>
      <c r="R42" s="390">
        <f t="shared" si="21"/>
        <v>-5.5851063829787835E-3</v>
      </c>
      <c r="S42" s="390">
        <f t="shared" si="22"/>
        <v>8.9619132296637691E-2</v>
      </c>
      <c r="AL42">
        <f t="shared" si="2"/>
        <v>2018.461538461539</v>
      </c>
      <c r="AO42">
        <f t="shared" si="3"/>
        <v>2018.6666666666642</v>
      </c>
      <c r="AP42" s="173">
        <f t="shared" si="23"/>
        <v>-8.2470119521912355E-2</v>
      </c>
      <c r="AQ42" s="173">
        <f t="shared" si="23"/>
        <v>6.2089116143170198E-2</v>
      </c>
      <c r="AW42" s="970"/>
      <c r="AX42" s="452" t="s">
        <v>439</v>
      </c>
      <c r="AY42" s="453">
        <f>AY35</f>
        <v>25632</v>
      </c>
      <c r="AZ42" s="425">
        <f>INDEX($BK$16:$BL$19,MATCH($AX42,$BK$16:$BK$19,0),2)</f>
        <v>3.5</v>
      </c>
      <c r="BA42" s="369">
        <f>AY42/2*AZ42*$BS$13/10^3</f>
        <v>140.41326678747174</v>
      </c>
      <c r="BB42" s="370">
        <f>SUM(AY40:AY42)</f>
        <v>64190</v>
      </c>
      <c r="BC42" s="370">
        <f>SUM(BA40:BA42)</f>
        <v>7325.3866733465939</v>
      </c>
      <c r="BD42" s="1023"/>
      <c r="BE42" s="385">
        <f t="shared" si="11"/>
        <v>-0.38055535416515623</v>
      </c>
      <c r="BF42" s="388"/>
      <c r="BG42" s="389">
        <f t="shared" si="12"/>
        <v>-0.38055535416515623</v>
      </c>
      <c r="BH42" s="390">
        <f t="shared" si="13"/>
        <v>-7.2073744122741895E-3</v>
      </c>
      <c r="BI42" s="390">
        <f t="shared" si="14"/>
        <v>0.52855983211712076</v>
      </c>
    </row>
    <row r="43" spans="1:70" ht="15" thickBot="1">
      <c r="A43" s="969"/>
      <c r="B43" s="366" t="s">
        <v>19</v>
      </c>
      <c r="C43" s="367">
        <v>43397</v>
      </c>
      <c r="D43" s="368">
        <v>6819</v>
      </c>
      <c r="E43" s="369">
        <v>68.8</v>
      </c>
      <c r="F43" s="368">
        <v>12533</v>
      </c>
      <c r="G43" s="370">
        <f>SUM(C37:C43)</f>
        <v>226294</v>
      </c>
      <c r="H43" s="370">
        <f>SUM(D37:D43)</f>
        <v>34764</v>
      </c>
      <c r="I43" s="370">
        <f>SUM(E37:E43)</f>
        <v>442.7</v>
      </c>
      <c r="J43" s="370">
        <f>SUM(F37:F43)</f>
        <v>72583</v>
      </c>
      <c r="K43" s="972"/>
      <c r="L43" s="387">
        <f t="shared" si="15"/>
        <v>-4.927047276869824E-2</v>
      </c>
      <c r="M43" s="388">
        <f t="shared" si="16"/>
        <v>2.6466696074106751E-3</v>
      </c>
      <c r="N43" s="389">
        <f t="shared" si="17"/>
        <v>2.6865671641791003E-2</v>
      </c>
      <c r="O43" s="390">
        <f t="shared" si="18"/>
        <v>9.6672842987190841E-3</v>
      </c>
      <c r="P43" s="390">
        <f t="shared" si="19"/>
        <v>-7.0168590341495085E-2</v>
      </c>
      <c r="Q43" s="390">
        <f t="shared" si="20"/>
        <v>-0.10701258669406627</v>
      </c>
      <c r="R43" s="390">
        <f t="shared" si="21"/>
        <v>-6.7720090293456293E-4</v>
      </c>
      <c r="S43" s="390">
        <f t="shared" si="22"/>
        <v>7.4921509389254196E-2</v>
      </c>
      <c r="AL43">
        <f t="shared" ref="AL43:AL75" si="24">AL42+$AL$2</f>
        <v>2018.5384615384621</v>
      </c>
      <c r="AO43">
        <f t="shared" si="3"/>
        <v>2018.7499999999975</v>
      </c>
      <c r="AP43" s="173">
        <f t="shared" si="23"/>
        <v>-4.4944127957931637E-2</v>
      </c>
      <c r="AQ43" s="173">
        <f t="shared" si="23"/>
        <v>-0.1236381644106966</v>
      </c>
      <c r="AW43" s="379" t="s">
        <v>21</v>
      </c>
      <c r="AX43" s="395">
        <f>AW33</f>
        <v>2018</v>
      </c>
      <c r="AY43" s="381">
        <f>SUM(AY40:AY42)</f>
        <v>64190</v>
      </c>
      <c r="AZ43" s="381"/>
      <c r="BA43" s="381">
        <f>SUM(BA40:BA42)</f>
        <v>7325.3866733465939</v>
      </c>
      <c r="BB43" s="382">
        <f>BB42</f>
        <v>64190</v>
      </c>
      <c r="BC43" s="382">
        <f>BC42</f>
        <v>7325.3866733465939</v>
      </c>
      <c r="BD43" s="1024"/>
      <c r="BE43" s="396">
        <f t="shared" si="11"/>
        <v>-7.2073744122741895E-3</v>
      </c>
      <c r="BF43" s="396"/>
      <c r="BG43" s="397">
        <f t="shared" si="12"/>
        <v>0.52855983211712076</v>
      </c>
      <c r="BH43" s="398">
        <f t="shared" si="13"/>
        <v>-7.2073744122741895E-3</v>
      </c>
      <c r="BI43" s="398">
        <f t="shared" si="14"/>
        <v>0.52855983211712076</v>
      </c>
    </row>
    <row r="44" spans="1:70" ht="14.25">
      <c r="A44" s="969"/>
      <c r="B44" s="366" t="s">
        <v>20</v>
      </c>
      <c r="C44" s="367">
        <v>45833</v>
      </c>
      <c r="D44" s="368">
        <v>6817</v>
      </c>
      <c r="E44" s="369">
        <v>79.5</v>
      </c>
      <c r="F44" s="368">
        <v>11880</v>
      </c>
      <c r="G44" s="370">
        <f>SUM(C37:C44)</f>
        <v>272127</v>
      </c>
      <c r="H44" s="370">
        <f>SUM(D37:D44)</f>
        <v>41581</v>
      </c>
      <c r="I44" s="370">
        <f>SUM(E37:E44)</f>
        <v>522.20000000000005</v>
      </c>
      <c r="J44" s="370">
        <f>SUM(F37:F44)</f>
        <v>84463</v>
      </c>
      <c r="K44" s="972"/>
      <c r="L44" s="387">
        <f t="shared" si="15"/>
        <v>-3.6899283447855598E-2</v>
      </c>
      <c r="M44" s="388">
        <f t="shared" si="16"/>
        <v>0.25705329153605017</v>
      </c>
      <c r="N44" s="389">
        <f t="shared" si="17"/>
        <v>0.18656716417910449</v>
      </c>
      <c r="O44" s="390">
        <f t="shared" si="18"/>
        <v>-3.9145907473309607E-2</v>
      </c>
      <c r="P44" s="390">
        <f t="shared" si="19"/>
        <v>-6.4727110255705253E-2</v>
      </c>
      <c r="Q44" s="390">
        <f t="shared" si="20"/>
        <v>-6.2498590850675266E-2</v>
      </c>
      <c r="R44" s="390">
        <f t="shared" si="21"/>
        <v>2.3921568627451071E-2</v>
      </c>
      <c r="S44" s="390">
        <f t="shared" si="22"/>
        <v>5.7267674744642498E-2</v>
      </c>
      <c r="AL44">
        <f t="shared" si="24"/>
        <v>2018.6153846153852</v>
      </c>
      <c r="AO44">
        <f t="shared" si="3"/>
        <v>2018.8333333333308</v>
      </c>
      <c r="AP44" s="173">
        <f t="shared" si="23"/>
        <v>-0.12113688337144723</v>
      </c>
      <c r="AQ44" s="173">
        <f t="shared" si="23"/>
        <v>0.1917989417989418</v>
      </c>
      <c r="AW44" s="976">
        <v>2019</v>
      </c>
      <c r="AX44" s="450" t="s">
        <v>437</v>
      </c>
      <c r="AY44" s="359">
        <v>14893</v>
      </c>
      <c r="AZ44" s="360">
        <f>INDEX($BK$16:$BL$19,MATCH($AX44,$BK$16:$BK$19,0),2)</f>
        <v>130</v>
      </c>
      <c r="BA44" s="361">
        <f>AY44/2*AZ44*$BS$13/10^3</f>
        <v>3030.2827012501803</v>
      </c>
      <c r="BB44" s="362">
        <f>AY44</f>
        <v>14893</v>
      </c>
      <c r="BC44" s="362">
        <f>BA44</f>
        <v>3030.2827012501803</v>
      </c>
      <c r="BD44" s="1052" t="str">
        <f>"Milli áranna "&amp; AW33&amp;" og "&amp; AW44</f>
        <v>Milli áranna 2018 og 2019</v>
      </c>
      <c r="BE44" s="385">
        <f t="shared" si="11"/>
        <v>-6.7672467760110183E-2</v>
      </c>
      <c r="BF44" s="385"/>
      <c r="BG44" s="385">
        <f t="shared" si="12"/>
        <v>-6.7672467760110253E-2</v>
      </c>
      <c r="BH44" s="386">
        <f t="shared" si="13"/>
        <v>-6.7672467760110183E-2</v>
      </c>
      <c r="BI44" s="386">
        <f t="shared" si="14"/>
        <v>-6.7672467760110253E-2</v>
      </c>
      <c r="BM44" t="s">
        <v>460</v>
      </c>
      <c r="BN44" t="s">
        <v>461</v>
      </c>
      <c r="BO44" t="s">
        <v>8</v>
      </c>
    </row>
    <row r="45" spans="1:70" ht="14.25">
      <c r="A45" s="969"/>
      <c r="B45" s="366" t="s">
        <v>211</v>
      </c>
      <c r="C45" s="367">
        <v>36848</v>
      </c>
      <c r="D45" s="368">
        <v>5816</v>
      </c>
      <c r="E45" s="369">
        <v>60.3</v>
      </c>
      <c r="F45" s="368">
        <v>11189</v>
      </c>
      <c r="G45" s="370">
        <f>SUM(C37:C45)</f>
        <v>308975</v>
      </c>
      <c r="H45" s="370">
        <f>SUM(D37:D45)</f>
        <v>47397</v>
      </c>
      <c r="I45" s="370">
        <f>SUM(E37:E45)</f>
        <v>582.5</v>
      </c>
      <c r="J45" s="370">
        <f>SUM(F37:F45)</f>
        <v>95652</v>
      </c>
      <c r="K45" s="972"/>
      <c r="L45" s="387">
        <f t="shared" si="15"/>
        <v>-8.2470119521912355E-2</v>
      </c>
      <c r="M45" s="388">
        <f t="shared" si="16"/>
        <v>6.2089116143170198E-2</v>
      </c>
      <c r="N45" s="389">
        <f t="shared" si="17"/>
        <v>-0.16250000000000003</v>
      </c>
      <c r="O45" s="390">
        <f t="shared" si="18"/>
        <v>-6.5168351574901834E-2</v>
      </c>
      <c r="P45" s="390">
        <f t="shared" si="19"/>
        <v>-6.6879077071756457E-2</v>
      </c>
      <c r="Q45" s="390">
        <f t="shared" si="20"/>
        <v>-4.8806919665255175E-2</v>
      </c>
      <c r="R45" s="390">
        <f t="shared" si="21"/>
        <v>8.5910652920962198E-4</v>
      </c>
      <c r="S45" s="390">
        <f t="shared" si="22"/>
        <v>4.1314216662856396E-2</v>
      </c>
      <c r="AL45">
        <f t="shared" si="24"/>
        <v>2018.6923076923083</v>
      </c>
      <c r="AO45">
        <f t="shared" si="3"/>
        <v>2018.916666666664</v>
      </c>
      <c r="AP45" s="173">
        <f t="shared" si="23"/>
        <v>-0.13111868881311187</v>
      </c>
      <c r="AQ45" s="173">
        <f t="shared" si="23"/>
        <v>-0.26576895818568391</v>
      </c>
      <c r="AW45" s="969"/>
      <c r="AX45" s="451" t="s">
        <v>438</v>
      </c>
      <c r="AY45" s="367">
        <v>18812</v>
      </c>
      <c r="AZ45" s="368">
        <f>INDEX($BK$16:$BL$19,MATCH($AX45,$BK$16:$BK$19,0),2)</f>
        <v>110</v>
      </c>
      <c r="BA45" s="369">
        <f>AY45/2*AZ45*$BS$13/10^3</f>
        <v>3238.8084228269468</v>
      </c>
      <c r="BB45" s="370">
        <f>SUM(AY44:AY45)</f>
        <v>33705</v>
      </c>
      <c r="BC45" s="370">
        <f>SUM(BA44:BA45)</f>
        <v>6269.0911240771275</v>
      </c>
      <c r="BD45" s="1023"/>
      <c r="BE45" s="385">
        <f t="shared" si="11"/>
        <v>-3.0459207339071277E-2</v>
      </c>
      <c r="BF45" s="388"/>
      <c r="BG45" s="389">
        <f t="shared" si="12"/>
        <v>-3.0459207339071277E-2</v>
      </c>
      <c r="BH45" s="390">
        <f t="shared" si="13"/>
        <v>-4.7262345591768666E-2</v>
      </c>
      <c r="BI45" s="390">
        <f t="shared" si="14"/>
        <v>-4.8810838409385021E-2</v>
      </c>
      <c r="BM45">
        <v>16108</v>
      </c>
      <c r="BN45">
        <v>130</v>
      </c>
      <c r="BO45">
        <f>BN45*BM45</f>
        <v>2094040</v>
      </c>
      <c r="BP45">
        <f>BO45/1000</f>
        <v>2094.04</v>
      </c>
      <c r="BQ45">
        <f>BR45/BP45</f>
        <v>2.1967106645527305E-2</v>
      </c>
      <c r="BR45">
        <v>46</v>
      </c>
    </row>
    <row r="46" spans="1:70" ht="14.25">
      <c r="A46" s="969"/>
      <c r="B46" s="366" t="s">
        <v>213</v>
      </c>
      <c r="C46" s="367">
        <v>34871</v>
      </c>
      <c r="D46" s="368">
        <v>5309</v>
      </c>
      <c r="E46" s="369">
        <v>70</v>
      </c>
      <c r="F46" s="368">
        <v>11016</v>
      </c>
      <c r="G46" s="370">
        <f>SUM(C37:C46)</f>
        <v>343846</v>
      </c>
      <c r="H46" s="370">
        <f>SUM(D37:D46)</f>
        <v>52706</v>
      </c>
      <c r="I46" s="370">
        <f>SUM(E37:E46)</f>
        <v>652.5</v>
      </c>
      <c r="J46" s="370">
        <f>SUM(F37:F46)</f>
        <v>106668</v>
      </c>
      <c r="K46" s="972"/>
      <c r="L46" s="387">
        <f t="shared" si="15"/>
        <v>-4.4944127957931637E-2</v>
      </c>
      <c r="M46" s="388">
        <f t="shared" si="16"/>
        <v>-0.1236381644106966</v>
      </c>
      <c r="N46" s="389">
        <f t="shared" si="17"/>
        <v>0.25</v>
      </c>
      <c r="O46" s="390">
        <f t="shared" si="18"/>
        <v>1.7738359201773836E-2</v>
      </c>
      <c r="P46" s="390">
        <f t="shared" si="19"/>
        <v>-6.4700570135352742E-2</v>
      </c>
      <c r="Q46" s="390">
        <f t="shared" si="20"/>
        <v>-5.6918424678368849E-2</v>
      </c>
      <c r="R46" s="390">
        <f t="shared" si="21"/>
        <v>2.2727272727272728E-2</v>
      </c>
      <c r="S46" s="390">
        <f t="shared" si="22"/>
        <v>3.882899465334385E-2</v>
      </c>
      <c r="AL46">
        <f t="shared" si="24"/>
        <v>2018.7692307692314</v>
      </c>
      <c r="AO46">
        <f t="shared" si="3"/>
        <v>2018.9999999999973</v>
      </c>
      <c r="AP46" s="173">
        <f t="shared" ref="AP46:AQ57" si="25">L50</f>
        <v>-0.12153256134341141</v>
      </c>
      <c r="AQ46" s="173">
        <f t="shared" si="25"/>
        <v>-2.2371364653243847E-3</v>
      </c>
      <c r="AW46" s="969"/>
      <c r="AX46" s="451" t="s">
        <v>439</v>
      </c>
      <c r="AY46" s="367">
        <v>23058</v>
      </c>
      <c r="AZ46" s="425">
        <f>INDEX($BK$16:$BL$19,MATCH($AX46,$BK$16:$BK$19,0),2)</f>
        <v>3.5</v>
      </c>
      <c r="BA46" s="369">
        <f>AY46/2*AZ46*$BS$13/10^3</f>
        <v>126.31277721541525</v>
      </c>
      <c r="BB46" s="370">
        <f>SUM(AY44:AY46)</f>
        <v>56763</v>
      </c>
      <c r="BC46" s="370">
        <f>SUM(BA44:BA46)</f>
        <v>6395.4039012925423</v>
      </c>
      <c r="BD46" s="1023"/>
      <c r="BE46" s="385">
        <f t="shared" si="11"/>
        <v>-0.10042134831460674</v>
      </c>
      <c r="BF46" s="388"/>
      <c r="BG46" s="389">
        <f t="shared" si="12"/>
        <v>-0.10042134831460665</v>
      </c>
      <c r="BH46" s="390">
        <f t="shared" si="13"/>
        <v>-6.959628907210412E-2</v>
      </c>
      <c r="BI46" s="390">
        <f t="shared" si="14"/>
        <v>-4.9887435934281799E-2</v>
      </c>
      <c r="BM46">
        <v>20523</v>
      </c>
      <c r="BN46">
        <v>110</v>
      </c>
      <c r="BO46">
        <f t="shared" ref="BO46:BO47" si="26">BN46*BM46</f>
        <v>2257530</v>
      </c>
      <c r="BP46">
        <f t="shared" ref="BP46:BP47" si="27">BO46/1000</f>
        <v>2257.5300000000002</v>
      </c>
      <c r="BQ46">
        <f t="shared" ref="BQ46:BQ47" si="28">BR46/BP46</f>
        <v>1.9933289923057498E-2</v>
      </c>
      <c r="BR46">
        <v>45</v>
      </c>
    </row>
    <row r="47" spans="1:70" ht="14.25">
      <c r="A47" s="969"/>
      <c r="B47" s="366" t="s">
        <v>216</v>
      </c>
      <c r="C47" s="367">
        <v>26902</v>
      </c>
      <c r="D47" s="368">
        <v>5406</v>
      </c>
      <c r="E47" s="369">
        <v>47</v>
      </c>
      <c r="F47" s="368">
        <v>9102</v>
      </c>
      <c r="G47" s="370">
        <f>SUM(C37:C47)</f>
        <v>370748</v>
      </c>
      <c r="H47" s="370">
        <f>SUM(D37:D47)</f>
        <v>58112</v>
      </c>
      <c r="I47" s="370">
        <f>SUM(E37:E47)</f>
        <v>699.5</v>
      </c>
      <c r="J47" s="370">
        <f>SUM(F37:F47)</f>
        <v>115770</v>
      </c>
      <c r="K47" s="972"/>
      <c r="L47" s="387">
        <f t="shared" si="15"/>
        <v>-0.12113688337144723</v>
      </c>
      <c r="M47" s="388">
        <f t="shared" si="16"/>
        <v>0.1917989417989418</v>
      </c>
      <c r="N47" s="389">
        <f t="shared" si="17"/>
        <v>-0.25396825396825395</v>
      </c>
      <c r="O47" s="390">
        <f t="shared" si="18"/>
        <v>0.11722106296796367</v>
      </c>
      <c r="P47" s="390">
        <f t="shared" si="19"/>
        <v>-6.9038423872921487E-2</v>
      </c>
      <c r="Q47" s="390">
        <f t="shared" si="20"/>
        <v>-3.8247025139433656E-2</v>
      </c>
      <c r="R47" s="390">
        <f t="shared" si="21"/>
        <v>-2.1398002853067048E-3</v>
      </c>
      <c r="S47" s="390">
        <f t="shared" si="22"/>
        <v>4.4591619446349297E-2</v>
      </c>
      <c r="AL47">
        <f t="shared" si="24"/>
        <v>2018.8461538461545</v>
      </c>
      <c r="AO47">
        <f t="shared" si="3"/>
        <v>2019.0833333333305</v>
      </c>
      <c r="AP47" s="173">
        <f t="shared" si="25"/>
        <v>-3.0574550027509237E-2</v>
      </c>
      <c r="AQ47" s="173">
        <f t="shared" si="25"/>
        <v>0.8298453139217471</v>
      </c>
      <c r="AW47" s="969"/>
      <c r="AX47" s="451" t="s">
        <v>440</v>
      </c>
      <c r="AY47" s="367">
        <f>SUM(AY44:AY46)</f>
        <v>56763</v>
      </c>
      <c r="AZ47" s="368"/>
      <c r="BA47" s="369">
        <f>SUM(BA44:BA46)</f>
        <v>6395.4039012925423</v>
      </c>
      <c r="BB47" s="370">
        <f>SUM(AY44:AY46)</f>
        <v>56763</v>
      </c>
      <c r="BC47" s="370">
        <f>SUM(BA44:BA46)</f>
        <v>6395.4039012925423</v>
      </c>
      <c r="BD47" s="1023"/>
      <c r="BE47" s="385">
        <f t="shared" si="11"/>
        <v>-6.959628907210412E-2</v>
      </c>
      <c r="BF47" s="388"/>
      <c r="BG47" s="389">
        <f t="shared" si="12"/>
        <v>-4.9887435934281799E-2</v>
      </c>
      <c r="BH47" s="390">
        <f t="shared" si="13"/>
        <v>-6.959628907210412E-2</v>
      </c>
      <c r="BI47" s="390">
        <f t="shared" si="14"/>
        <v>-4.9887435934281799E-2</v>
      </c>
      <c r="BM47">
        <v>23058</v>
      </c>
      <c r="BN47">
        <v>3.5</v>
      </c>
      <c r="BO47">
        <f t="shared" si="26"/>
        <v>80703</v>
      </c>
      <c r="BP47">
        <f t="shared" si="27"/>
        <v>80.703000000000003</v>
      </c>
      <c r="BQ47">
        <f t="shared" si="28"/>
        <v>2.4782226187378412E-2</v>
      </c>
      <c r="BR47">
        <v>2</v>
      </c>
    </row>
    <row r="48" spans="1:70" ht="15" thickBot="1">
      <c r="A48" s="977"/>
      <c r="B48" s="374" t="s">
        <v>217</v>
      </c>
      <c r="C48" s="375">
        <v>23697</v>
      </c>
      <c r="D48" s="376">
        <v>3108</v>
      </c>
      <c r="E48" s="377">
        <v>54</v>
      </c>
      <c r="F48" s="378">
        <v>9303</v>
      </c>
      <c r="G48" s="370">
        <f>SUM(C37:C48)</f>
        <v>394445</v>
      </c>
      <c r="H48" s="370">
        <f>SUM(D37:D48)</f>
        <v>61220</v>
      </c>
      <c r="I48" s="370">
        <f>SUM(E37:E48)</f>
        <v>753.5</v>
      </c>
      <c r="J48" s="370">
        <f>SUM(F37:F48)</f>
        <v>125073</v>
      </c>
      <c r="K48" s="972"/>
      <c r="L48" s="391">
        <f t="shared" si="15"/>
        <v>-0.13111868881311187</v>
      </c>
      <c r="M48" s="392">
        <f t="shared" si="16"/>
        <v>-0.26576895818568391</v>
      </c>
      <c r="N48" s="393">
        <f t="shared" si="17"/>
        <v>-0.32500000000000001</v>
      </c>
      <c r="O48" s="394">
        <f t="shared" si="18"/>
        <v>1.3729977116704805E-2</v>
      </c>
      <c r="P48" s="394">
        <f t="shared" si="19"/>
        <v>-7.3017402441747065E-2</v>
      </c>
      <c r="Q48" s="394">
        <f t="shared" si="20"/>
        <v>-5.314278643900025E-2</v>
      </c>
      <c r="R48" s="394">
        <f t="shared" si="21"/>
        <v>-3.5211267605633804E-2</v>
      </c>
      <c r="S48" s="394">
        <f t="shared" si="22"/>
        <v>4.2231573684429813E-2</v>
      </c>
      <c r="AL48">
        <f t="shared" si="24"/>
        <v>2018.9230769230776</v>
      </c>
      <c r="AO48">
        <f t="shared" si="3"/>
        <v>2019.1666666666638</v>
      </c>
      <c r="AP48" s="173">
        <f t="shared" si="25"/>
        <v>0.20291378248106404</v>
      </c>
      <c r="AQ48" s="173">
        <f t="shared" si="25"/>
        <v>0.66102826619185395</v>
      </c>
      <c r="AW48" s="969"/>
      <c r="AX48" s="451" t="s">
        <v>437</v>
      </c>
      <c r="AY48" s="367">
        <v>1215</v>
      </c>
      <c r="AZ48" s="368">
        <f>INDEX($BK$16:$BL$19,MATCH($AX48,$BK$16:$BK$19,0),2)</f>
        <v>130</v>
      </c>
      <c r="BA48" s="369">
        <f>AY48/2*AZ48*$BS$13/10^3</f>
        <v>247.21637561397765</v>
      </c>
      <c r="BB48" s="370">
        <f>SUM(AY48)</f>
        <v>1215</v>
      </c>
      <c r="BC48" s="370">
        <f>SUM(BA48)</f>
        <v>247.21637561397765</v>
      </c>
      <c r="BD48" s="1023"/>
      <c r="BE48" s="385">
        <f t="shared" si="11"/>
        <v>-0.18236877523553163</v>
      </c>
      <c r="BF48" s="388"/>
      <c r="BG48" s="389">
        <f t="shared" si="12"/>
        <v>-0.18236877523553172</v>
      </c>
      <c r="BH48" s="390">
        <f t="shared" si="13"/>
        <v>-0.18236877523553163</v>
      </c>
      <c r="BI48" s="390">
        <f t="shared" si="14"/>
        <v>-0.18236877523553172</v>
      </c>
    </row>
    <row r="49" spans="1:69" ht="15" thickBot="1">
      <c r="A49" s="379" t="s">
        <v>21</v>
      </c>
      <c r="B49" s="395">
        <v>2018</v>
      </c>
      <c r="C49" s="381">
        <f>SUM(C37:C48)</f>
        <v>394445</v>
      </c>
      <c r="D49" s="381">
        <f>SUM(D37:D48)</f>
        <v>61220</v>
      </c>
      <c r="E49" s="381">
        <f>SUM(E37:E48)</f>
        <v>753.5</v>
      </c>
      <c r="F49" s="381">
        <f>SUM(F37:F48)</f>
        <v>125073</v>
      </c>
      <c r="G49" s="382">
        <f>G41</f>
        <v>144444</v>
      </c>
      <c r="H49" s="382">
        <f>H41</f>
        <v>21830</v>
      </c>
      <c r="I49" s="382">
        <f>I41</f>
        <v>305.39999999999998</v>
      </c>
      <c r="J49" s="382">
        <f>J41</f>
        <v>48584</v>
      </c>
      <c r="K49" s="973"/>
      <c r="L49" s="396">
        <f t="shared" si="15"/>
        <v>-7.3017402441747065E-2</v>
      </c>
      <c r="M49" s="396">
        <f t="shared" si="16"/>
        <v>-5.314278643900025E-2</v>
      </c>
      <c r="N49" s="397">
        <f t="shared" si="17"/>
        <v>-3.5211267605633804E-2</v>
      </c>
      <c r="O49" s="398">
        <f t="shared" si="18"/>
        <v>4.2231573684429813E-2</v>
      </c>
      <c r="P49" s="398">
        <f t="shared" si="19"/>
        <v>-7.4177813956171443E-2</v>
      </c>
      <c r="Q49" s="398">
        <f t="shared" si="20"/>
        <v>-9.7337082368508104E-2</v>
      </c>
      <c r="R49" s="398">
        <f t="shared" si="21"/>
        <v>-1.1650485436893277E-2</v>
      </c>
      <c r="S49" s="398">
        <f t="shared" si="22"/>
        <v>0.12629821958456974</v>
      </c>
      <c r="AL49">
        <f t="shared" si="24"/>
        <v>2019.0000000000007</v>
      </c>
      <c r="AO49">
        <f t="shared" si="3"/>
        <v>2019.249999999997</v>
      </c>
      <c r="AP49" s="173">
        <f t="shared" si="25"/>
        <v>-0.13440254490025846</v>
      </c>
      <c r="AQ49" s="173">
        <f t="shared" si="25"/>
        <v>-0.22402597402597402</v>
      </c>
      <c r="AW49" s="969"/>
      <c r="AX49" s="451" t="s">
        <v>438</v>
      </c>
      <c r="AY49" s="367">
        <v>1711</v>
      </c>
      <c r="AZ49" s="368">
        <f>INDEX($BK$16:$BL$19,MATCH($AX49,$BK$16:$BK$19,0),2)</f>
        <v>110</v>
      </c>
      <c r="BA49" s="369">
        <f>AY49/2*AZ49*$BS$13/10^3</f>
        <v>294.57799337959312</v>
      </c>
      <c r="BB49" s="370">
        <f>SUM(AY48:AY49)</f>
        <v>2926</v>
      </c>
      <c r="BC49" s="370">
        <f>SUM(BA48:BA49)</f>
        <v>541.79436899357074</v>
      </c>
      <c r="BD49" s="1023"/>
      <c r="BE49" s="385">
        <f t="shared" si="11"/>
        <v>9.4395280235988199E-3</v>
      </c>
      <c r="BF49" s="388"/>
      <c r="BG49" s="389">
        <f t="shared" si="12"/>
        <v>9.4395280235988911E-3</v>
      </c>
      <c r="BH49" s="390">
        <f t="shared" si="13"/>
        <v>-8.0163470606727447E-2</v>
      </c>
      <c r="BI49" s="390">
        <f t="shared" si="14"/>
        <v>-8.816479203434939E-2</v>
      </c>
      <c r="BQ49">
        <f>BP45*44</f>
        <v>92137.76</v>
      </c>
    </row>
    <row r="50" spans="1:69" ht="14.25" customHeight="1">
      <c r="A50" s="969">
        <v>2019</v>
      </c>
      <c r="B50" s="358" t="s">
        <v>191</v>
      </c>
      <c r="C50" s="359">
        <v>23593</v>
      </c>
      <c r="D50" s="360">
        <v>4460</v>
      </c>
      <c r="E50" s="361">
        <v>42</v>
      </c>
      <c r="F50" s="360">
        <v>8947</v>
      </c>
      <c r="G50" s="362">
        <f>C50</f>
        <v>23593</v>
      </c>
      <c r="H50" s="362">
        <f>D50</f>
        <v>4460</v>
      </c>
      <c r="I50" s="362">
        <f>E50</f>
        <v>42</v>
      </c>
      <c r="J50" s="362">
        <f>F50</f>
        <v>8947</v>
      </c>
      <c r="K50" s="971" t="s">
        <v>274</v>
      </c>
      <c r="L50" s="385">
        <f t="shared" si="15"/>
        <v>-0.12153256134341141</v>
      </c>
      <c r="M50" s="385">
        <f t="shared" si="16"/>
        <v>-2.2371364653243847E-3</v>
      </c>
      <c r="N50" s="385">
        <f t="shared" si="17"/>
        <v>-0.34375</v>
      </c>
      <c r="O50" s="386">
        <f t="shared" si="18"/>
        <v>-0.12155130093274423</v>
      </c>
      <c r="P50" s="386">
        <f t="shared" si="19"/>
        <v>-0.12153256134341141</v>
      </c>
      <c r="Q50" s="386">
        <f t="shared" si="20"/>
        <v>-2.2371364653243847E-3</v>
      </c>
      <c r="R50" s="386">
        <f t="shared" si="21"/>
        <v>-0.34375</v>
      </c>
      <c r="S50" s="386">
        <f t="shared" si="22"/>
        <v>-0.12155130093274423</v>
      </c>
      <c r="AL50">
        <f t="shared" si="24"/>
        <v>2019.0769230769238</v>
      </c>
      <c r="AO50">
        <f t="shared" si="3"/>
        <v>2019.3333333333303</v>
      </c>
      <c r="AP50" s="173">
        <f t="shared" si="25"/>
        <v>-9.7556008146639506E-2</v>
      </c>
      <c r="AQ50" s="173">
        <f t="shared" si="25"/>
        <v>0.3135609756097561</v>
      </c>
      <c r="AW50" s="969"/>
      <c r="AX50" s="451" t="s">
        <v>441</v>
      </c>
      <c r="AY50" s="367">
        <f>AY49+AY48</f>
        <v>2926</v>
      </c>
      <c r="AZ50" s="368"/>
      <c r="BA50" s="369">
        <f>SUM(BA48:BA49)</f>
        <v>541.79436899357074</v>
      </c>
      <c r="BB50" s="370">
        <f>SUM(AY50)</f>
        <v>2926</v>
      </c>
      <c r="BC50" s="370">
        <f>SUM(BA50)</f>
        <v>541.79436899357074</v>
      </c>
      <c r="BD50" s="1023"/>
      <c r="BE50" s="385">
        <f t="shared" si="11"/>
        <v>-8.0163470606727447E-2</v>
      </c>
      <c r="BF50" s="388"/>
      <c r="BG50" s="389">
        <f t="shared" si="12"/>
        <v>-8.816479203434939E-2</v>
      </c>
      <c r="BH50" s="390">
        <f t="shared" si="13"/>
        <v>-8.0163470606727447E-2</v>
      </c>
      <c r="BI50" s="390">
        <f t="shared" si="14"/>
        <v>-8.816479203434939E-2</v>
      </c>
      <c r="BQ50">
        <f t="shared" ref="BQ50:BQ51" si="29">BP46*44</f>
        <v>99331.32</v>
      </c>
    </row>
    <row r="51" spans="1:69" ht="14.25">
      <c r="A51" s="969"/>
      <c r="B51" s="366" t="s">
        <v>195</v>
      </c>
      <c r="C51" s="367">
        <v>24668</v>
      </c>
      <c r="D51" s="368">
        <v>4022</v>
      </c>
      <c r="E51" s="369">
        <v>52</v>
      </c>
      <c r="F51" s="368">
        <v>7634</v>
      </c>
      <c r="G51" s="370">
        <f>SUM(C50:C51)</f>
        <v>48261</v>
      </c>
      <c r="H51" s="370">
        <f>SUM(D50:D51)</f>
        <v>8482</v>
      </c>
      <c r="I51" s="370">
        <f>SUM(E50:E51)</f>
        <v>94</v>
      </c>
      <c r="J51" s="370">
        <f>SUM(F50:F51)</f>
        <v>16581</v>
      </c>
      <c r="K51" s="972"/>
      <c r="L51" s="387">
        <f t="shared" si="15"/>
        <v>-3.0574550027509237E-2</v>
      </c>
      <c r="M51" s="388">
        <f t="shared" si="16"/>
        <v>0.8298453139217471</v>
      </c>
      <c r="N51" s="389">
        <f t="shared" si="17"/>
        <v>-0.14754098360655737</v>
      </c>
      <c r="O51" s="390">
        <f t="shared" si="18"/>
        <v>-4.884126588587092E-2</v>
      </c>
      <c r="P51" s="390">
        <f t="shared" si="19"/>
        <v>-7.728046192379022E-2</v>
      </c>
      <c r="Q51" s="390">
        <f t="shared" si="20"/>
        <v>0.27204559088182362</v>
      </c>
      <c r="R51" s="390">
        <f t="shared" si="21"/>
        <v>-0.248</v>
      </c>
      <c r="S51" s="390">
        <f t="shared" si="22"/>
        <v>-8.9506342320575472E-2</v>
      </c>
      <c r="AL51">
        <f t="shared" si="24"/>
        <v>2019.1538461538469</v>
      </c>
      <c r="AO51">
        <f t="shared" si="3"/>
        <v>2019.4166666666636</v>
      </c>
      <c r="AP51" s="173">
        <f t="shared" si="25"/>
        <v>-0.13777858684627989</v>
      </c>
      <c r="AQ51" s="173">
        <f t="shared" si="25"/>
        <v>1.6680294358135731E-2</v>
      </c>
      <c r="AW51" s="969"/>
      <c r="AX51" s="452" t="s">
        <v>437</v>
      </c>
      <c r="AY51" s="453">
        <f>AY44+AY48</f>
        <v>16108</v>
      </c>
      <c r="AZ51" s="368">
        <f>INDEX($BK$16:$BL$19,MATCH($AX51,$BK$16:$BK$19,0),2)</f>
        <v>130</v>
      </c>
      <c r="BA51" s="369">
        <f>AY51/2*AZ51*$BS$13/10^3</f>
        <v>3277.4990768641578</v>
      </c>
      <c r="BB51" s="370">
        <f>SUM(AY51)</f>
        <v>16108</v>
      </c>
      <c r="BC51" s="370">
        <f>SUM(BA51)</f>
        <v>3277.4990768641578</v>
      </c>
      <c r="BD51" s="1023"/>
      <c r="BE51" s="385">
        <f t="shared" si="11"/>
        <v>-7.7434135166093931E-2</v>
      </c>
      <c r="BF51" s="388"/>
      <c r="BG51" s="389">
        <f t="shared" si="12"/>
        <v>-7.7434135166093876E-2</v>
      </c>
      <c r="BH51" s="390">
        <f t="shared" si="13"/>
        <v>-7.7434135166093931E-2</v>
      </c>
      <c r="BI51" s="390">
        <f t="shared" si="14"/>
        <v>-7.7434135166093876E-2</v>
      </c>
      <c r="BQ51">
        <f t="shared" si="29"/>
        <v>3550.9320000000002</v>
      </c>
    </row>
    <row r="52" spans="1:69" ht="14.25">
      <c r="A52" s="969"/>
      <c r="B52" s="366" t="s">
        <v>15</v>
      </c>
      <c r="C52" s="367">
        <v>33192</v>
      </c>
      <c r="D52" s="368">
        <v>7463</v>
      </c>
      <c r="E52" s="369">
        <v>60</v>
      </c>
      <c r="F52" s="368">
        <v>8747</v>
      </c>
      <c r="G52" s="370">
        <f>SUM(C50:C52)</f>
        <v>81453</v>
      </c>
      <c r="H52" s="370">
        <f>SUM(D50:D52)</f>
        <v>15945</v>
      </c>
      <c r="I52" s="370">
        <f>SUM(E50:E52)</f>
        <v>154</v>
      </c>
      <c r="J52" s="370">
        <f>SUM(F50:F52)</f>
        <v>25328</v>
      </c>
      <c r="K52" s="972"/>
      <c r="L52" s="387">
        <f t="shared" si="15"/>
        <v>0.20291378248106404</v>
      </c>
      <c r="M52" s="388">
        <f t="shared" si="16"/>
        <v>0.66102826619185395</v>
      </c>
      <c r="N52" s="389">
        <f t="shared" si="17"/>
        <v>0</v>
      </c>
      <c r="O52" s="390">
        <f t="shared" si="18"/>
        <v>-5.5603541351759878E-2</v>
      </c>
      <c r="P52" s="390">
        <f t="shared" si="19"/>
        <v>1.9487834184439772E-2</v>
      </c>
      <c r="Q52" s="390">
        <f t="shared" si="20"/>
        <v>0.4286354269330705</v>
      </c>
      <c r="R52" s="390">
        <f t="shared" si="21"/>
        <v>-0.16756756756756758</v>
      </c>
      <c r="S52" s="390">
        <f t="shared" si="22"/>
        <v>-7.8076657081498205E-2</v>
      </c>
      <c r="AL52">
        <f t="shared" si="24"/>
        <v>2019.23076923077</v>
      </c>
      <c r="AO52">
        <f t="shared" si="3"/>
        <v>2019.4999999999968</v>
      </c>
      <c r="AP52" s="173">
        <f t="shared" si="25"/>
        <v>-0.14761389036108485</v>
      </c>
      <c r="AQ52" s="173">
        <f t="shared" si="25"/>
        <v>-8.5789705235371758E-2</v>
      </c>
      <c r="AW52" s="969"/>
      <c r="AX52" s="452" t="s">
        <v>438</v>
      </c>
      <c r="AY52" s="453">
        <f>AY45+AY49</f>
        <v>20523</v>
      </c>
      <c r="AZ52" s="368">
        <f>INDEX($BK$16:$BL$19,MATCH($AX52,$BK$16:$BK$19,0),2)</f>
        <v>110</v>
      </c>
      <c r="BA52" s="369">
        <f>AY52/2*AZ52*$BS$13/10^3</f>
        <v>3533.3864162065397</v>
      </c>
      <c r="BB52" s="370">
        <f>SUM(AY51:AY52)</f>
        <v>36631</v>
      </c>
      <c r="BC52" s="370">
        <f>SUM(BA51:BA52)</f>
        <v>6810.8854930706975</v>
      </c>
      <c r="BD52" s="1023"/>
      <c r="BE52" s="385">
        <f t="shared" si="11"/>
        <v>-2.7253768129680538E-2</v>
      </c>
      <c r="BF52" s="388"/>
      <c r="BG52" s="389">
        <f t="shared" si="12"/>
        <v>-2.7253768129680441E-2</v>
      </c>
      <c r="BH52" s="390">
        <f t="shared" si="13"/>
        <v>-4.9976658540380726E-2</v>
      </c>
      <c r="BI52" s="390">
        <f t="shared" si="14"/>
        <v>-5.206531636525219E-2</v>
      </c>
    </row>
    <row r="53" spans="1:69" ht="15" thickBot="1">
      <c r="A53" s="969"/>
      <c r="B53" s="366" t="s">
        <v>16</v>
      </c>
      <c r="C53" s="367">
        <v>26122</v>
      </c>
      <c r="D53" s="368">
        <v>4302</v>
      </c>
      <c r="E53" s="369">
        <v>57.1</v>
      </c>
      <c r="F53" s="368">
        <v>9211</v>
      </c>
      <c r="G53" s="370">
        <f>SUM(C50:C53)</f>
        <v>107575</v>
      </c>
      <c r="H53" s="370">
        <f>SUM(D50:D53)</f>
        <v>20247</v>
      </c>
      <c r="I53" s="370">
        <f>SUM(E50:E53)</f>
        <v>211.1</v>
      </c>
      <c r="J53" s="370">
        <f>SUM(F50:F53)</f>
        <v>34539</v>
      </c>
      <c r="K53" s="972"/>
      <c r="L53" s="387">
        <f t="shared" si="15"/>
        <v>-0.13440254490025846</v>
      </c>
      <c r="M53" s="388">
        <f t="shared" si="16"/>
        <v>-0.22402597402597402</v>
      </c>
      <c r="N53" s="389">
        <f t="shared" si="17"/>
        <v>2.5134649910233366E-2</v>
      </c>
      <c r="O53" s="390">
        <f t="shared" si="18"/>
        <v>-1.5813655305053957E-2</v>
      </c>
      <c r="P53" s="390">
        <f t="shared" si="19"/>
        <v>-2.2702908952159456E-2</v>
      </c>
      <c r="Q53" s="390">
        <f t="shared" si="20"/>
        <v>0.21203232565100269</v>
      </c>
      <c r="R53" s="390">
        <f t="shared" si="21"/>
        <v>-0.1229746572496884</v>
      </c>
      <c r="S53" s="390">
        <f t="shared" si="22"/>
        <v>-6.225564726324935E-2</v>
      </c>
      <c r="AL53">
        <f t="shared" si="24"/>
        <v>2019.3076923076931</v>
      </c>
      <c r="AO53">
        <f t="shared" si="3"/>
        <v>2019.5833333333301</v>
      </c>
      <c r="AP53" s="173">
        <f t="shared" si="25"/>
        <v>-0.15543385770078327</v>
      </c>
      <c r="AQ53" s="173">
        <f t="shared" si="25"/>
        <v>-8.4347953645298512E-2</v>
      </c>
      <c r="AW53" s="970"/>
      <c r="AX53" s="452" t="s">
        <v>439</v>
      </c>
      <c r="AY53" s="453">
        <f>AY46</f>
        <v>23058</v>
      </c>
      <c r="AZ53" s="425">
        <f>INDEX($BK$16:$BL$19,MATCH($AX53,$BK$16:$BK$19,0),2)</f>
        <v>3.5</v>
      </c>
      <c r="BA53" s="369">
        <f>AY53/2*AZ53*$BS$13/10^3</f>
        <v>126.31277721541525</v>
      </c>
      <c r="BB53" s="370">
        <f>SUM(AY51:AY53)</f>
        <v>59689</v>
      </c>
      <c r="BC53" s="370">
        <f>SUM(BA51:BA53)</f>
        <v>6937.1982702861123</v>
      </c>
      <c r="BD53" s="1023"/>
      <c r="BE53" s="385">
        <f t="shared" si="11"/>
        <v>-0.10042134831460674</v>
      </c>
      <c r="BF53" s="388"/>
      <c r="BG53" s="389">
        <f t="shared" si="12"/>
        <v>-0.10042134831460665</v>
      </c>
      <c r="BH53" s="390">
        <f t="shared" si="13"/>
        <v>-7.011995637949836E-2</v>
      </c>
      <c r="BI53" s="390">
        <f t="shared" si="14"/>
        <v>-5.2992206469168968E-2</v>
      </c>
    </row>
    <row r="54" spans="1:69" ht="15" thickBot="1">
      <c r="A54" s="969"/>
      <c r="B54" s="366" t="s">
        <v>17</v>
      </c>
      <c r="C54" s="367">
        <v>31017</v>
      </c>
      <c r="D54" s="368">
        <v>6732</v>
      </c>
      <c r="E54" s="369">
        <v>56.9</v>
      </c>
      <c r="F54" s="368">
        <v>10210</v>
      </c>
      <c r="G54" s="370">
        <f>SUM(C50:C54)</f>
        <v>138592</v>
      </c>
      <c r="H54" s="370">
        <f>SUM(D50:D54)</f>
        <v>26979</v>
      </c>
      <c r="I54" s="370">
        <f>SUM(E50:E54)</f>
        <v>268</v>
      </c>
      <c r="J54" s="370">
        <f>SUM(F50:F54)</f>
        <v>44749</v>
      </c>
      <c r="K54" s="972"/>
      <c r="L54" s="387">
        <f t="shared" si="15"/>
        <v>-9.7556008146639506E-2</v>
      </c>
      <c r="M54" s="388">
        <f t="shared" si="16"/>
        <v>0.3135609756097561</v>
      </c>
      <c r="N54" s="389">
        <f t="shared" si="17"/>
        <v>-0.12055641421947456</v>
      </c>
      <c r="O54" s="390">
        <f t="shared" si="18"/>
        <v>-0.13121170864533696</v>
      </c>
      <c r="P54" s="390">
        <f t="shared" si="19"/>
        <v>-4.0513970812217887E-2</v>
      </c>
      <c r="Q54" s="390">
        <f t="shared" si="20"/>
        <v>0.2358680714612918</v>
      </c>
      <c r="R54" s="390">
        <f t="shared" si="21"/>
        <v>-0.12246234446627367</v>
      </c>
      <c r="S54" s="390">
        <f t="shared" si="22"/>
        <v>-7.8935452000658657E-2</v>
      </c>
      <c r="AL54">
        <f t="shared" si="24"/>
        <v>2019.3846153846162</v>
      </c>
      <c r="AO54">
        <f t="shared" si="3"/>
        <v>2019.6666666666633</v>
      </c>
      <c r="AP54" s="173">
        <f t="shared" si="25"/>
        <v>-0.13365718627876683</v>
      </c>
      <c r="AQ54" s="173">
        <f t="shared" si="25"/>
        <v>-0.22025447042640992</v>
      </c>
      <c r="AW54" s="379" t="s">
        <v>21</v>
      </c>
      <c r="AX54" s="395">
        <f>AW44</f>
        <v>2019</v>
      </c>
      <c r="AY54" s="381">
        <f>SUM(AY51:AY53)</f>
        <v>59689</v>
      </c>
      <c r="AZ54" s="381"/>
      <c r="BA54" s="381">
        <f>SUM(BA51:BA53)</f>
        <v>6937.1982702861123</v>
      </c>
      <c r="BB54" s="382">
        <f>BB53</f>
        <v>59689</v>
      </c>
      <c r="BC54" s="382">
        <f>BC53</f>
        <v>6937.1982702861123</v>
      </c>
      <c r="BD54" s="1024"/>
      <c r="BE54" s="396">
        <f t="shared" si="11"/>
        <v>-7.011995637949836E-2</v>
      </c>
      <c r="BF54" s="396"/>
      <c r="BG54" s="397">
        <f t="shared" si="12"/>
        <v>-5.2992206469168968E-2</v>
      </c>
      <c r="BH54" s="398">
        <f t="shared" si="13"/>
        <v>-7.011995637949836E-2</v>
      </c>
      <c r="BI54" s="398">
        <f t="shared" si="14"/>
        <v>-5.2992206469168968E-2</v>
      </c>
    </row>
    <row r="55" spans="1:69" ht="14.25">
      <c r="A55" s="969"/>
      <c r="B55" s="366" t="s">
        <v>18</v>
      </c>
      <c r="C55" s="367">
        <v>33155</v>
      </c>
      <c r="D55" s="368">
        <v>6217</v>
      </c>
      <c r="E55" s="369">
        <v>43.7</v>
      </c>
      <c r="F55" s="368">
        <v>11291</v>
      </c>
      <c r="G55" s="370">
        <f>SUM(C50:C55)</f>
        <v>171747</v>
      </c>
      <c r="H55" s="370">
        <f>SUM(D50:D55)</f>
        <v>33196</v>
      </c>
      <c r="I55" s="370">
        <f>SUM(E50:E55)</f>
        <v>311.7</v>
      </c>
      <c r="J55" s="370">
        <f>SUM(F50:F55)</f>
        <v>56040</v>
      </c>
      <c r="K55" s="972"/>
      <c r="L55" s="387">
        <f t="shared" si="15"/>
        <v>-0.13777858684627989</v>
      </c>
      <c r="M55" s="388">
        <f t="shared" si="16"/>
        <v>1.6680294358135731E-2</v>
      </c>
      <c r="N55" s="389">
        <f t="shared" si="17"/>
        <v>-0.36204379562043792</v>
      </c>
      <c r="O55" s="390">
        <f t="shared" si="18"/>
        <v>-1.5262515262515262E-2</v>
      </c>
      <c r="P55" s="390">
        <f t="shared" si="19"/>
        <v>-6.0963274411280667E-2</v>
      </c>
      <c r="Q55" s="390">
        <f t="shared" si="20"/>
        <v>0.18790481302558598</v>
      </c>
      <c r="R55" s="390">
        <f t="shared" si="21"/>
        <v>-0.16635464027814922</v>
      </c>
      <c r="S55" s="390">
        <f t="shared" si="22"/>
        <v>-6.6777685262281436E-2</v>
      </c>
      <c r="AL55">
        <f t="shared" si="24"/>
        <v>2019.4615384615392</v>
      </c>
      <c r="AO55">
        <f t="shared" si="3"/>
        <v>2019.7499999999966</v>
      </c>
      <c r="AP55" s="173">
        <f t="shared" si="25"/>
        <v>-0.15456969975050902</v>
      </c>
      <c r="AQ55" s="173">
        <f t="shared" si="25"/>
        <v>-0.15031079299303071</v>
      </c>
      <c r="AW55" s="976">
        <v>2020</v>
      </c>
      <c r="AX55" s="450" t="s">
        <v>437</v>
      </c>
      <c r="AY55" s="359">
        <v>7614</v>
      </c>
      <c r="AZ55" s="360">
        <f>INDEX($BK$16:$BL$19,MATCH($AX55,$BK$16:$BK$19,0),2)</f>
        <v>130</v>
      </c>
      <c r="BA55" s="361">
        <f>AY55/2*AZ55*$BS$13/10^3</f>
        <v>1549.2226205142599</v>
      </c>
      <c r="BB55" s="362">
        <f>AY55</f>
        <v>7614</v>
      </c>
      <c r="BC55" s="362">
        <f>BA55</f>
        <v>1549.2226205142599</v>
      </c>
      <c r="BD55" s="1052" t="str">
        <f>"Milli áranna "&amp; AW44&amp;" og "&amp; AW55</f>
        <v>Milli áranna 2019 og 2020</v>
      </c>
      <c r="BE55" s="385">
        <f t="shared" si="11"/>
        <v>-0.4887531054857987</v>
      </c>
      <c r="BF55" s="385"/>
      <c r="BG55" s="385">
        <f t="shared" si="12"/>
        <v>-0.4887531054857987</v>
      </c>
      <c r="BH55" s="386">
        <f t="shared" si="13"/>
        <v>-0.4887531054857987</v>
      </c>
      <c r="BI55" s="386">
        <f t="shared" si="14"/>
        <v>-0.4887531054857987</v>
      </c>
    </row>
    <row r="56" spans="1:69" ht="14.25">
      <c r="A56" s="969"/>
      <c r="B56" s="366" t="s">
        <v>19</v>
      </c>
      <c r="C56" s="367">
        <v>36991</v>
      </c>
      <c r="D56" s="368">
        <v>6234</v>
      </c>
      <c r="E56" s="369">
        <v>59.5</v>
      </c>
      <c r="F56" s="368">
        <v>12324</v>
      </c>
      <c r="G56" s="370">
        <f>SUM(C50:C56)</f>
        <v>208738</v>
      </c>
      <c r="H56" s="370">
        <f>SUM(D50:D56)</f>
        <v>39430</v>
      </c>
      <c r="I56" s="370">
        <f>SUM(E50:E56)</f>
        <v>371.2</v>
      </c>
      <c r="J56" s="370">
        <f>SUM(F50:F56)</f>
        <v>68364</v>
      </c>
      <c r="K56" s="972"/>
      <c r="L56" s="387">
        <f t="shared" ref="L56:L87" si="30">(C56-C43)/C43</f>
        <v>-0.14761389036108485</v>
      </c>
      <c r="M56" s="388">
        <f t="shared" ref="M56:M87" si="31">(D56-D43)/D43</f>
        <v>-8.5789705235371758E-2</v>
      </c>
      <c r="N56" s="389">
        <f t="shared" ref="N56:N87" si="32">(E56-E43)/E43</f>
        <v>-0.13517441860465113</v>
      </c>
      <c r="O56" s="390">
        <f t="shared" ref="O56:O87" si="33">(F56-F43)/F43</f>
        <v>-1.6675975424878323E-2</v>
      </c>
      <c r="P56" s="390">
        <f t="shared" ref="P56:P87" si="34">(G56-G43)/G43</f>
        <v>-7.75804926334768E-2</v>
      </c>
      <c r="Q56" s="390">
        <f t="shared" ref="Q56:Q87" si="35">(H56-H43)/H43</f>
        <v>0.13421930732942125</v>
      </c>
      <c r="R56" s="390">
        <f t="shared" ref="R56:R87" si="36">(I56-I43)/I43</f>
        <v>-0.16150892252089452</v>
      </c>
      <c r="S56" s="390">
        <f t="shared" ref="S56:S87" si="37">(J56-J43)/J43</f>
        <v>-5.8126558560544481E-2</v>
      </c>
      <c r="AL56">
        <f t="shared" si="24"/>
        <v>2019.5384615384623</v>
      </c>
      <c r="AO56">
        <f>AO55+$AO$2</f>
        <v>2019.8333333333298</v>
      </c>
      <c r="AP56" s="173">
        <f t="shared" si="25"/>
        <v>-4.1335216712512078E-2</v>
      </c>
      <c r="AQ56" s="173">
        <f t="shared" si="25"/>
        <v>-2.8671846096929337E-2</v>
      </c>
      <c r="AW56" s="969"/>
      <c r="AX56" s="451" t="s">
        <v>438</v>
      </c>
      <c r="AY56" s="367">
        <v>15319</v>
      </c>
      <c r="AZ56" s="368">
        <f>INDEX($BK$16:$BL$19,MATCH($AX56,$BK$16:$BK$19,0),2)</f>
        <v>110</v>
      </c>
      <c r="BA56" s="369">
        <f>AY56/2*AZ56*$BS$13/10^3</f>
        <v>2637.4285684289812</v>
      </c>
      <c r="BB56" s="370">
        <f>SUM(AY55:AY56)</f>
        <v>22933</v>
      </c>
      <c r="BC56" s="370">
        <f>SUM(BA55:BA56)</f>
        <v>4186.6511889432413</v>
      </c>
      <c r="BD56" s="1023"/>
      <c r="BE56" s="385">
        <f t="shared" si="11"/>
        <v>-0.1856793536040825</v>
      </c>
      <c r="BF56" s="388"/>
      <c r="BG56" s="389">
        <f t="shared" si="12"/>
        <v>-0.18567935360408255</v>
      </c>
      <c r="BH56" s="390">
        <f t="shared" si="13"/>
        <v>-0.31959649903575138</v>
      </c>
      <c r="BI56" s="390">
        <f t="shared" si="14"/>
        <v>-0.33217573232203446</v>
      </c>
    </row>
    <row r="57" spans="1:69" ht="14.25">
      <c r="A57" s="969"/>
      <c r="B57" s="366" t="s">
        <v>20</v>
      </c>
      <c r="C57" s="367">
        <v>38709</v>
      </c>
      <c r="D57" s="368">
        <v>6242</v>
      </c>
      <c r="E57" s="369">
        <v>66.099999999999994</v>
      </c>
      <c r="F57" s="368">
        <v>12709</v>
      </c>
      <c r="G57" s="370">
        <f>SUM(C50:C57)</f>
        <v>247447</v>
      </c>
      <c r="H57" s="370">
        <f>SUM(D50:D57)</f>
        <v>45672</v>
      </c>
      <c r="I57" s="370">
        <f>SUM(E50:E57)</f>
        <v>437.29999999999995</v>
      </c>
      <c r="J57" s="370">
        <f>SUM(F50:F57)</f>
        <v>81073</v>
      </c>
      <c r="K57" s="972"/>
      <c r="L57" s="387">
        <f t="shared" si="30"/>
        <v>-0.15543385770078327</v>
      </c>
      <c r="M57" s="388">
        <f t="shared" si="31"/>
        <v>-8.4347953645298512E-2</v>
      </c>
      <c r="N57" s="389">
        <f t="shared" si="32"/>
        <v>-0.16855345911949693</v>
      </c>
      <c r="O57" s="390">
        <f t="shared" si="33"/>
        <v>6.9781144781144777E-2</v>
      </c>
      <c r="P57" s="390">
        <f t="shared" si="34"/>
        <v>-9.0692948513010463E-2</v>
      </c>
      <c r="Q57" s="390">
        <f t="shared" si="35"/>
        <v>9.8386282196195371E-2</v>
      </c>
      <c r="R57" s="390">
        <f t="shared" si="36"/>
        <v>-0.16258138644197642</v>
      </c>
      <c r="S57" s="390">
        <f t="shared" si="37"/>
        <v>-4.0135917502338303E-2</v>
      </c>
      <c r="AL57">
        <f t="shared" si="24"/>
        <v>2019.6153846153854</v>
      </c>
      <c r="AO57">
        <f>AO56+$AO$2</f>
        <v>2019.9166666666631</v>
      </c>
      <c r="AP57" s="173">
        <f t="shared" si="25"/>
        <v>-8.0600919947672697E-2</v>
      </c>
      <c r="AQ57" s="173">
        <f t="shared" si="25"/>
        <v>-0.13481338481338481</v>
      </c>
      <c r="AW57" s="969"/>
      <c r="AX57" s="451" t="s">
        <v>439</v>
      </c>
      <c r="AY57" s="367">
        <v>16164</v>
      </c>
      <c r="AZ57" s="425">
        <f>INDEX($BK$16:$BL$19,MATCH($AX57,$BK$16:$BK$19,0),2)</f>
        <v>3.5</v>
      </c>
      <c r="BA57" s="369">
        <f>AY57/2*AZ57*$BS$13/10^3</f>
        <v>88.547130319627556</v>
      </c>
      <c r="BB57" s="370">
        <f>SUM(AY55:AY57)</f>
        <v>39097</v>
      </c>
      <c r="BC57" s="370">
        <f>SUM(BA55:BA57)</f>
        <v>4275.1983192628686</v>
      </c>
      <c r="BD57" s="1023"/>
      <c r="BE57" s="385">
        <f t="shared" si="11"/>
        <v>-0.29898516783762685</v>
      </c>
      <c r="BF57" s="388"/>
      <c r="BG57" s="389">
        <f t="shared" si="12"/>
        <v>-0.29898516783762685</v>
      </c>
      <c r="BH57" s="390">
        <f t="shared" si="13"/>
        <v>-0.31122386061342777</v>
      </c>
      <c r="BI57" s="390">
        <f t="shared" si="14"/>
        <v>-0.3315202002489897</v>
      </c>
    </row>
    <row r="58" spans="1:69" ht="14.25">
      <c r="A58" s="969"/>
      <c r="B58" s="366" t="s">
        <v>211</v>
      </c>
      <c r="C58" s="367">
        <v>31923</v>
      </c>
      <c r="D58" s="368">
        <v>4535</v>
      </c>
      <c r="E58" s="369">
        <v>54.3</v>
      </c>
      <c r="F58" s="368">
        <v>11360</v>
      </c>
      <c r="G58" s="370">
        <f>SUM(C50:C58)</f>
        <v>279370</v>
      </c>
      <c r="H58" s="370">
        <f>SUM(D50:D58)</f>
        <v>50207</v>
      </c>
      <c r="I58" s="370">
        <f>SUM(E50:E58)</f>
        <v>491.59999999999997</v>
      </c>
      <c r="J58" s="370">
        <f>SUM(F50:F58)</f>
        <v>92433</v>
      </c>
      <c r="K58" s="972"/>
      <c r="L58" s="387">
        <f t="shared" si="30"/>
        <v>-0.13365718627876683</v>
      </c>
      <c r="M58" s="388">
        <f t="shared" si="31"/>
        <v>-0.22025447042640992</v>
      </c>
      <c r="N58" s="389">
        <f t="shared" si="32"/>
        <v>-9.950248756218906E-2</v>
      </c>
      <c r="O58" s="390">
        <f t="shared" si="33"/>
        <v>1.5282867101617661E-2</v>
      </c>
      <c r="P58" s="390">
        <f t="shared" si="34"/>
        <v>-9.5816813658062952E-2</v>
      </c>
      <c r="Q58" s="390">
        <f t="shared" si="35"/>
        <v>5.9286452729075678E-2</v>
      </c>
      <c r="R58" s="390">
        <f t="shared" si="36"/>
        <v>-0.15605150214592281</v>
      </c>
      <c r="S58" s="390">
        <f t="shared" si="37"/>
        <v>-3.3653243005896373E-2</v>
      </c>
      <c r="AL58">
        <f t="shared" si="24"/>
        <v>2019.6923076923085</v>
      </c>
      <c r="AO58">
        <f t="shared" si="3"/>
        <v>2019.9999999999964</v>
      </c>
      <c r="AP58" s="173">
        <f t="shared" ref="AP58:AQ65" si="38">L63</f>
        <v>-0.13431950154706904</v>
      </c>
      <c r="AQ58" s="173">
        <f t="shared" si="38"/>
        <v>-0.41278026905829596</v>
      </c>
      <c r="AW58" s="969"/>
      <c r="AX58" s="451" t="s">
        <v>440</v>
      </c>
      <c r="AY58" s="367">
        <f>SUM(AY55:AY57)</f>
        <v>39097</v>
      </c>
      <c r="AZ58" s="368"/>
      <c r="BA58" s="369">
        <f>SUM(BA55:BA57)</f>
        <v>4275.1983192628686</v>
      </c>
      <c r="BB58" s="370">
        <f>SUM(AY55:AY57)</f>
        <v>39097</v>
      </c>
      <c r="BC58" s="370">
        <f>SUM(BA55:BA57)</f>
        <v>4275.1983192628686</v>
      </c>
      <c r="BD58" s="1023"/>
      <c r="BE58" s="385">
        <f t="shared" si="11"/>
        <v>-0.31122386061342777</v>
      </c>
      <c r="BF58" s="388"/>
      <c r="BG58" s="389">
        <f t="shared" si="12"/>
        <v>-0.3315202002489897</v>
      </c>
      <c r="BH58" s="390">
        <f t="shared" si="13"/>
        <v>-0.31122386061342777</v>
      </c>
      <c r="BI58" s="390">
        <f t="shared" si="14"/>
        <v>-0.3315202002489897</v>
      </c>
    </row>
    <row r="59" spans="1:69" ht="14.25">
      <c r="A59" s="969"/>
      <c r="B59" s="366" t="s">
        <v>213</v>
      </c>
      <c r="C59" s="367">
        <v>29481</v>
      </c>
      <c r="D59" s="368">
        <v>4511</v>
      </c>
      <c r="E59" s="369">
        <v>54</v>
      </c>
      <c r="F59" s="368">
        <v>11792</v>
      </c>
      <c r="G59" s="370">
        <f>SUM(C50:C59)</f>
        <v>308851</v>
      </c>
      <c r="H59" s="370">
        <f>SUM(D50:D59)</f>
        <v>54718</v>
      </c>
      <c r="I59" s="370">
        <f>SUM(E50:E59)</f>
        <v>545.59999999999991</v>
      </c>
      <c r="J59" s="370">
        <f>SUM(F50:F59)</f>
        <v>104225</v>
      </c>
      <c r="K59" s="972"/>
      <c r="L59" s="387">
        <f t="shared" si="30"/>
        <v>-0.15456969975050902</v>
      </c>
      <c r="M59" s="388">
        <f t="shared" si="31"/>
        <v>-0.15031079299303071</v>
      </c>
      <c r="N59" s="389">
        <f t="shared" si="32"/>
        <v>-0.22857142857142856</v>
      </c>
      <c r="O59" s="390">
        <f t="shared" si="33"/>
        <v>7.0442992011619465E-2</v>
      </c>
      <c r="P59" s="390">
        <f t="shared" si="34"/>
        <v>-0.1017752133222431</v>
      </c>
      <c r="Q59" s="390">
        <f t="shared" si="35"/>
        <v>3.817402193298676E-2</v>
      </c>
      <c r="R59" s="390">
        <f t="shared" si="36"/>
        <v>-0.16383141762452122</v>
      </c>
      <c r="S59" s="390">
        <f t="shared" si="37"/>
        <v>-2.290283871451607E-2</v>
      </c>
      <c r="AL59">
        <f t="shared" si="24"/>
        <v>2019.7692307692316</v>
      </c>
      <c r="AO59">
        <f t="shared" si="3"/>
        <v>2020.0833333333296</v>
      </c>
      <c r="AP59" s="173">
        <f t="shared" si="38"/>
        <v>-0.10738608723852765</v>
      </c>
      <c r="AQ59" s="173">
        <f t="shared" si="38"/>
        <v>-0.15116857284932869</v>
      </c>
      <c r="AW59" s="969"/>
      <c r="AX59" s="451" t="s">
        <v>437</v>
      </c>
      <c r="AY59" s="367">
        <v>489</v>
      </c>
      <c r="AZ59" s="368">
        <f>INDEX($BK$16:$BL$19,MATCH($AX59,$BK$16:$BK$19,0),2)</f>
        <v>130</v>
      </c>
      <c r="BA59" s="369">
        <f>AY59/2*AZ59*$BS$13/10^3</f>
        <v>99.496961049576186</v>
      </c>
      <c r="BB59" s="370">
        <f>SUM(AY59)</f>
        <v>489</v>
      </c>
      <c r="BC59" s="370">
        <f>SUM(BA59)</f>
        <v>99.496961049576186</v>
      </c>
      <c r="BD59" s="1023"/>
      <c r="BE59" s="385">
        <f t="shared" si="11"/>
        <v>-0.59753086419753088</v>
      </c>
      <c r="BF59" s="388"/>
      <c r="BG59" s="389">
        <f t="shared" si="12"/>
        <v>-0.59753086419753088</v>
      </c>
      <c r="BH59" s="390">
        <f t="shared" si="13"/>
        <v>-0.59753086419753088</v>
      </c>
      <c r="BI59" s="390">
        <f t="shared" si="14"/>
        <v>-0.59753086419753088</v>
      </c>
    </row>
    <row r="60" spans="1:69" ht="14.25">
      <c r="A60" s="969"/>
      <c r="B60" s="366" t="s">
        <v>216</v>
      </c>
      <c r="C60" s="367">
        <v>25790</v>
      </c>
      <c r="D60" s="368">
        <v>5251</v>
      </c>
      <c r="E60" s="369">
        <v>50</v>
      </c>
      <c r="F60" s="368">
        <v>10453</v>
      </c>
      <c r="G60" s="370">
        <f>SUM(C50:C60)</f>
        <v>334641</v>
      </c>
      <c r="H60" s="370">
        <f>SUM(D50:D60)</f>
        <v>59969</v>
      </c>
      <c r="I60" s="370">
        <f>SUM(E50:E60)</f>
        <v>595.59999999999991</v>
      </c>
      <c r="J60" s="370">
        <f>SUM(F50:F60)</f>
        <v>114678</v>
      </c>
      <c r="K60" s="972"/>
      <c r="L60" s="387">
        <f t="shared" si="30"/>
        <v>-4.1335216712512078E-2</v>
      </c>
      <c r="M60" s="388">
        <f t="shared" si="31"/>
        <v>-2.8671846096929337E-2</v>
      </c>
      <c r="N60" s="389">
        <f t="shared" si="32"/>
        <v>6.3829787234042548E-2</v>
      </c>
      <c r="O60" s="390">
        <f t="shared" si="33"/>
        <v>0.14842891672159964</v>
      </c>
      <c r="P60" s="390">
        <f t="shared" si="34"/>
        <v>-9.738960156224713E-2</v>
      </c>
      <c r="Q60" s="390">
        <f t="shared" si="35"/>
        <v>3.1955534140969161E-2</v>
      </c>
      <c r="R60" s="390">
        <f t="shared" si="36"/>
        <v>-0.1485346676197285</v>
      </c>
      <c r="S60" s="390">
        <f t="shared" si="37"/>
        <v>-9.4324954651464118E-3</v>
      </c>
      <c r="AL60">
        <f t="shared" si="24"/>
        <v>2019.8461538461547</v>
      </c>
      <c r="AO60">
        <f t="shared" si="3"/>
        <v>2020.1666666666629</v>
      </c>
      <c r="AP60" s="173">
        <f t="shared" si="38"/>
        <v>-0.58902747650036158</v>
      </c>
      <c r="AQ60" s="173">
        <f t="shared" si="38"/>
        <v>-0.49175934610746347</v>
      </c>
      <c r="AW60" s="969"/>
      <c r="AX60" s="451" t="s">
        <v>438</v>
      </c>
      <c r="AY60" s="367">
        <v>975</v>
      </c>
      <c r="AZ60" s="368">
        <f>INDEX($BK$16:$BL$19,MATCH($AX60,$BK$16:$BK$19,0),2)</f>
        <v>110</v>
      </c>
      <c r="BA60" s="369">
        <f>AY60/2*AZ60*$BS$13/10^3</f>
        <v>167.86297109591072</v>
      </c>
      <c r="BB60" s="370">
        <f>SUM(AY59:AY60)</f>
        <v>1464</v>
      </c>
      <c r="BC60" s="370">
        <f>SUM(BA59:BA60)</f>
        <v>267.35993214548694</v>
      </c>
      <c r="BD60" s="1023"/>
      <c r="BE60" s="385">
        <f t="shared" si="11"/>
        <v>-0.43015780245470486</v>
      </c>
      <c r="BF60" s="388"/>
      <c r="BG60" s="389">
        <f t="shared" si="12"/>
        <v>-0.43015780245470497</v>
      </c>
      <c r="BH60" s="390">
        <f t="shared" si="13"/>
        <v>-0.49965823650034175</v>
      </c>
      <c r="BI60" s="390">
        <f t="shared" si="14"/>
        <v>-0.50652877282181652</v>
      </c>
    </row>
    <row r="61" spans="1:69" ht="15" thickBot="1">
      <c r="A61" s="977"/>
      <c r="B61" s="374" t="s">
        <v>217</v>
      </c>
      <c r="C61" s="375">
        <v>21787</v>
      </c>
      <c r="D61" s="376">
        <v>2689</v>
      </c>
      <c r="E61" s="377">
        <v>58</v>
      </c>
      <c r="F61" s="378">
        <v>9476</v>
      </c>
      <c r="G61" s="370">
        <f>SUM(C50:C61)</f>
        <v>356428</v>
      </c>
      <c r="H61" s="370">
        <f>SUM(D50:D61)</f>
        <v>62658</v>
      </c>
      <c r="I61" s="370">
        <f>SUM(E50:E61)</f>
        <v>653.59999999999991</v>
      </c>
      <c r="J61" s="370">
        <f>SUM(F50:F61)</f>
        <v>124154</v>
      </c>
      <c r="K61" s="972"/>
      <c r="L61" s="391">
        <f t="shared" si="30"/>
        <v>-8.0600919947672697E-2</v>
      </c>
      <c r="M61" s="392">
        <f t="shared" si="31"/>
        <v>-0.13481338481338481</v>
      </c>
      <c r="N61" s="393">
        <f t="shared" si="32"/>
        <v>7.407407407407407E-2</v>
      </c>
      <c r="O61" s="394">
        <f t="shared" si="33"/>
        <v>1.8596151778996022E-2</v>
      </c>
      <c r="P61" s="394">
        <f t="shared" si="34"/>
        <v>-9.638099101268871E-2</v>
      </c>
      <c r="Q61" s="394">
        <f t="shared" si="35"/>
        <v>2.3489055864096699E-2</v>
      </c>
      <c r="R61" s="394">
        <f t="shared" si="36"/>
        <v>-0.13258128732581301</v>
      </c>
      <c r="S61" s="394">
        <f t="shared" si="37"/>
        <v>-7.3477089379802192E-3</v>
      </c>
      <c r="AL61">
        <f t="shared" si="24"/>
        <v>2019.9230769230778</v>
      </c>
      <c r="AO61">
        <f t="shared" si="3"/>
        <v>2020.2499999999961</v>
      </c>
      <c r="AP61" s="173">
        <f t="shared" si="38"/>
        <v>-0.88588163234055584</v>
      </c>
      <c r="AQ61" s="173">
        <f t="shared" si="38"/>
        <v>-0.63319386331938632</v>
      </c>
      <c r="AW61" s="969"/>
      <c r="AX61" s="451" t="s">
        <v>441</v>
      </c>
      <c r="AY61" s="367">
        <f>AY60+AY59</f>
        <v>1464</v>
      </c>
      <c r="AZ61" s="368"/>
      <c r="BA61" s="369">
        <f>SUM(BA59:BA60)</f>
        <v>267.35993214548694</v>
      </c>
      <c r="BB61" s="370">
        <f>SUM(AY61)</f>
        <v>1464</v>
      </c>
      <c r="BC61" s="370">
        <f>SUM(BA61)</f>
        <v>267.35993214548694</v>
      </c>
      <c r="BD61" s="1023"/>
      <c r="BE61" s="385">
        <f t="shared" si="11"/>
        <v>-0.49965823650034175</v>
      </c>
      <c r="BF61" s="388"/>
      <c r="BG61" s="389">
        <f t="shared" si="12"/>
        <v>-0.50652877282181652</v>
      </c>
      <c r="BH61" s="390">
        <f t="shared" si="13"/>
        <v>-0.49965823650034175</v>
      </c>
      <c r="BI61" s="390">
        <f t="shared" si="14"/>
        <v>-0.50652877282181652</v>
      </c>
    </row>
    <row r="62" spans="1:69" ht="15" thickBot="1">
      <c r="A62" s="379" t="s">
        <v>21</v>
      </c>
      <c r="B62" s="395">
        <v>2019</v>
      </c>
      <c r="C62" s="381">
        <f>SUM(C50:C61)</f>
        <v>356428</v>
      </c>
      <c r="D62" s="381">
        <f>SUM(D50:D61)</f>
        <v>62658</v>
      </c>
      <c r="E62" s="381">
        <f>SUM(E50:E61)</f>
        <v>653.59999999999991</v>
      </c>
      <c r="F62" s="381">
        <f>SUM(F50:F61)</f>
        <v>124154</v>
      </c>
      <c r="G62" s="382">
        <f>G54</f>
        <v>138592</v>
      </c>
      <c r="H62" s="382">
        <f>H54</f>
        <v>26979</v>
      </c>
      <c r="I62" s="382">
        <f>I54</f>
        <v>268</v>
      </c>
      <c r="J62" s="382">
        <f>J54</f>
        <v>44749</v>
      </c>
      <c r="K62" s="973"/>
      <c r="L62" s="396">
        <f t="shared" si="30"/>
        <v>-9.638099101268871E-2</v>
      </c>
      <c r="M62" s="396">
        <f t="shared" si="31"/>
        <v>2.3489055864096699E-2</v>
      </c>
      <c r="N62" s="397">
        <f t="shared" si="32"/>
        <v>-0.13258128732581301</v>
      </c>
      <c r="O62" s="398">
        <f t="shared" si="33"/>
        <v>-7.3477089379802192E-3</v>
      </c>
      <c r="P62" s="398">
        <f t="shared" si="34"/>
        <v>-4.0513970812217887E-2</v>
      </c>
      <c r="Q62" s="398">
        <f t="shared" si="35"/>
        <v>0.2358680714612918</v>
      </c>
      <c r="R62" s="398">
        <f t="shared" si="36"/>
        <v>-0.12246234446627367</v>
      </c>
      <c r="S62" s="398">
        <f t="shared" si="37"/>
        <v>-7.8935452000658657E-2</v>
      </c>
      <c r="AL62">
        <f t="shared" si="24"/>
        <v>2020.0000000000009</v>
      </c>
      <c r="AO62">
        <f t="shared" si="3"/>
        <v>2020.3333333333294</v>
      </c>
      <c r="AP62" s="173">
        <f t="shared" si="38"/>
        <v>-0.75645613695715253</v>
      </c>
      <c r="AQ62" s="173">
        <f t="shared" si="38"/>
        <v>-0.42498514557338085</v>
      </c>
      <c r="AW62" s="969"/>
      <c r="AX62" s="452" t="s">
        <v>437</v>
      </c>
      <c r="AY62" s="453">
        <f>AY55+AY59</f>
        <v>8103</v>
      </c>
      <c r="AZ62" s="368">
        <f>INDEX($BK$16:$BL$19,MATCH($AX62,$BK$16:$BK$19,0),2)</f>
        <v>130</v>
      </c>
      <c r="BA62" s="369">
        <f>AY62/2*AZ62*$BS$13/10^3</f>
        <v>1648.7195815638363</v>
      </c>
      <c r="BB62" s="370">
        <f>SUM(AY62)</f>
        <v>8103</v>
      </c>
      <c r="BC62" s="370">
        <f>SUM(BA62)</f>
        <v>1648.7195815638363</v>
      </c>
      <c r="BD62" s="1023"/>
      <c r="BE62" s="385">
        <f t="shared" si="11"/>
        <v>-0.49695803327539112</v>
      </c>
      <c r="BF62" s="388"/>
      <c r="BG62" s="389">
        <f t="shared" si="12"/>
        <v>-0.49695803327539101</v>
      </c>
      <c r="BH62" s="390">
        <f t="shared" si="13"/>
        <v>-0.49695803327539112</v>
      </c>
      <c r="BI62" s="390">
        <f t="shared" si="14"/>
        <v>-0.49695803327539101</v>
      </c>
    </row>
    <row r="63" spans="1:69" ht="14.25" customHeight="1">
      <c r="A63" s="969">
        <v>2020</v>
      </c>
      <c r="B63" s="358" t="s">
        <v>191</v>
      </c>
      <c r="C63" s="359">
        <v>20424</v>
      </c>
      <c r="D63" s="360">
        <v>2619</v>
      </c>
      <c r="E63" s="361">
        <v>43</v>
      </c>
      <c r="F63" s="360">
        <v>9112</v>
      </c>
      <c r="G63" s="362">
        <f>C63</f>
        <v>20424</v>
      </c>
      <c r="H63" s="362">
        <f>D63</f>
        <v>2619</v>
      </c>
      <c r="I63" s="362">
        <f>E63</f>
        <v>43</v>
      </c>
      <c r="J63" s="362">
        <f>F63</f>
        <v>9112</v>
      </c>
      <c r="K63" s="971" t="s">
        <v>275</v>
      </c>
      <c r="L63" s="385">
        <f t="shared" si="30"/>
        <v>-0.13431950154706904</v>
      </c>
      <c r="M63" s="385">
        <f t="shared" si="31"/>
        <v>-0.41278026905829596</v>
      </c>
      <c r="N63" s="385">
        <f t="shared" si="32"/>
        <v>2.3809523809523808E-2</v>
      </c>
      <c r="O63" s="386">
        <f t="shared" si="33"/>
        <v>1.8441935844417123E-2</v>
      </c>
      <c r="P63" s="386">
        <f t="shared" si="34"/>
        <v>-0.13431950154706904</v>
      </c>
      <c r="Q63" s="386">
        <f t="shared" si="35"/>
        <v>-0.41278026905829596</v>
      </c>
      <c r="R63" s="386">
        <f t="shared" si="36"/>
        <v>2.3809523809523808E-2</v>
      </c>
      <c r="S63" s="386">
        <f t="shared" si="37"/>
        <v>1.8441935844417123E-2</v>
      </c>
      <c r="AL63">
        <f t="shared" si="24"/>
        <v>2020.076923076924</v>
      </c>
      <c r="AO63">
        <f t="shared" si="3"/>
        <v>2020.4166666666626</v>
      </c>
      <c r="AP63" s="173">
        <f t="shared" si="38"/>
        <v>-0.50502186698838791</v>
      </c>
      <c r="AQ63" s="173">
        <f t="shared" si="38"/>
        <v>-0.34775615248512143</v>
      </c>
      <c r="AW63" s="969"/>
      <c r="AX63" s="452" t="s">
        <v>438</v>
      </c>
      <c r="AY63" s="453">
        <f>AY56+AY60</f>
        <v>16294</v>
      </c>
      <c r="AZ63" s="368">
        <f>INDEX($BK$16:$BL$19,MATCH($AX63,$BK$16:$BK$19,0),2)</f>
        <v>110</v>
      </c>
      <c r="BA63" s="369">
        <f>AY63/2*AZ63*$BS$13/10^3</f>
        <v>2805.291539524892</v>
      </c>
      <c r="BB63" s="370">
        <f>SUM(AY62:AY63)</f>
        <v>24397</v>
      </c>
      <c r="BC63" s="370">
        <f>SUM(BA62:BA63)</f>
        <v>4454.011121088728</v>
      </c>
      <c r="BD63" s="1023"/>
      <c r="BE63" s="385">
        <f t="shared" si="11"/>
        <v>-0.20606149198460263</v>
      </c>
      <c r="BF63" s="388"/>
      <c r="BG63" s="389">
        <f t="shared" si="12"/>
        <v>-0.20606149198460263</v>
      </c>
      <c r="BH63" s="390">
        <f t="shared" si="13"/>
        <v>-0.3339794163413502</v>
      </c>
      <c r="BI63" s="390">
        <f t="shared" si="14"/>
        <v>-0.34604522046066133</v>
      </c>
    </row>
    <row r="64" spans="1:69" ht="15" thickBot="1">
      <c r="A64" s="969"/>
      <c r="B64" s="366" t="s">
        <v>195</v>
      </c>
      <c r="C64" s="367">
        <v>22019</v>
      </c>
      <c r="D64" s="368">
        <v>3414</v>
      </c>
      <c r="E64" s="369">
        <v>45</v>
      </c>
      <c r="F64" s="368">
        <v>9970</v>
      </c>
      <c r="G64" s="370">
        <f>SUM(C63:C64)</f>
        <v>42443</v>
      </c>
      <c r="H64" s="370">
        <f>SUM(D63:D64)</f>
        <v>6033</v>
      </c>
      <c r="I64" s="370">
        <f>SUM(E63:E64)</f>
        <v>88</v>
      </c>
      <c r="J64" s="370">
        <f>SUM(F63:F64)</f>
        <v>19082</v>
      </c>
      <c r="K64" s="972"/>
      <c r="L64" s="387">
        <f t="shared" si="30"/>
        <v>-0.10738608723852765</v>
      </c>
      <c r="M64" s="388">
        <f t="shared" si="31"/>
        <v>-0.15116857284932869</v>
      </c>
      <c r="N64" s="389">
        <f t="shared" si="32"/>
        <v>-0.13461538461538461</v>
      </c>
      <c r="O64" s="390">
        <f t="shared" si="33"/>
        <v>0.30599947602829447</v>
      </c>
      <c r="P64" s="390">
        <f t="shared" si="34"/>
        <v>-0.12055282733470089</v>
      </c>
      <c r="Q64" s="390">
        <f t="shared" si="35"/>
        <v>-0.2887290733317614</v>
      </c>
      <c r="R64" s="390">
        <f t="shared" si="36"/>
        <v>-6.3829787234042548E-2</v>
      </c>
      <c r="S64" s="390">
        <f t="shared" si="37"/>
        <v>0.15083529340811772</v>
      </c>
      <c r="AL64">
        <f t="shared" si="24"/>
        <v>2020.1538461538471</v>
      </c>
      <c r="AO64">
        <f t="shared" si="3"/>
        <v>2020.4999999999959</v>
      </c>
      <c r="AP64" s="173">
        <f t="shared" si="38"/>
        <v>-0.44959584763861482</v>
      </c>
      <c r="AQ64" s="173">
        <f t="shared" si="38"/>
        <v>-8.2451074751363485E-2</v>
      </c>
      <c r="AW64" s="970"/>
      <c r="AX64" s="452" t="s">
        <v>439</v>
      </c>
      <c r="AY64" s="453">
        <f>AY57</f>
        <v>16164</v>
      </c>
      <c r="AZ64" s="425">
        <f>INDEX($BK$16:$BL$19,MATCH($AX64,$BK$16:$BK$19,0),2)</f>
        <v>3.5</v>
      </c>
      <c r="BA64" s="369">
        <f>AY64/2*AZ64*$BS$13/10^3</f>
        <v>88.547130319627556</v>
      </c>
      <c r="BB64" s="370">
        <f>SUM(AY62:AY64)</f>
        <v>40561</v>
      </c>
      <c r="BC64" s="370">
        <f>SUM(BA62:BA64)</f>
        <v>4542.5582514083553</v>
      </c>
      <c r="BD64" s="1023"/>
      <c r="BE64" s="385">
        <f t="shared" si="11"/>
        <v>-0.29898516783762685</v>
      </c>
      <c r="BF64" s="388"/>
      <c r="BG64" s="389">
        <f t="shared" si="12"/>
        <v>-0.29898516783762685</v>
      </c>
      <c r="BH64" s="390">
        <f t="shared" si="13"/>
        <v>-0.3204610564760676</v>
      </c>
      <c r="BI64" s="390">
        <f t="shared" si="14"/>
        <v>-0.34518834918336483</v>
      </c>
    </row>
    <row r="65" spans="1:71" ht="15" thickBot="1">
      <c r="A65" s="969"/>
      <c r="B65" s="366" t="s">
        <v>15</v>
      </c>
      <c r="C65" s="367">
        <v>13641</v>
      </c>
      <c r="D65" s="368">
        <v>3793</v>
      </c>
      <c r="E65" s="369">
        <v>42</v>
      </c>
      <c r="F65" s="368">
        <v>6839</v>
      </c>
      <c r="G65" s="370">
        <f>SUM(C63:C65)</f>
        <v>56084</v>
      </c>
      <c r="H65" s="370">
        <f>SUM(D63:D65)</f>
        <v>9826</v>
      </c>
      <c r="I65" s="370">
        <f>SUM(E63:E65)</f>
        <v>130</v>
      </c>
      <c r="J65" s="370">
        <f>SUM(F63:F65)</f>
        <v>25921</v>
      </c>
      <c r="K65" s="972"/>
      <c r="L65" s="387">
        <f t="shared" si="30"/>
        <v>-0.58902747650036158</v>
      </c>
      <c r="M65" s="388">
        <f t="shared" si="31"/>
        <v>-0.49175934610746347</v>
      </c>
      <c r="N65" s="389">
        <f t="shared" si="32"/>
        <v>-0.3</v>
      </c>
      <c r="O65" s="390">
        <f t="shared" si="33"/>
        <v>-0.21813193094775352</v>
      </c>
      <c r="P65" s="390">
        <f t="shared" si="34"/>
        <v>-0.31145568610118718</v>
      </c>
      <c r="Q65" s="390">
        <f t="shared" si="35"/>
        <v>-0.38375666353088744</v>
      </c>
      <c r="R65" s="390">
        <f t="shared" si="36"/>
        <v>-0.15584415584415584</v>
      </c>
      <c r="S65" s="390">
        <f t="shared" si="37"/>
        <v>2.341282375236892E-2</v>
      </c>
      <c r="AL65">
        <f t="shared" si="24"/>
        <v>2020.2307692307702</v>
      </c>
      <c r="AO65">
        <f t="shared" si="3"/>
        <v>2020.5833333333292</v>
      </c>
      <c r="AP65" s="173">
        <f t="shared" si="38"/>
        <v>-0.56351236146632566</v>
      </c>
      <c r="AQ65" s="173">
        <f t="shared" si="38"/>
        <v>-0.26497917334187759</v>
      </c>
      <c r="AW65" s="379" t="s">
        <v>21</v>
      </c>
      <c r="AX65" s="395">
        <f>AW55</f>
        <v>2020</v>
      </c>
      <c r="AY65" s="381">
        <f>SUM(AY62:AY64)</f>
        <v>40561</v>
      </c>
      <c r="AZ65" s="381"/>
      <c r="BA65" s="381">
        <f>SUM(BA62:BA64)</f>
        <v>4542.5582514083553</v>
      </c>
      <c r="BB65" s="382">
        <f>BB64</f>
        <v>40561</v>
      </c>
      <c r="BC65" s="382">
        <f>BC64</f>
        <v>4542.5582514083553</v>
      </c>
      <c r="BD65" s="1024"/>
      <c r="BE65" s="396">
        <f t="shared" si="11"/>
        <v>-0.3204610564760676</v>
      </c>
      <c r="BF65" s="396"/>
      <c r="BG65" s="397">
        <f t="shared" si="12"/>
        <v>-0.34518834918336483</v>
      </c>
      <c r="BH65" s="398">
        <f t="shared" si="13"/>
        <v>-0.3204610564760676</v>
      </c>
      <c r="BI65" s="398">
        <f t="shared" si="14"/>
        <v>-0.34518834918336483</v>
      </c>
    </row>
    <row r="66" spans="1:71" ht="14.25">
      <c r="A66" s="969"/>
      <c r="B66" s="366" t="s">
        <v>16</v>
      </c>
      <c r="C66" s="367">
        <v>2981</v>
      </c>
      <c r="D66" s="368">
        <v>1578</v>
      </c>
      <c r="E66" s="369">
        <v>30.2</v>
      </c>
      <c r="F66" s="368">
        <v>1295</v>
      </c>
      <c r="G66" s="370">
        <f>SUM(C63:C66)</f>
        <v>59065</v>
      </c>
      <c r="H66" s="370">
        <f>SUM(D63:D66)</f>
        <v>11404</v>
      </c>
      <c r="I66" s="370">
        <f>SUM(E63:E66)</f>
        <v>160.19999999999999</v>
      </c>
      <c r="J66" s="370">
        <f>SUM(F63:F66)</f>
        <v>27216</v>
      </c>
      <c r="K66" s="972"/>
      <c r="L66" s="387">
        <f t="shared" si="30"/>
        <v>-0.88588163234055584</v>
      </c>
      <c r="M66" s="388">
        <f t="shared" si="31"/>
        <v>-0.63319386331938632</v>
      </c>
      <c r="N66" s="389">
        <f t="shared" si="32"/>
        <v>-0.47110332749562173</v>
      </c>
      <c r="O66" s="390">
        <f t="shared" si="33"/>
        <v>-0.85940723048528933</v>
      </c>
      <c r="P66" s="390">
        <f t="shared" si="34"/>
        <v>-0.45094120381129443</v>
      </c>
      <c r="Q66" s="390">
        <f t="shared" si="35"/>
        <v>-0.43675606262656197</v>
      </c>
      <c r="R66" s="390">
        <f t="shared" si="36"/>
        <v>-0.24111795357650406</v>
      </c>
      <c r="S66" s="390">
        <f t="shared" si="37"/>
        <v>-0.21202119343350995</v>
      </c>
      <c r="AL66">
        <f t="shared" si="24"/>
        <v>2020.3076923076933</v>
      </c>
      <c r="AO66">
        <f t="shared" si="3"/>
        <v>2020.6666666666624</v>
      </c>
      <c r="AP66" s="173">
        <f t="shared" ref="AP66:AP73" si="39">L71</f>
        <v>-0.51708799298311559</v>
      </c>
      <c r="AQ66" s="173">
        <f t="shared" ref="AQ66:AQ73" si="40">M71</f>
        <v>-0.22183020948180815</v>
      </c>
      <c r="AW66" s="976">
        <v>2021</v>
      </c>
      <c r="AX66" s="450" t="s">
        <v>437</v>
      </c>
      <c r="AY66" s="359">
        <v>16047</v>
      </c>
      <c r="AZ66" s="360">
        <f>INDEX($BK$16:$BL$19,MATCH($AX66,$BK$16:$BK$19,0),2)</f>
        <v>130</v>
      </c>
      <c r="BA66" s="361">
        <f>AY66/2*AZ66*$BS$13/10^3</f>
        <v>3265.0873905164603</v>
      </c>
      <c r="BB66" s="362">
        <f>AY66</f>
        <v>16047</v>
      </c>
      <c r="BC66" s="362">
        <f>BA66</f>
        <v>3265.0873905164603</v>
      </c>
      <c r="BD66" s="1052" t="str">
        <f>"Milli áranna "&amp; AW55&amp;" og "&amp; AW66</f>
        <v>Milli áranna 2020 og 2021</v>
      </c>
      <c r="BE66" s="385">
        <f>(AY66-AY55)/AY55</f>
        <v>1.1075650118203311</v>
      </c>
      <c r="BF66" s="385"/>
      <c r="BG66" s="385">
        <f t="shared" ref="BG66:BG76" si="41">(BA66-BA55)/BA55</f>
        <v>1.1075650118203311</v>
      </c>
      <c r="BH66" s="386">
        <f t="shared" ref="BH66:BH76" si="42">(BB66-BB55)/BB55</f>
        <v>1.1075650118203311</v>
      </c>
      <c r="BI66" s="386">
        <f t="shared" ref="BI66:BI76" si="43">(BC66-BC55)/BC55</f>
        <v>1.1075650118203311</v>
      </c>
    </row>
    <row r="67" spans="1:71" ht="14.25">
      <c r="A67" s="969"/>
      <c r="B67" s="366" t="s">
        <v>17</v>
      </c>
      <c r="C67" s="367">
        <v>7554</v>
      </c>
      <c r="D67" s="368">
        <v>3871</v>
      </c>
      <c r="E67" s="369">
        <v>36.799999999999997</v>
      </c>
      <c r="F67" s="368">
        <v>1713</v>
      </c>
      <c r="G67" s="370">
        <f>SUM(C63:C67)</f>
        <v>66619</v>
      </c>
      <c r="H67" s="370">
        <f>SUM(D63:D67)</f>
        <v>15275</v>
      </c>
      <c r="I67" s="370">
        <f>SUM(E63:E67)</f>
        <v>197</v>
      </c>
      <c r="J67" s="370">
        <f>SUM(F63:F67)</f>
        <v>28929</v>
      </c>
      <c r="K67" s="972"/>
      <c r="L67" s="387">
        <f t="shared" si="30"/>
        <v>-0.75645613695715253</v>
      </c>
      <c r="M67" s="388">
        <f t="shared" si="31"/>
        <v>-0.42498514557338085</v>
      </c>
      <c r="N67" s="389">
        <f t="shared" si="32"/>
        <v>-0.35325131810193328</v>
      </c>
      <c r="O67" s="390">
        <f t="shared" si="33"/>
        <v>-0.8322233104799216</v>
      </c>
      <c r="P67" s="390">
        <f t="shared" si="34"/>
        <v>-0.51931568921727089</v>
      </c>
      <c r="Q67" s="390">
        <f t="shared" si="35"/>
        <v>-0.43381889617850922</v>
      </c>
      <c r="R67" s="390">
        <f t="shared" si="36"/>
        <v>-0.26492537313432835</v>
      </c>
      <c r="S67" s="390">
        <f t="shared" si="37"/>
        <v>-0.35352745312744421</v>
      </c>
      <c r="AL67">
        <f t="shared" si="24"/>
        <v>2020.3846153846164</v>
      </c>
      <c r="AO67">
        <f t="shared" si="3"/>
        <v>2020.7499999999957</v>
      </c>
      <c r="AP67" s="173">
        <f t="shared" si="39"/>
        <v>-0.70960957905091415</v>
      </c>
      <c r="AQ67" s="173">
        <f t="shared" si="40"/>
        <v>-0.39414763910441142</v>
      </c>
      <c r="AW67" s="969"/>
      <c r="AX67" s="451" t="s">
        <v>438</v>
      </c>
      <c r="AY67" s="367">
        <v>17036</v>
      </c>
      <c r="AZ67" s="368">
        <f>INDEX($BK$16:$BL$19,MATCH($AX67,$BK$16:$BK$19,0),2)</f>
        <v>110</v>
      </c>
      <c r="BA67" s="369">
        <f>AY67/2*AZ67*$BS$13/10^3</f>
        <v>2933.0395647076261</v>
      </c>
      <c r="BB67" s="370">
        <f>SUM(AY66:AY67)</f>
        <v>33083</v>
      </c>
      <c r="BC67" s="370">
        <f>SUM(BA66:BA67)</f>
        <v>6198.1269552240865</v>
      </c>
      <c r="BD67" s="1023"/>
      <c r="BE67" s="385">
        <f t="shared" ref="BE67:BE76" si="44">(AY67-AY56)/AY56</f>
        <v>0.1120830341406097</v>
      </c>
      <c r="BF67" s="388"/>
      <c r="BG67" s="389">
        <f t="shared" si="41"/>
        <v>0.11208303414060973</v>
      </c>
      <c r="BH67" s="390">
        <f t="shared" si="42"/>
        <v>0.44259364234945275</v>
      </c>
      <c r="BI67" s="390">
        <f t="shared" si="43"/>
        <v>0.48044980952630179</v>
      </c>
    </row>
    <row r="68" spans="1:71" ht="14.25">
      <c r="A68" s="969"/>
      <c r="B68" s="366" t="s">
        <v>18</v>
      </c>
      <c r="C68" s="367">
        <v>16411</v>
      </c>
      <c r="D68" s="368">
        <v>4055</v>
      </c>
      <c r="E68" s="369">
        <v>40</v>
      </c>
      <c r="F68" s="368">
        <v>2603</v>
      </c>
      <c r="G68" s="370">
        <f>SUM(C63:C68)</f>
        <v>83030</v>
      </c>
      <c r="H68" s="370">
        <f>SUM(D63:D68)</f>
        <v>19330</v>
      </c>
      <c r="I68" s="370">
        <f>SUM(E63:E68)</f>
        <v>237</v>
      </c>
      <c r="J68" s="370">
        <f>SUM(F63:F68)</f>
        <v>31532</v>
      </c>
      <c r="K68" s="972"/>
      <c r="L68" s="387">
        <f t="shared" si="30"/>
        <v>-0.50502186698838791</v>
      </c>
      <c r="M68" s="388">
        <f t="shared" si="31"/>
        <v>-0.34775615248512143</v>
      </c>
      <c r="N68" s="389">
        <f t="shared" si="32"/>
        <v>-8.4668192219679694E-2</v>
      </c>
      <c r="O68" s="390">
        <f t="shared" si="33"/>
        <v>-0.76946240368435037</v>
      </c>
      <c r="P68" s="390">
        <f t="shared" si="34"/>
        <v>-0.51655632995045042</v>
      </c>
      <c r="Q68" s="390">
        <f t="shared" si="35"/>
        <v>-0.41770092782262924</v>
      </c>
      <c r="R68" s="390">
        <f t="shared" si="36"/>
        <v>-0.23965351299326274</v>
      </c>
      <c r="S68" s="390">
        <f t="shared" si="37"/>
        <v>-0.43733047822983584</v>
      </c>
      <c r="AL68">
        <f t="shared" si="24"/>
        <v>2020.4615384615395</v>
      </c>
      <c r="AO68">
        <f t="shared" si="3"/>
        <v>2020.8333333333289</v>
      </c>
      <c r="AP68" s="173">
        <f t="shared" si="39"/>
        <v>-0.70383869716944547</v>
      </c>
      <c r="AQ68" s="173">
        <f t="shared" si="40"/>
        <v>-0.56636831079794325</v>
      </c>
      <c r="AW68" s="969"/>
      <c r="AX68" s="451" t="s">
        <v>439</v>
      </c>
      <c r="AY68" s="367">
        <v>13614</v>
      </c>
      <c r="AZ68" s="425">
        <f>INDEX($BK$16:$BL$19,MATCH($AX68,$BK$16:$BK$19,0),2)</f>
        <v>3.5</v>
      </c>
      <c r="BA68" s="369">
        <f>AY68/2*AZ68*$BS$13/10^3</f>
        <v>74.578113843813995</v>
      </c>
      <c r="BB68" s="370">
        <f>SUM(AY66:AY68)</f>
        <v>46697</v>
      </c>
      <c r="BC68" s="370">
        <f>SUM(BA66:BA68)</f>
        <v>6272.7050690679007</v>
      </c>
      <c r="BD68" s="1023"/>
      <c r="BE68" s="385">
        <f t="shared" si="44"/>
        <v>-0.15775798069784708</v>
      </c>
      <c r="BF68" s="388"/>
      <c r="BG68" s="389">
        <f t="shared" si="41"/>
        <v>-0.15775798069784716</v>
      </c>
      <c r="BH68" s="390">
        <f t="shared" si="42"/>
        <v>0.19438831623909764</v>
      </c>
      <c r="BI68" s="390">
        <f t="shared" si="43"/>
        <v>0.46723136580701197</v>
      </c>
      <c r="BQ68" t="s">
        <v>625</v>
      </c>
      <c r="BR68" t="s">
        <v>626</v>
      </c>
    </row>
    <row r="69" spans="1:71" ht="14.25">
      <c r="A69" s="969"/>
      <c r="B69" s="366" t="s">
        <v>19</v>
      </c>
      <c r="C69" s="367">
        <v>20360</v>
      </c>
      <c r="D69" s="368">
        <v>5720</v>
      </c>
      <c r="E69" s="369">
        <v>43.8</v>
      </c>
      <c r="F69" s="368">
        <v>3221</v>
      </c>
      <c r="G69" s="370">
        <f>SUM(C63:C69)</f>
        <v>103390</v>
      </c>
      <c r="H69" s="370">
        <f>SUM(D63:D69)</f>
        <v>25050</v>
      </c>
      <c r="I69" s="370">
        <f>SUM(E63:E69)</f>
        <v>280.8</v>
      </c>
      <c r="J69" s="370">
        <f>SUM(F63:F69)</f>
        <v>34753</v>
      </c>
      <c r="K69" s="972"/>
      <c r="L69" s="387">
        <f t="shared" si="30"/>
        <v>-0.44959584763861482</v>
      </c>
      <c r="M69" s="388">
        <f t="shared" si="31"/>
        <v>-8.2451074751363485E-2</v>
      </c>
      <c r="N69" s="389">
        <f t="shared" si="32"/>
        <v>-0.26386554621848746</v>
      </c>
      <c r="O69" s="390">
        <f t="shared" si="33"/>
        <v>-0.7386400519311912</v>
      </c>
      <c r="P69" s="390">
        <f t="shared" si="34"/>
        <v>-0.50469008996924369</v>
      </c>
      <c r="Q69" s="390">
        <f t="shared" si="35"/>
        <v>-0.36469693127060615</v>
      </c>
      <c r="R69" s="390">
        <f t="shared" si="36"/>
        <v>-0.24353448275862064</v>
      </c>
      <c r="S69" s="390">
        <f t="shared" si="37"/>
        <v>-0.49164765081036804</v>
      </c>
      <c r="AL69">
        <f t="shared" si="24"/>
        <v>2020.5384615384626</v>
      </c>
      <c r="AO69">
        <f t="shared" si="3"/>
        <v>2020.9166666666622</v>
      </c>
      <c r="AP69" s="173">
        <f t="shared" si="39"/>
        <v>-0.43484646807729382</v>
      </c>
      <c r="AQ69" s="173">
        <f t="shared" si="40"/>
        <v>-0.11342506507995537</v>
      </c>
      <c r="AW69" s="969"/>
      <c r="AX69" s="451" t="s">
        <v>440</v>
      </c>
      <c r="AY69" s="367">
        <f>SUM(AY66:AY68)</f>
        <v>46697</v>
      </c>
      <c r="AZ69" s="368"/>
      <c r="BA69" s="369">
        <f>SUM(BA66:BA68)</f>
        <v>6272.7050690679007</v>
      </c>
      <c r="BB69" s="370">
        <f>SUM(AY66:AY68)</f>
        <v>46697</v>
      </c>
      <c r="BC69" s="370">
        <f>SUM(BA66:BA68)</f>
        <v>6272.7050690679007</v>
      </c>
      <c r="BD69" s="1023"/>
      <c r="BE69" s="385">
        <f t="shared" si="44"/>
        <v>0.19438831623909764</v>
      </c>
      <c r="BF69" s="388"/>
      <c r="BG69" s="389">
        <f t="shared" si="41"/>
        <v>0.46723136580701197</v>
      </c>
      <c r="BH69" s="390">
        <f t="shared" si="42"/>
        <v>0.19438831623909764</v>
      </c>
      <c r="BI69" s="390">
        <f t="shared" si="43"/>
        <v>0.46723136580701197</v>
      </c>
      <c r="BO69">
        <f>AY62/2*AZ62</f>
        <v>526695</v>
      </c>
      <c r="BQ69">
        <f>SUMPRODUCT(AY62:AY64,AZ62:AZ64)/2/1000</f>
        <v>1451.152</v>
      </c>
      <c r="BR69">
        <f>BQ69*BR12/1000000</f>
        <v>6.4373102720000006E-2</v>
      </c>
      <c r="BS69">
        <f>BR69*BQ12</f>
        <v>4543.1932913141345</v>
      </c>
    </row>
    <row r="70" spans="1:71" ht="14.25">
      <c r="A70" s="969"/>
      <c r="B70" s="366" t="s">
        <v>20</v>
      </c>
      <c r="C70" s="367">
        <v>16896</v>
      </c>
      <c r="D70" s="368">
        <v>4588</v>
      </c>
      <c r="E70" s="369">
        <v>40.299999999999997</v>
      </c>
      <c r="F70" s="368">
        <v>3754</v>
      </c>
      <c r="G70" s="370">
        <f>SUM(C63:C70)</f>
        <v>120286</v>
      </c>
      <c r="H70" s="370">
        <f>SUM(D63:D70)</f>
        <v>29638</v>
      </c>
      <c r="I70" s="370">
        <f>SUM(E63:E70)</f>
        <v>321.10000000000002</v>
      </c>
      <c r="J70" s="370">
        <f>SUM(F63:F70)</f>
        <v>38507</v>
      </c>
      <c r="K70" s="972"/>
      <c r="L70" s="387">
        <f t="shared" si="30"/>
        <v>-0.56351236146632566</v>
      </c>
      <c r="M70" s="388">
        <f t="shared" si="31"/>
        <v>-0.26497917334187759</v>
      </c>
      <c r="N70" s="389">
        <f t="shared" si="32"/>
        <v>-0.39031770045385777</v>
      </c>
      <c r="O70" s="390">
        <f t="shared" si="33"/>
        <v>-0.7046187740970965</v>
      </c>
      <c r="P70" s="390">
        <f t="shared" si="34"/>
        <v>-0.51389186371222928</v>
      </c>
      <c r="Q70" s="390">
        <f t="shared" si="35"/>
        <v>-0.35106848835172533</v>
      </c>
      <c r="R70" s="390">
        <f t="shared" si="36"/>
        <v>-0.26572147267322194</v>
      </c>
      <c r="S70" s="390">
        <f t="shared" si="37"/>
        <v>-0.52503299495516387</v>
      </c>
      <c r="AL70">
        <f t="shared" si="24"/>
        <v>2020.6153846153857</v>
      </c>
      <c r="AO70">
        <f t="shared" si="3"/>
        <v>2020.9999999999955</v>
      </c>
      <c r="AP70" s="173">
        <f t="shared" si="39"/>
        <v>-0.53927862008596406</v>
      </c>
      <c r="AQ70" s="173">
        <f>M75</f>
        <v>-0.35266047432091674</v>
      </c>
      <c r="AW70" s="969"/>
      <c r="AX70" s="451" t="s">
        <v>437</v>
      </c>
      <c r="AY70" s="367">
        <v>882</v>
      </c>
      <c r="AZ70" s="368">
        <f>INDEX($BK$16:$BL$19,MATCH($AX70,$BK$16:$BK$19,0),2)</f>
        <v>130</v>
      </c>
      <c r="BA70" s="369">
        <f>AY70/2*AZ70*$BS$13/10^3</f>
        <v>179.46077637162821</v>
      </c>
      <c r="BB70" s="370">
        <f>SUM(AY70)</f>
        <v>882</v>
      </c>
      <c r="BC70" s="370">
        <f>SUM(BA70)</f>
        <v>179.46077637162821</v>
      </c>
      <c r="BD70" s="1023"/>
      <c r="BE70" s="385">
        <f t="shared" si="44"/>
        <v>0.80368098159509205</v>
      </c>
      <c r="BF70" s="388"/>
      <c r="BG70" s="389">
        <f t="shared" si="41"/>
        <v>0.80368098159509205</v>
      </c>
      <c r="BH70" s="390">
        <f t="shared" si="42"/>
        <v>0.80368098159509205</v>
      </c>
      <c r="BI70" s="390">
        <f t="shared" si="43"/>
        <v>0.80368098159509205</v>
      </c>
      <c r="BO70">
        <f>BO69*3.13/1000</f>
        <v>1648.5553499999999</v>
      </c>
      <c r="BQ70">
        <f>BQ69*3.13/1000</f>
        <v>4.5421057600000001</v>
      </c>
    </row>
    <row r="71" spans="1:71" ht="14.25">
      <c r="A71" s="969"/>
      <c r="B71" s="366" t="s">
        <v>211</v>
      </c>
      <c r="C71" s="367">
        <v>15416</v>
      </c>
      <c r="D71" s="368">
        <v>3529</v>
      </c>
      <c r="E71" s="369">
        <v>36.4</v>
      </c>
      <c r="F71" s="368">
        <v>4138</v>
      </c>
      <c r="G71" s="370">
        <f>SUM(C63:C71)</f>
        <v>135702</v>
      </c>
      <c r="H71" s="370">
        <f>SUM(D63:D71)</f>
        <v>33167</v>
      </c>
      <c r="I71" s="370">
        <f>SUM(E63:E71)</f>
        <v>357.5</v>
      </c>
      <c r="J71" s="370">
        <f>SUM(F63:F71)</f>
        <v>42645</v>
      </c>
      <c r="K71" s="972"/>
      <c r="L71" s="387">
        <f t="shared" si="30"/>
        <v>-0.51708799298311559</v>
      </c>
      <c r="M71" s="388">
        <f t="shared" si="31"/>
        <v>-0.22183020948180815</v>
      </c>
      <c r="N71" s="389">
        <f t="shared" si="32"/>
        <v>-0.3296500920810313</v>
      </c>
      <c r="O71" s="390">
        <f t="shared" si="33"/>
        <v>-0.63573943661971832</v>
      </c>
      <c r="P71" s="390">
        <f t="shared" si="34"/>
        <v>-0.51425707842645951</v>
      </c>
      <c r="Q71" s="390">
        <f t="shared" si="35"/>
        <v>-0.33939490509291531</v>
      </c>
      <c r="R71" s="390">
        <f t="shared" si="36"/>
        <v>-0.27278275020341736</v>
      </c>
      <c r="S71" s="390">
        <f t="shared" si="37"/>
        <v>-0.53863879783194313</v>
      </c>
      <c r="AL71">
        <f t="shared" si="24"/>
        <v>2020.6923076923088</v>
      </c>
      <c r="AO71">
        <f t="shared" si="3"/>
        <v>2021.0833333333287</v>
      </c>
      <c r="AP71" s="173">
        <f t="shared" si="39"/>
        <v>-0.32486290638464549</v>
      </c>
      <c r="AQ71" s="173">
        <f>M76</f>
        <v>-6.7964872088583428E-2</v>
      </c>
      <c r="AW71" s="969"/>
      <c r="AX71" s="451" t="s">
        <v>438</v>
      </c>
      <c r="AY71" s="367">
        <v>1433</v>
      </c>
      <c r="AZ71" s="368">
        <f>INDEX($BK$16:$BL$19,MATCH($AX71,$BK$16:$BK$19,0),2)</f>
        <v>110</v>
      </c>
      <c r="BA71" s="369">
        <f>AY71/2*AZ71*$BS$13/10^3</f>
        <v>246.71552572352829</v>
      </c>
      <c r="BB71" s="370">
        <f>SUM(AY70:AY71)</f>
        <v>2315</v>
      </c>
      <c r="BC71" s="370">
        <f>SUM(BA70:BA71)</f>
        <v>426.17630209515653</v>
      </c>
      <c r="BD71" s="1023"/>
      <c r="BE71" s="385">
        <f t="shared" si="44"/>
        <v>0.46974358974358976</v>
      </c>
      <c r="BF71" s="388"/>
      <c r="BG71" s="389">
        <f t="shared" si="41"/>
        <v>0.46974358974358982</v>
      </c>
      <c r="BH71" s="390">
        <f t="shared" si="42"/>
        <v>0.58128415300546443</v>
      </c>
      <c r="BI71" s="390">
        <f t="shared" si="43"/>
        <v>0.59401709401709402</v>
      </c>
      <c r="BO71">
        <f>AY63/2*AZ63</f>
        <v>896170</v>
      </c>
    </row>
    <row r="72" spans="1:71" ht="14.25">
      <c r="A72" s="969"/>
      <c r="B72" s="366" t="s">
        <v>213</v>
      </c>
      <c r="C72" s="367">
        <v>8561</v>
      </c>
      <c r="D72" s="368">
        <v>2733</v>
      </c>
      <c r="E72" s="369">
        <v>38</v>
      </c>
      <c r="F72" s="368">
        <v>4862</v>
      </c>
      <c r="G72" s="370">
        <f>SUM(C63:C72)</f>
        <v>144263</v>
      </c>
      <c r="H72" s="370">
        <f>SUM(D63:D72)</f>
        <v>35900</v>
      </c>
      <c r="I72" s="370">
        <f>SUM(E63:E72)</f>
        <v>395.5</v>
      </c>
      <c r="J72" s="370">
        <f>SUM(F63:F72)</f>
        <v>47507</v>
      </c>
      <c r="K72" s="972"/>
      <c r="L72" s="387">
        <f t="shared" si="30"/>
        <v>-0.70960957905091415</v>
      </c>
      <c r="M72" s="388">
        <f t="shared" si="31"/>
        <v>-0.39414763910441142</v>
      </c>
      <c r="N72" s="389">
        <f t="shared" si="32"/>
        <v>-0.29629629629629628</v>
      </c>
      <c r="O72" s="390">
        <f t="shared" si="33"/>
        <v>-0.58768656716417911</v>
      </c>
      <c r="P72" s="390">
        <f t="shared" si="34"/>
        <v>-0.53290421594879089</v>
      </c>
      <c r="Q72" s="390">
        <f t="shared" si="35"/>
        <v>-0.34390876859534342</v>
      </c>
      <c r="R72" s="390">
        <f t="shared" si="36"/>
        <v>-0.27510997067448667</v>
      </c>
      <c r="S72" s="390">
        <f t="shared" si="37"/>
        <v>-0.54418805468937392</v>
      </c>
      <c r="U72" t="s">
        <v>276</v>
      </c>
      <c r="V72">
        <v>474519</v>
      </c>
      <c r="W72">
        <v>3132</v>
      </c>
      <c r="AL72">
        <f t="shared" si="24"/>
        <v>2020.7692307692319</v>
      </c>
      <c r="AO72">
        <f t="shared" si="3"/>
        <v>2021.166666666662</v>
      </c>
      <c r="AP72" s="173">
        <f t="shared" si="39"/>
        <v>-0.24728643444298107</v>
      </c>
      <c r="AQ72" s="173">
        <f t="shared" si="40"/>
        <v>-0.20123022847100175</v>
      </c>
      <c r="AW72" s="969"/>
      <c r="AX72" s="451" t="s">
        <v>441</v>
      </c>
      <c r="AY72" s="367">
        <f>AY71+AY70</f>
        <v>2315</v>
      </c>
      <c r="AZ72" s="368"/>
      <c r="BA72" s="369">
        <f>SUM(BA70:BA71)</f>
        <v>426.17630209515653</v>
      </c>
      <c r="BB72" s="370">
        <f>SUM(AY72)</f>
        <v>2315</v>
      </c>
      <c r="BC72" s="370">
        <f>SUM(BA72)</f>
        <v>426.17630209515653</v>
      </c>
      <c r="BD72" s="1023"/>
      <c r="BE72" s="385">
        <f t="shared" si="44"/>
        <v>0.58128415300546443</v>
      </c>
      <c r="BF72" s="388"/>
      <c r="BG72" s="389">
        <f t="shared" si="41"/>
        <v>0.59401709401709402</v>
      </c>
      <c r="BH72" s="390">
        <f t="shared" si="42"/>
        <v>0.58128415300546443</v>
      </c>
      <c r="BI72" s="390">
        <f t="shared" si="43"/>
        <v>0.59401709401709402</v>
      </c>
      <c r="BO72">
        <f>BO71*3.13/1000</f>
        <v>2805.0120999999999</v>
      </c>
    </row>
    <row r="73" spans="1:71" ht="14.25">
      <c r="A73" s="969"/>
      <c r="B73" s="366" t="s">
        <v>216</v>
      </c>
      <c r="C73" s="367">
        <v>7638</v>
      </c>
      <c r="D73" s="368">
        <v>2277</v>
      </c>
      <c r="E73" s="369">
        <v>34</v>
      </c>
      <c r="F73" s="368">
        <v>4020</v>
      </c>
      <c r="G73" s="370">
        <f>SUM(C63:C73)</f>
        <v>151901</v>
      </c>
      <c r="H73" s="370">
        <f>SUM(D63:D73)</f>
        <v>38177</v>
      </c>
      <c r="I73" s="370">
        <f>SUM(E63:E73)</f>
        <v>429.5</v>
      </c>
      <c r="J73" s="370">
        <f>SUM(F63:F73)</f>
        <v>51527</v>
      </c>
      <c r="K73" s="972"/>
      <c r="L73" s="387">
        <f t="shared" si="30"/>
        <v>-0.70383869716944547</v>
      </c>
      <c r="M73" s="388">
        <f t="shared" si="31"/>
        <v>-0.56636831079794325</v>
      </c>
      <c r="N73" s="389">
        <f t="shared" si="32"/>
        <v>-0.32</v>
      </c>
      <c r="O73" s="390">
        <f t="shared" si="33"/>
        <v>-0.6154214101214962</v>
      </c>
      <c r="P73" s="390">
        <f t="shared" si="34"/>
        <v>-0.54607773703760154</v>
      </c>
      <c r="Q73" s="390">
        <f t="shared" si="35"/>
        <v>-0.36338775033767445</v>
      </c>
      <c r="R73" s="390">
        <f t="shared" si="36"/>
        <v>-0.27887844190732025</v>
      </c>
      <c r="S73" s="390">
        <f t="shared" si="37"/>
        <v>-0.55068103733933271</v>
      </c>
      <c r="V73">
        <v>6946</v>
      </c>
      <c r="W73">
        <v>706</v>
      </c>
      <c r="AL73">
        <f t="shared" si="24"/>
        <v>2020.8461538461549</v>
      </c>
      <c r="AO73">
        <f t="shared" si="3"/>
        <v>2021.2499999999952</v>
      </c>
      <c r="AP73" s="173">
        <f t="shared" si="39"/>
        <v>0.50326222417711308</v>
      </c>
      <c r="AQ73" s="173">
        <f t="shared" si="40"/>
        <v>0.10519377801212761</v>
      </c>
      <c r="AW73" s="969"/>
      <c r="AX73" s="452" t="s">
        <v>437</v>
      </c>
      <c r="AY73" s="453">
        <f>AY66+AY70</f>
        <v>16929</v>
      </c>
      <c r="AZ73" s="368">
        <f>INDEX($BK$16:$BL$19,MATCH($AX73,$BK$16:$BK$19,0),2)</f>
        <v>130</v>
      </c>
      <c r="BA73" s="369">
        <f>AY73/2*AZ73*$BS$13/10^3</f>
        <v>3444.5481668880884</v>
      </c>
      <c r="BB73" s="370">
        <f>SUM(AY73)</f>
        <v>16929</v>
      </c>
      <c r="BC73" s="370">
        <f>SUM(BA73)</f>
        <v>3444.5481668880884</v>
      </c>
      <c r="BD73" s="1023"/>
      <c r="BE73" s="385">
        <f t="shared" si="44"/>
        <v>1.0892262125138839</v>
      </c>
      <c r="BF73" s="388"/>
      <c r="BG73" s="389">
        <f t="shared" si="41"/>
        <v>1.0892262125138834</v>
      </c>
      <c r="BH73" s="390">
        <f t="shared" si="42"/>
        <v>1.0892262125138839</v>
      </c>
      <c r="BI73" s="390">
        <f t="shared" si="43"/>
        <v>1.0892262125138834</v>
      </c>
    </row>
    <row r="74" spans="1:71" ht="15" thickBot="1">
      <c r="A74" s="977"/>
      <c r="B74" s="374" t="s">
        <v>217</v>
      </c>
      <c r="C74" s="375">
        <v>12313</v>
      </c>
      <c r="D74" s="376">
        <v>2384</v>
      </c>
      <c r="E74" s="377">
        <v>51</v>
      </c>
      <c r="F74" s="378">
        <v>4389</v>
      </c>
      <c r="G74" s="370">
        <f>SUM(C63:C74)</f>
        <v>164214</v>
      </c>
      <c r="H74" s="370">
        <f>SUM(D63:D74)</f>
        <v>40561</v>
      </c>
      <c r="I74" s="370">
        <f>SUM(E63:E74)</f>
        <v>480.5</v>
      </c>
      <c r="J74" s="370">
        <f>SUM(F63:F74)</f>
        <v>55916</v>
      </c>
      <c r="K74" s="972"/>
      <c r="L74" s="391">
        <f t="shared" si="30"/>
        <v>-0.43484646807729382</v>
      </c>
      <c r="M74" s="392">
        <f t="shared" si="31"/>
        <v>-0.11342506507995537</v>
      </c>
      <c r="N74" s="393">
        <f t="shared" si="32"/>
        <v>-0.1206896551724138</v>
      </c>
      <c r="O74" s="394">
        <f t="shared" si="33"/>
        <v>-0.53682988602785986</v>
      </c>
      <c r="P74" s="394">
        <f t="shared" si="34"/>
        <v>-0.53927862008596406</v>
      </c>
      <c r="Q74" s="394">
        <f t="shared" si="35"/>
        <v>-0.35266047432091674</v>
      </c>
      <c r="R74" s="394">
        <f t="shared" si="36"/>
        <v>-0.26484088127294969</v>
      </c>
      <c r="S74" s="394">
        <f t="shared" si="37"/>
        <v>-0.54962385424553373</v>
      </c>
      <c r="AL74">
        <f t="shared" si="24"/>
        <v>2020.923076923078</v>
      </c>
      <c r="AO74">
        <f t="shared" si="3"/>
        <v>2021.3333333333285</v>
      </c>
      <c r="AP74" s="173">
        <f t="shared" ref="AP74:AP94" si="45">L79</f>
        <v>4.610868835961087</v>
      </c>
      <c r="AQ74" s="173">
        <f t="shared" ref="AQ74:AQ80" si="46">M79</f>
        <v>2.0095057034220534</v>
      </c>
      <c r="AW74" s="969"/>
      <c r="AX74" s="452" t="s">
        <v>438</v>
      </c>
      <c r="AY74" s="453">
        <f>AY67+AY71</f>
        <v>18469</v>
      </c>
      <c r="AZ74" s="368">
        <f>INDEX($BK$16:$BL$19,MATCH($AX74,$BK$16:$BK$19,0),2)</f>
        <v>110</v>
      </c>
      <c r="BA74" s="369">
        <f>AY74/2*AZ74*$BS$13/10^3</f>
        <v>3179.7550904311543</v>
      </c>
      <c r="BB74" s="370">
        <f>SUM(AY73:AY74)</f>
        <v>35398</v>
      </c>
      <c r="BC74" s="370">
        <f>SUM(BA73:BA74)</f>
        <v>6624.3032573192431</v>
      </c>
      <c r="BD74" s="1023"/>
      <c r="BE74" s="385">
        <f t="shared" si="44"/>
        <v>0.13348471830121517</v>
      </c>
      <c r="BF74" s="388"/>
      <c r="BG74" s="389">
        <f t="shared" si="41"/>
        <v>0.13348471830121514</v>
      </c>
      <c r="BH74" s="390">
        <f t="shared" si="42"/>
        <v>0.45091609624134116</v>
      </c>
      <c r="BI74" s="390">
        <f t="shared" si="43"/>
        <v>0.48726688758244813</v>
      </c>
    </row>
    <row r="75" spans="1:71" ht="15" thickBot="1">
      <c r="A75" s="379" t="s">
        <v>21</v>
      </c>
      <c r="B75" s="395">
        <v>2020</v>
      </c>
      <c r="C75" s="381">
        <f>SUM(C63:C74)</f>
        <v>164214</v>
      </c>
      <c r="D75" s="381">
        <f>SUM(D63:D74)</f>
        <v>40561</v>
      </c>
      <c r="E75" s="381">
        <f>SUM(E63:E74)</f>
        <v>480.5</v>
      </c>
      <c r="F75" s="381">
        <f>SUM(F63:F74)</f>
        <v>55916</v>
      </c>
      <c r="G75" s="382">
        <f>G67</f>
        <v>66619</v>
      </c>
      <c r="H75" s="382">
        <f>H67</f>
        <v>15275</v>
      </c>
      <c r="I75" s="382">
        <f>I67</f>
        <v>197</v>
      </c>
      <c r="J75" s="382">
        <f>J67</f>
        <v>28929</v>
      </c>
      <c r="K75" s="973"/>
      <c r="L75" s="396">
        <f t="shared" si="30"/>
        <v>-0.53927862008596406</v>
      </c>
      <c r="M75" s="396">
        <f t="shared" si="31"/>
        <v>-0.35266047432091674</v>
      </c>
      <c r="N75" s="397">
        <f t="shared" si="32"/>
        <v>-0.26484088127294969</v>
      </c>
      <c r="O75" s="398">
        <f t="shared" si="33"/>
        <v>-0.54962385424553373</v>
      </c>
      <c r="P75" s="398">
        <f t="shared" si="34"/>
        <v>-0.51931568921727089</v>
      </c>
      <c r="Q75" s="398">
        <f t="shared" si="35"/>
        <v>-0.43381889617850922</v>
      </c>
      <c r="R75" s="398">
        <f t="shared" si="36"/>
        <v>-0.26492537313432835</v>
      </c>
      <c r="S75" s="398">
        <f t="shared" si="37"/>
        <v>-0.35352745312744421</v>
      </c>
      <c r="AL75">
        <f t="shared" si="24"/>
        <v>2021.0000000000011</v>
      </c>
      <c r="AO75">
        <f t="shared" si="3"/>
        <v>2021.4166666666617</v>
      </c>
      <c r="AP75" s="173">
        <f t="shared" si="45"/>
        <v>2.2781307916335716</v>
      </c>
      <c r="AQ75" s="173">
        <f t="shared" si="46"/>
        <v>1.0617411521570654</v>
      </c>
      <c r="AW75" s="970"/>
      <c r="AX75" s="452" t="s">
        <v>439</v>
      </c>
      <c r="AY75" s="453">
        <f>AY68</f>
        <v>13614</v>
      </c>
      <c r="AZ75" s="425">
        <f>INDEX($BK$16:$BL$19,MATCH($AX75,$BK$16:$BK$19,0),2)</f>
        <v>3.5</v>
      </c>
      <c r="BA75" s="369">
        <f>AY75/2*AZ75*$BS$13/10^3</f>
        <v>74.578113843813995</v>
      </c>
      <c r="BB75" s="370">
        <f>SUM(AY73:AY75)</f>
        <v>49012</v>
      </c>
      <c r="BC75" s="370">
        <f>SUM(BA73:BA75)</f>
        <v>6698.8813711630573</v>
      </c>
      <c r="BD75" s="1023"/>
      <c r="BE75" s="385">
        <f t="shared" si="44"/>
        <v>-0.15775798069784708</v>
      </c>
      <c r="BF75" s="388"/>
      <c r="BG75" s="389">
        <f t="shared" si="41"/>
        <v>-0.15775798069784716</v>
      </c>
      <c r="BH75" s="390">
        <f t="shared" si="42"/>
        <v>0.20835285126106359</v>
      </c>
      <c r="BI75" s="390">
        <f t="shared" si="43"/>
        <v>0.47469355381104134</v>
      </c>
    </row>
    <row r="76" spans="1:71" ht="15" thickBot="1">
      <c r="A76" s="969">
        <v>2021</v>
      </c>
      <c r="B76" s="358" t="s">
        <v>191</v>
      </c>
      <c r="C76" s="359">
        <v>13789</v>
      </c>
      <c r="D76" s="360">
        <v>2441</v>
      </c>
      <c r="E76" s="361">
        <v>31</v>
      </c>
      <c r="F76" s="360">
        <v>3737</v>
      </c>
      <c r="G76" s="362">
        <f>C76</f>
        <v>13789</v>
      </c>
      <c r="H76" s="362">
        <f>D76</f>
        <v>2441</v>
      </c>
      <c r="I76" s="362">
        <f>E76</f>
        <v>31</v>
      </c>
      <c r="J76" s="362">
        <f>F76</f>
        <v>3737</v>
      </c>
      <c r="K76" s="971" t="s">
        <v>277</v>
      </c>
      <c r="L76" s="385">
        <f t="shared" si="30"/>
        <v>-0.32486290638464549</v>
      </c>
      <c r="M76" s="385">
        <f t="shared" si="31"/>
        <v>-6.7964872088583428E-2</v>
      </c>
      <c r="N76" s="385">
        <f t="shared" si="32"/>
        <v>-0.27906976744186046</v>
      </c>
      <c r="O76" s="386">
        <f t="shared" si="33"/>
        <v>-0.58988147497805088</v>
      </c>
      <c r="P76" s="386">
        <f t="shared" si="34"/>
        <v>-0.32486290638464549</v>
      </c>
      <c r="Q76" s="386">
        <f t="shared" si="35"/>
        <v>-6.7964872088583428E-2</v>
      </c>
      <c r="R76" s="386">
        <f t="shared" si="36"/>
        <v>-0.27906976744186046</v>
      </c>
      <c r="S76" s="386">
        <f t="shared" si="37"/>
        <v>-0.58988147497805088</v>
      </c>
      <c r="Y76" s="226"/>
      <c r="AO76">
        <f t="shared" ref="AO76:AO94" si="47">AO75+$AO$2</f>
        <v>2021.499999999995</v>
      </c>
      <c r="AP76" s="173">
        <f>L81</f>
        <v>0.85265980135275121</v>
      </c>
      <c r="AQ76" s="173">
        <f t="shared" si="46"/>
        <v>0.20394574599260173</v>
      </c>
      <c r="AW76" s="379" t="s">
        <v>21</v>
      </c>
      <c r="AX76" s="395">
        <f>AW66</f>
        <v>2021</v>
      </c>
      <c r="AY76" s="381">
        <f>SUM(AY73:AY75)</f>
        <v>49012</v>
      </c>
      <c r="AZ76" s="381"/>
      <c r="BA76" s="381">
        <f>SUM(BA73:BA75)</f>
        <v>6698.8813711630573</v>
      </c>
      <c r="BB76" s="382">
        <f>BB75</f>
        <v>49012</v>
      </c>
      <c r="BC76" s="382">
        <f>BC75</f>
        <v>6698.8813711630573</v>
      </c>
      <c r="BD76" s="1024"/>
      <c r="BE76" s="396">
        <f t="shared" si="44"/>
        <v>0.20835285126106359</v>
      </c>
      <c r="BF76" s="396"/>
      <c r="BG76" s="397">
        <f t="shared" si="41"/>
        <v>0.47469355381104134</v>
      </c>
      <c r="BH76" s="398">
        <f t="shared" si="42"/>
        <v>0.20835285126106359</v>
      </c>
      <c r="BI76" s="398">
        <f t="shared" si="43"/>
        <v>0.47469355381104134</v>
      </c>
    </row>
    <row r="77" spans="1:71" ht="14.25">
      <c r="A77" s="969"/>
      <c r="B77" s="366" t="s">
        <v>195</v>
      </c>
      <c r="C77" s="367">
        <v>16574</v>
      </c>
      <c r="D77" s="368">
        <v>2727</v>
      </c>
      <c r="E77" s="369">
        <v>36</v>
      </c>
      <c r="F77" s="368">
        <v>3586</v>
      </c>
      <c r="G77" s="370">
        <f>SUM(C76:C77)</f>
        <v>30363</v>
      </c>
      <c r="H77" s="370">
        <f>SUM(D76:D77)</f>
        <v>5168</v>
      </c>
      <c r="I77" s="370">
        <f>SUM(E76:E77)</f>
        <v>67</v>
      </c>
      <c r="J77" s="370">
        <f>SUM(F76:F77)</f>
        <v>7323</v>
      </c>
      <c r="K77" s="972"/>
      <c r="L77" s="387">
        <f t="shared" si="30"/>
        <v>-0.24728643444298107</v>
      </c>
      <c r="M77" s="388">
        <f t="shared" si="31"/>
        <v>-0.20123022847100175</v>
      </c>
      <c r="N77" s="389">
        <f t="shared" si="32"/>
        <v>-0.2</v>
      </c>
      <c r="O77" s="390">
        <f t="shared" si="33"/>
        <v>-0.64032096288866602</v>
      </c>
      <c r="P77" s="390">
        <f t="shared" si="34"/>
        <v>-0.28461701576231652</v>
      </c>
      <c r="Q77" s="390">
        <f t="shared" si="35"/>
        <v>-0.1433780871871374</v>
      </c>
      <c r="R77" s="390">
        <f t="shared" si="36"/>
        <v>-0.23863636363636365</v>
      </c>
      <c r="S77" s="390">
        <f t="shared" si="37"/>
        <v>-0.61623519547217276</v>
      </c>
      <c r="Y77" s="32"/>
      <c r="AO77">
        <f t="shared" si="47"/>
        <v>2021.5833333333283</v>
      </c>
      <c r="AP77" s="173">
        <f t="shared" si="45"/>
        <v>0.6864440078585462</v>
      </c>
      <c r="AQ77" s="173">
        <f>M82</f>
        <v>-0.21713286713286714</v>
      </c>
      <c r="AW77" s="976">
        <v>2022</v>
      </c>
      <c r="AX77" s="450" t="s">
        <v>437</v>
      </c>
      <c r="AY77" s="359">
        <v>15385</v>
      </c>
      <c r="AZ77" s="360">
        <f>INDEX($BK$16:$BL$19,MATCH($AX77,$BK$16:$BK$19,0),2)</f>
        <v>130</v>
      </c>
      <c r="BA77" s="361">
        <f>AY77/2*AZ77*$BS$13/10^3</f>
        <v>3130.3900731037415</v>
      </c>
      <c r="BB77" s="362">
        <f>AY77</f>
        <v>15385</v>
      </c>
      <c r="BC77" s="362">
        <f>BA77</f>
        <v>3130.3900731037415</v>
      </c>
      <c r="BD77" s="1052" t="str">
        <f>"Milli áranna "&amp; AW66&amp;" og "&amp; AW77</f>
        <v>Milli áranna 2021 og 2022</v>
      </c>
      <c r="BE77" s="385">
        <f t="shared" ref="BE77:BE87" si="48">(AY77-AY66)/AY66</f>
        <v>-4.1253816912818597E-2</v>
      </c>
      <c r="BF77" s="385"/>
      <c r="BG77" s="385">
        <f t="shared" ref="BG77:BG87" si="49">(BA77-BA66)/BA66</f>
        <v>-4.1253816912818632E-2</v>
      </c>
      <c r="BH77" s="386">
        <f>(BB77-BB66)/BB66</f>
        <v>-4.1253816912818597E-2</v>
      </c>
      <c r="BI77" s="386">
        <f>(BC77-BC66)/BC66</f>
        <v>-4.1253816912818632E-2</v>
      </c>
      <c r="BM77">
        <f>BC76/3.13</f>
        <v>2140.2176904674307</v>
      </c>
    </row>
    <row r="78" spans="1:71" ht="14.25">
      <c r="A78" s="969"/>
      <c r="B78" s="366" t="s">
        <v>15</v>
      </c>
      <c r="C78" s="367">
        <v>20506</v>
      </c>
      <c r="D78" s="368">
        <v>4192</v>
      </c>
      <c r="E78" s="369">
        <v>36</v>
      </c>
      <c r="F78" s="368">
        <v>4334</v>
      </c>
      <c r="G78" s="370">
        <f>SUM(C76:C78)</f>
        <v>50869</v>
      </c>
      <c r="H78" s="370">
        <f>SUM(D76:D78)</f>
        <v>9360</v>
      </c>
      <c r="I78" s="370">
        <f>SUM(E76:E78)</f>
        <v>103</v>
      </c>
      <c r="J78" s="370">
        <f>SUM(F76:F78)</f>
        <v>11657</v>
      </c>
      <c r="K78" s="972"/>
      <c r="L78" s="387">
        <f t="shared" si="30"/>
        <v>0.50326222417711308</v>
      </c>
      <c r="M78" s="388">
        <f t="shared" si="31"/>
        <v>0.10519377801212761</v>
      </c>
      <c r="N78" s="389">
        <f t="shared" si="32"/>
        <v>-0.14285714285714285</v>
      </c>
      <c r="O78" s="390">
        <f t="shared" si="33"/>
        <v>-0.36628162011990056</v>
      </c>
      <c r="P78" s="390">
        <f t="shared" si="34"/>
        <v>-9.2985521717423858E-2</v>
      </c>
      <c r="Q78" s="390">
        <f t="shared" si="35"/>
        <v>-4.7425198453083656E-2</v>
      </c>
      <c r="R78" s="390">
        <f t="shared" si="36"/>
        <v>-0.2076923076923077</v>
      </c>
      <c r="S78" s="390">
        <f t="shared" si="37"/>
        <v>-0.55028741175108986</v>
      </c>
      <c r="V78" s="399" t="s">
        <v>270</v>
      </c>
      <c r="W78" s="226"/>
      <c r="X78" s="226"/>
      <c r="Y78" s="32"/>
      <c r="AO78">
        <f t="shared" si="47"/>
        <v>2021.6666666666615</v>
      </c>
      <c r="AP78" s="173">
        <f t="shared" si="45"/>
        <v>0.94483901515151514</v>
      </c>
      <c r="AQ78" s="173">
        <f t="shared" si="46"/>
        <v>5.2964254577157803E-2</v>
      </c>
      <c r="AW78" s="969"/>
      <c r="AX78" s="451" t="s">
        <v>438</v>
      </c>
      <c r="AY78" s="367">
        <v>12461</v>
      </c>
      <c r="AZ78" s="368">
        <f>INDEX($BK$16:$BL$19,MATCH($AX78,$BK$16:$BK$19,0),2)</f>
        <v>110</v>
      </c>
      <c r="BA78" s="369">
        <f>AY78/2*AZ78*$BS$13/10^3</f>
        <v>2145.3748541806599</v>
      </c>
      <c r="BB78" s="370">
        <f>SUM(AY77:AY78)</f>
        <v>27846</v>
      </c>
      <c r="BC78" s="370">
        <f>SUM(BA77:BA78)</f>
        <v>5275.764927284401</v>
      </c>
      <c r="BD78" s="1023"/>
      <c r="BE78" s="385">
        <f t="shared" si="48"/>
        <v>-0.26854895515379196</v>
      </c>
      <c r="BF78" s="388"/>
      <c r="BG78" s="389">
        <f>(BA78-BA67)/BA67</f>
        <v>-0.26854895515379212</v>
      </c>
      <c r="BH78" s="390">
        <f t="shared" ref="BH78:BH87" si="50">(BB78-BB67)/BB67</f>
        <v>-0.15829882416951305</v>
      </c>
      <c r="BI78" s="390">
        <f t="shared" ref="BI78:BI87" si="51">(BC78-BC67)/BC67</f>
        <v>-0.14881302603236829</v>
      </c>
    </row>
    <row r="79" spans="1:71" ht="14.25">
      <c r="A79" s="969"/>
      <c r="B79" s="366" t="s">
        <v>16</v>
      </c>
      <c r="C79" s="367">
        <v>16726</v>
      </c>
      <c r="D79" s="368">
        <v>4749</v>
      </c>
      <c r="E79" s="369">
        <v>41.2</v>
      </c>
      <c r="F79" s="368">
        <v>4571</v>
      </c>
      <c r="G79" s="370">
        <f>SUM(C76:C79)</f>
        <v>67595</v>
      </c>
      <c r="H79" s="370">
        <f>SUM(D76:D79)</f>
        <v>14109</v>
      </c>
      <c r="I79" s="370">
        <f>SUM(E76:E79)</f>
        <v>144.19999999999999</v>
      </c>
      <c r="J79" s="370">
        <f>SUM(F76:F79)</f>
        <v>16228</v>
      </c>
      <c r="K79" s="972"/>
      <c r="L79" s="387">
        <f t="shared" si="30"/>
        <v>4.610868835961087</v>
      </c>
      <c r="M79" s="388">
        <f t="shared" si="31"/>
        <v>2.0095057034220534</v>
      </c>
      <c r="N79" s="389">
        <f t="shared" si="32"/>
        <v>0.36423841059602663</v>
      </c>
      <c r="O79" s="390">
        <f t="shared" si="33"/>
        <v>2.5297297297297296</v>
      </c>
      <c r="P79" s="390">
        <f t="shared" si="34"/>
        <v>0.14441716752730044</v>
      </c>
      <c r="Q79" s="390">
        <f t="shared" si="35"/>
        <v>0.23719747457032619</v>
      </c>
      <c r="R79" s="390">
        <f t="shared" si="36"/>
        <v>-9.9875156054931344E-2</v>
      </c>
      <c r="S79" s="390">
        <f t="shared" si="37"/>
        <v>-0.4037330981775426</v>
      </c>
      <c r="U79">
        <v>2016</v>
      </c>
      <c r="V79" s="32">
        <f t="shared" ref="V79:V85" si="52">INDEX($C$9:$F$101,MATCH($U79,$B$9:$B$101,0),MATCH(V$78,$C$9:$F$9,0))</f>
        <v>63732</v>
      </c>
      <c r="W79" s="32"/>
      <c r="X79" s="32"/>
      <c r="Y79" s="32"/>
      <c r="AO79">
        <f t="shared" si="47"/>
        <v>2021.7499999999948</v>
      </c>
      <c r="AP79" s="173">
        <f t="shared" si="45"/>
        <v>0.84451219512195119</v>
      </c>
      <c r="AQ79" s="173">
        <f t="shared" si="46"/>
        <v>9.3794275998866528E-2</v>
      </c>
      <c r="AW79" s="969"/>
      <c r="AX79" s="451" t="s">
        <v>439</v>
      </c>
      <c r="AY79" s="367">
        <v>11658</v>
      </c>
      <c r="AZ79" s="425">
        <f>INDEX($BK$16:$BL$19,MATCH($AX79,$BK$16:$BK$19,0),2)</f>
        <v>3.5</v>
      </c>
      <c r="BA79" s="369">
        <f>AY79/2*AZ79*$BS$13/10^3</f>
        <v>63.863056500013478</v>
      </c>
      <c r="BB79" s="370">
        <f>SUM(AY77:AY79)</f>
        <v>39504</v>
      </c>
      <c r="BC79" s="370">
        <f>SUM(BA77:BA79)</f>
        <v>5339.627983784414</v>
      </c>
      <c r="BD79" s="1023"/>
      <c r="BE79" s="385">
        <f t="shared" si="48"/>
        <v>-0.14367562802996914</v>
      </c>
      <c r="BF79" s="388"/>
      <c r="BG79" s="389">
        <f t="shared" si="49"/>
        <v>-0.14367562802996922</v>
      </c>
      <c r="BH79" s="390">
        <f t="shared" si="50"/>
        <v>-0.15403559115146584</v>
      </c>
      <c r="BI79" s="390">
        <f t="shared" si="51"/>
        <v>-0.14875194593233734</v>
      </c>
    </row>
    <row r="80" spans="1:71" ht="14.25">
      <c r="A80" s="969"/>
      <c r="B80" s="366" t="s">
        <v>17</v>
      </c>
      <c r="C80" s="367">
        <v>24763</v>
      </c>
      <c r="D80" s="368">
        <v>7981</v>
      </c>
      <c r="E80" s="369">
        <v>48.5</v>
      </c>
      <c r="F80" s="368">
        <v>4788</v>
      </c>
      <c r="G80" s="370">
        <f>SUM(C76:C80)</f>
        <v>92358</v>
      </c>
      <c r="H80" s="370">
        <f>SUM(D76:D80)</f>
        <v>22090</v>
      </c>
      <c r="I80" s="370">
        <f>SUM(E76:E80)</f>
        <v>192.7</v>
      </c>
      <c r="J80" s="370">
        <f>SUM(F76:F80)</f>
        <v>21016</v>
      </c>
      <c r="K80" s="972"/>
      <c r="L80" s="387">
        <f t="shared" si="30"/>
        <v>2.2781307916335716</v>
      </c>
      <c r="M80" s="388">
        <f t="shared" si="31"/>
        <v>1.0617411521570654</v>
      </c>
      <c r="N80" s="389">
        <f t="shared" si="32"/>
        <v>0.31793478260869573</v>
      </c>
      <c r="O80" s="390">
        <f t="shared" si="33"/>
        <v>1.7950963222416814</v>
      </c>
      <c r="P80" s="390">
        <f t="shared" si="34"/>
        <v>0.38636124829252916</v>
      </c>
      <c r="Q80" s="390">
        <f t="shared" si="35"/>
        <v>0.44615384615384618</v>
      </c>
      <c r="R80" s="390">
        <f t="shared" si="36"/>
        <v>-2.1827411167512748E-2</v>
      </c>
      <c r="S80" s="390">
        <f t="shared" si="37"/>
        <v>-0.27353175014691139</v>
      </c>
      <c r="U80">
        <v>2017</v>
      </c>
      <c r="V80" s="32">
        <f t="shared" si="52"/>
        <v>64656</v>
      </c>
      <c r="W80" s="32"/>
      <c r="X80" s="32"/>
      <c r="Y80" s="32"/>
      <c r="AO80">
        <f t="shared" si="47"/>
        <v>2021.833333333328</v>
      </c>
      <c r="AP80" s="173">
        <f t="shared" si="45"/>
        <v>2.7363625744655997</v>
      </c>
      <c r="AQ80" s="173">
        <f t="shared" si="46"/>
        <v>0.70106110501280638</v>
      </c>
      <c r="AW80" s="969"/>
      <c r="AX80" s="451" t="s">
        <v>440</v>
      </c>
      <c r="AY80" s="367">
        <f>SUM(AY77:AY79)</f>
        <v>39504</v>
      </c>
      <c r="AZ80" s="368"/>
      <c r="BA80" s="369">
        <f>SUM(BA77:BA79)</f>
        <v>5339.627983784414</v>
      </c>
      <c r="BB80" s="370">
        <f>SUM(AY77:AY79)</f>
        <v>39504</v>
      </c>
      <c r="BC80" s="370">
        <f>SUM(BA77:BA79)</f>
        <v>5339.627983784414</v>
      </c>
      <c r="BD80" s="1023"/>
      <c r="BE80" s="385">
        <f>(AY80-AY69)/AY69</f>
        <v>-0.15403559115146584</v>
      </c>
      <c r="BF80" s="388"/>
      <c r="BG80" s="389">
        <f t="shared" si="49"/>
        <v>-0.14875194593233734</v>
      </c>
      <c r="BH80" s="390">
        <f t="shared" si="50"/>
        <v>-0.15403559115146584</v>
      </c>
      <c r="BI80" s="390">
        <f t="shared" si="51"/>
        <v>-0.14875194593233734</v>
      </c>
    </row>
    <row r="81" spans="1:61" ht="14.25">
      <c r="A81" s="969"/>
      <c r="B81" s="366" t="s">
        <v>18</v>
      </c>
      <c r="C81" s="367">
        <v>30404</v>
      </c>
      <c r="D81" s="368">
        <v>4882</v>
      </c>
      <c r="E81" s="369">
        <v>57.7</v>
      </c>
      <c r="F81" s="368">
        <v>5526</v>
      </c>
      <c r="G81" s="370">
        <f>SUM(C76:C81)</f>
        <v>122762</v>
      </c>
      <c r="H81" s="370">
        <f>SUM(D76:D81)</f>
        <v>26972</v>
      </c>
      <c r="I81" s="370">
        <f>SUM(E76:E81)</f>
        <v>250.39999999999998</v>
      </c>
      <c r="J81" s="370">
        <f>SUM(F76:F81)</f>
        <v>26542</v>
      </c>
      <c r="K81" s="972"/>
      <c r="L81" s="387">
        <f t="shared" si="30"/>
        <v>0.85265980135275121</v>
      </c>
      <c r="M81" s="388">
        <f t="shared" si="31"/>
        <v>0.20394574599260173</v>
      </c>
      <c r="N81" s="389">
        <f t="shared" si="32"/>
        <v>0.44250000000000006</v>
      </c>
      <c r="O81" s="390">
        <f t="shared" si="33"/>
        <v>1.1229350749135614</v>
      </c>
      <c r="P81" s="390">
        <f t="shared" si="34"/>
        <v>0.47852583403589066</v>
      </c>
      <c r="Q81" s="390">
        <f t="shared" si="35"/>
        <v>0.39534402483186759</v>
      </c>
      <c r="R81" s="390">
        <f t="shared" si="36"/>
        <v>5.6540084388185557E-2</v>
      </c>
      <c r="S81" s="390">
        <f t="shared" si="37"/>
        <v>-0.1582519345426868</v>
      </c>
      <c r="U81">
        <v>2018</v>
      </c>
      <c r="V81" s="32">
        <f t="shared" si="52"/>
        <v>61220</v>
      </c>
      <c r="W81" s="32"/>
      <c r="X81" s="32"/>
      <c r="Y81" s="32"/>
      <c r="AO81">
        <f t="shared" si="47"/>
        <v>2021.9166666666613</v>
      </c>
      <c r="AP81" s="173">
        <f t="shared" si="45"/>
        <v>2.0759361089290391</v>
      </c>
      <c r="AQ81" s="173">
        <f>M86</f>
        <v>0.35265700483091789</v>
      </c>
      <c r="AW81" s="969"/>
      <c r="AX81" s="451" t="s">
        <v>437</v>
      </c>
      <c r="AY81" s="367">
        <v>1179</v>
      </c>
      <c r="AZ81" s="368">
        <f>INDEX($BK$16:$BL$19,MATCH($AX81,$BK$16:$BK$19,0),2)</f>
        <v>130</v>
      </c>
      <c r="BA81" s="369">
        <f>AY81/2*AZ81*$BS$13/10^3</f>
        <v>239.89144596615608</v>
      </c>
      <c r="BB81" s="370">
        <f>SUM(AY81)</f>
        <v>1179</v>
      </c>
      <c r="BC81" s="370">
        <f>SUM(BA81)</f>
        <v>239.89144596615608</v>
      </c>
      <c r="BD81" s="1023"/>
      <c r="BE81" s="385">
        <f t="shared" si="48"/>
        <v>0.33673469387755101</v>
      </c>
      <c r="BF81" s="388"/>
      <c r="BG81" s="389">
        <f t="shared" si="49"/>
        <v>0.33673469387755106</v>
      </c>
      <c r="BH81" s="390">
        <f t="shared" si="50"/>
        <v>0.33673469387755101</v>
      </c>
      <c r="BI81" s="390">
        <f>(BC81-BC70)/BC70</f>
        <v>0.33673469387755106</v>
      </c>
    </row>
    <row r="82" spans="1:61" ht="14.25">
      <c r="A82" s="969"/>
      <c r="B82" s="366" t="s">
        <v>19</v>
      </c>
      <c r="C82" s="367">
        <v>34336</v>
      </c>
      <c r="D82" s="368">
        <v>4478</v>
      </c>
      <c r="E82" s="369">
        <v>67.900000000000006</v>
      </c>
      <c r="F82" s="368">
        <v>6279</v>
      </c>
      <c r="G82" s="370">
        <f>SUM(C76:C82)</f>
        <v>157098</v>
      </c>
      <c r="H82" s="370">
        <f>SUM(D76:D82)</f>
        <v>31450</v>
      </c>
      <c r="I82" s="370">
        <f>SUM(E76:E82)</f>
        <v>318.29999999999995</v>
      </c>
      <c r="J82" s="370">
        <f>SUM(F76:F82)</f>
        <v>32821</v>
      </c>
      <c r="K82" s="972"/>
      <c r="L82" s="387">
        <f t="shared" si="30"/>
        <v>0.6864440078585462</v>
      </c>
      <c r="M82" s="388">
        <f t="shared" si="31"/>
        <v>-0.21713286713286714</v>
      </c>
      <c r="N82" s="389">
        <f t="shared" si="32"/>
        <v>0.55022831050228338</v>
      </c>
      <c r="O82" s="390">
        <f t="shared" si="33"/>
        <v>0.94939459795094694</v>
      </c>
      <c r="P82" s="390">
        <f t="shared" si="34"/>
        <v>0.51946996808201951</v>
      </c>
      <c r="Q82" s="390">
        <f t="shared" si="35"/>
        <v>0.2554890219560878</v>
      </c>
      <c r="R82" s="390">
        <f t="shared" si="36"/>
        <v>0.13354700854700835</v>
      </c>
      <c r="S82" s="390">
        <f t="shared" si="37"/>
        <v>-5.559232296492389E-2</v>
      </c>
      <c r="U82">
        <v>2019</v>
      </c>
      <c r="V82" s="32">
        <f t="shared" si="52"/>
        <v>62658</v>
      </c>
      <c r="W82" s="32"/>
      <c r="X82" s="32"/>
      <c r="Y82" s="32"/>
      <c r="AO82">
        <f t="shared" si="47"/>
        <v>2021.9999999999945</v>
      </c>
      <c r="AP82" s="173">
        <f t="shared" si="45"/>
        <v>0.86290912044180945</v>
      </c>
      <c r="AQ82" s="173">
        <f>M88</f>
        <v>0.24789822736125836</v>
      </c>
      <c r="AW82" s="969"/>
      <c r="AX82" s="451" t="s">
        <v>438</v>
      </c>
      <c r="AY82" s="367">
        <v>2089</v>
      </c>
      <c r="AZ82" s="368">
        <f>INDEX($BK$16:$BL$19,MATCH($AX82,$BK$16:$BK$19,0),2)</f>
        <v>110</v>
      </c>
      <c r="BA82" s="369">
        <f>AY82/2*AZ82*$BS$13/10^3</f>
        <v>359.65717601985392</v>
      </c>
      <c r="BB82" s="370">
        <f>SUM(AY81:AY82)</f>
        <v>3268</v>
      </c>
      <c r="BC82" s="370">
        <f>SUM(BA81:BA82)</f>
        <v>599.54862198600995</v>
      </c>
      <c r="BD82" s="1023"/>
      <c r="BE82" s="385">
        <f>(AY82-AY71)/AY71</f>
        <v>0.45778087927424982</v>
      </c>
      <c r="BF82" s="388"/>
      <c r="BG82" s="389">
        <f t="shared" si="49"/>
        <v>0.45778087927425004</v>
      </c>
      <c r="BH82" s="390">
        <f t="shared" si="50"/>
        <v>0.41166306695464361</v>
      </c>
      <c r="BI82" s="390">
        <f t="shared" si="51"/>
        <v>0.40680891696353144</v>
      </c>
    </row>
    <row r="83" spans="1:61" ht="14.25">
      <c r="A83" s="969"/>
      <c r="B83" s="366" t="s">
        <v>20</v>
      </c>
      <c r="C83" s="367">
        <v>32860</v>
      </c>
      <c r="D83" s="368">
        <v>4831</v>
      </c>
      <c r="E83" s="369">
        <v>36.5</v>
      </c>
      <c r="F83" s="368">
        <v>6600</v>
      </c>
      <c r="G83" s="370">
        <f>SUM(C76:C83)</f>
        <v>189958</v>
      </c>
      <c r="H83" s="370">
        <f>SUM(D76:D83)</f>
        <v>36281</v>
      </c>
      <c r="I83" s="370">
        <f>SUM(E76:E83)</f>
        <v>354.79999999999995</v>
      </c>
      <c r="J83" s="370">
        <f>SUM(F76:F83)</f>
        <v>39421</v>
      </c>
      <c r="K83" s="972"/>
      <c r="L83" s="387">
        <f t="shared" si="30"/>
        <v>0.94483901515151514</v>
      </c>
      <c r="M83" s="388">
        <f t="shared" si="31"/>
        <v>5.2964254577157803E-2</v>
      </c>
      <c r="N83" s="389">
        <f t="shared" si="32"/>
        <v>-9.4292803970223257E-2</v>
      </c>
      <c r="O83" s="390">
        <f t="shared" si="33"/>
        <v>0.75812466702184333</v>
      </c>
      <c r="P83" s="390">
        <f t="shared" si="34"/>
        <v>0.57921952679447319</v>
      </c>
      <c r="Q83" s="390">
        <f t="shared" si="35"/>
        <v>0.22413793103448276</v>
      </c>
      <c r="R83" s="390">
        <f t="shared" si="36"/>
        <v>0.10495172843350958</v>
      </c>
      <c r="S83" s="390">
        <f t="shared" si="37"/>
        <v>2.3735944114057186E-2</v>
      </c>
      <c r="U83">
        <v>2020</v>
      </c>
      <c r="V83" s="32">
        <f t="shared" si="52"/>
        <v>40561</v>
      </c>
      <c r="W83" s="32"/>
      <c r="X83" s="32"/>
      <c r="AO83">
        <f t="shared" si="47"/>
        <v>2022.0833333333278</v>
      </c>
      <c r="AP83" s="173">
        <f t="shared" si="45"/>
        <v>0.80747073940102554</v>
      </c>
      <c r="AQ83" s="173">
        <f t="shared" ref="AQ83:AQ93" si="53">M89</f>
        <v>-0.24252355591970504</v>
      </c>
      <c r="AW83" s="969"/>
      <c r="AX83" s="451" t="s">
        <v>441</v>
      </c>
      <c r="AY83" s="367">
        <f>AY82+AY81</f>
        <v>3268</v>
      </c>
      <c r="AZ83" s="368"/>
      <c r="BA83" s="369">
        <f>SUM(BA81:BA82)</f>
        <v>599.54862198600995</v>
      </c>
      <c r="BB83" s="370">
        <f>SUM(AY83)</f>
        <v>3268</v>
      </c>
      <c r="BC83" s="370">
        <f>SUM(BA83)</f>
        <v>599.54862198600995</v>
      </c>
      <c r="BD83" s="1023"/>
      <c r="BE83" s="385">
        <f t="shared" si="48"/>
        <v>0.41166306695464361</v>
      </c>
      <c r="BF83" s="388"/>
      <c r="BG83" s="389">
        <f t="shared" si="49"/>
        <v>0.40680891696353144</v>
      </c>
      <c r="BH83" s="390">
        <f t="shared" si="50"/>
        <v>0.41166306695464361</v>
      </c>
      <c r="BI83" s="390">
        <f t="shared" si="51"/>
        <v>0.40680891696353144</v>
      </c>
    </row>
    <row r="84" spans="1:61" ht="14.25">
      <c r="A84" s="969"/>
      <c r="B84" s="366" t="s">
        <v>211</v>
      </c>
      <c r="C84" s="367">
        <v>28435</v>
      </c>
      <c r="D84" s="368">
        <v>3860</v>
      </c>
      <c r="E84" s="369">
        <v>52.3</v>
      </c>
      <c r="F84" s="368">
        <v>7497</v>
      </c>
      <c r="G84" s="370">
        <f>SUM(C76:C84)</f>
        <v>218393</v>
      </c>
      <c r="H84" s="370">
        <f>SUM(D76:D84)</f>
        <v>40141</v>
      </c>
      <c r="I84" s="370">
        <f>SUM(E76:E84)</f>
        <v>407.09999999999997</v>
      </c>
      <c r="J84" s="370">
        <f>SUM(F76:F84)</f>
        <v>46918</v>
      </c>
      <c r="K84" s="972"/>
      <c r="L84" s="387">
        <f t="shared" si="30"/>
        <v>0.84451219512195119</v>
      </c>
      <c r="M84" s="388">
        <f t="shared" si="31"/>
        <v>9.3794275998866528E-2</v>
      </c>
      <c r="N84" s="389">
        <f t="shared" si="32"/>
        <v>0.43681318681318682</v>
      </c>
      <c r="O84" s="390">
        <f t="shared" si="33"/>
        <v>0.81174480425326245</v>
      </c>
      <c r="P84" s="390">
        <f t="shared" si="34"/>
        <v>0.60935726813164137</v>
      </c>
      <c r="Q84" s="390">
        <f t="shared" si="35"/>
        <v>0.21026924352519069</v>
      </c>
      <c r="R84" s="390">
        <f t="shared" si="36"/>
        <v>0.13874125874125864</v>
      </c>
      <c r="S84" s="390">
        <f t="shared" si="37"/>
        <v>0.10019931996717082</v>
      </c>
      <c r="U84">
        <v>2021</v>
      </c>
      <c r="V84" s="32">
        <f t="shared" si="52"/>
        <v>50616</v>
      </c>
      <c r="W84" s="32"/>
      <c r="X84" s="32"/>
      <c r="AO84">
        <f t="shared" si="47"/>
        <v>2022.1666666666611</v>
      </c>
      <c r="AP84" s="173">
        <f t="shared" si="45"/>
        <v>7.2158967292769605E-2</v>
      </c>
      <c r="AQ84" s="173">
        <f t="shared" si="53"/>
        <v>-7.4807480748074806E-2</v>
      </c>
      <c r="AW84" s="969"/>
      <c r="AX84" s="452" t="s">
        <v>437</v>
      </c>
      <c r="AY84" s="453">
        <f>AY77+AY81</f>
        <v>16564</v>
      </c>
      <c r="AZ84" s="368">
        <f>INDEX($BK$16:$BL$19,MATCH($AX84,$BK$16:$BK$19,0),2)</f>
        <v>130</v>
      </c>
      <c r="BA84" s="369">
        <f>AY84/2*AZ84*$BS$13/10^3</f>
        <v>3370.2815190698975</v>
      </c>
      <c r="BB84" s="370">
        <f>SUM(AY84)</f>
        <v>16564</v>
      </c>
      <c r="BC84" s="370">
        <f>SUM(BA84)</f>
        <v>3370.2815190698975</v>
      </c>
      <c r="BD84" s="1023"/>
      <c r="BE84" s="385">
        <f t="shared" si="48"/>
        <v>-2.1560635595723316E-2</v>
      </c>
      <c r="BF84" s="388"/>
      <c r="BG84" s="389">
        <f t="shared" si="49"/>
        <v>-2.156063559572334E-2</v>
      </c>
      <c r="BH84" s="390">
        <f t="shared" si="50"/>
        <v>-2.1560635595723316E-2</v>
      </c>
      <c r="BI84" s="390">
        <f>(BC84-BC73)/BC73</f>
        <v>-2.156063559572334E-2</v>
      </c>
    </row>
    <row r="85" spans="1:61" ht="14.25">
      <c r="A85" s="969"/>
      <c r="B85" s="366" t="s">
        <v>213</v>
      </c>
      <c r="C85" s="367">
        <v>31987</v>
      </c>
      <c r="D85" s="368">
        <v>4649</v>
      </c>
      <c r="E85" s="369">
        <v>56.6</v>
      </c>
      <c r="F85" s="368">
        <v>7466</v>
      </c>
      <c r="G85" s="370">
        <f>SUM(C76:C85)</f>
        <v>250380</v>
      </c>
      <c r="H85" s="370">
        <f>SUM(D76:D85)</f>
        <v>44790</v>
      </c>
      <c r="I85" s="370">
        <f>SUM(E76:E85)</f>
        <v>463.7</v>
      </c>
      <c r="J85" s="370">
        <f>SUM(F76:F85)</f>
        <v>54384</v>
      </c>
      <c r="K85" s="972"/>
      <c r="L85" s="387">
        <f t="shared" si="30"/>
        <v>2.7363625744655997</v>
      </c>
      <c r="M85" s="388">
        <f t="shared" si="31"/>
        <v>0.70106110501280638</v>
      </c>
      <c r="N85" s="389">
        <f t="shared" si="32"/>
        <v>0.48947368421052634</v>
      </c>
      <c r="O85" s="390">
        <f t="shared" si="33"/>
        <v>0.53558206499382965</v>
      </c>
      <c r="P85" s="390">
        <f t="shared" si="34"/>
        <v>0.7355801556878756</v>
      </c>
      <c r="Q85" s="390">
        <f t="shared" si="35"/>
        <v>0.24763231197771587</v>
      </c>
      <c r="R85" s="390">
        <f t="shared" si="36"/>
        <v>0.17243994943109983</v>
      </c>
      <c r="S85" s="390">
        <f t="shared" si="37"/>
        <v>0.14475761466731218</v>
      </c>
      <c r="U85">
        <v>2022</v>
      </c>
      <c r="V85" s="32">
        <f t="shared" si="52"/>
        <v>42731</v>
      </c>
      <c r="AO85">
        <f t="shared" si="47"/>
        <v>2022.2499999999943</v>
      </c>
      <c r="AP85" s="173">
        <f t="shared" si="45"/>
        <v>0.16574152286714131</v>
      </c>
      <c r="AQ85" s="173">
        <f t="shared" si="53"/>
        <v>-0.44036259541984735</v>
      </c>
      <c r="AW85" s="969"/>
      <c r="AX85" s="452" t="s">
        <v>438</v>
      </c>
      <c r="AY85" s="453">
        <f>AY78+AY82</f>
        <v>14550</v>
      </c>
      <c r="AZ85" s="368">
        <f>INDEX($BK$16:$BL$19,MATCH($AX85,$BK$16:$BK$19,0),2)</f>
        <v>110</v>
      </c>
      <c r="BA85" s="369">
        <f>AY85/2*AZ85*$BS$13/10^3</f>
        <v>2505.0320302005139</v>
      </c>
      <c r="BB85" s="370">
        <f>SUM(AY84:AY85)</f>
        <v>31114</v>
      </c>
      <c r="BC85" s="370">
        <f>SUM(BA84:BA85)</f>
        <v>5875.3135492704114</v>
      </c>
      <c r="BD85" s="1023"/>
      <c r="BE85" s="385">
        <f t="shared" si="48"/>
        <v>-0.21219340516541232</v>
      </c>
      <c r="BF85" s="388"/>
      <c r="BG85" s="389">
        <f t="shared" si="49"/>
        <v>-0.21219340516541238</v>
      </c>
      <c r="BH85" s="390">
        <f t="shared" si="50"/>
        <v>-0.12102378665461326</v>
      </c>
      <c r="BI85" s="390">
        <f t="shared" si="51"/>
        <v>-0.11306694137549746</v>
      </c>
    </row>
    <row r="86" spans="1:61" ht="15" thickBot="1">
      <c r="A86" s="969"/>
      <c r="B86" s="366" t="s">
        <v>216</v>
      </c>
      <c r="C86" s="367">
        <v>23494</v>
      </c>
      <c r="D86" s="368">
        <v>3080</v>
      </c>
      <c r="E86" s="369">
        <v>45.1</v>
      </c>
      <c r="F86" s="368">
        <v>7086</v>
      </c>
      <c r="G86" s="370">
        <f>SUM(C76:C86)</f>
        <v>273874</v>
      </c>
      <c r="H86" s="370">
        <f>SUM(D76:D86)</f>
        <v>47870</v>
      </c>
      <c r="I86" s="370">
        <f>SUM(E76:E86)</f>
        <v>508.8</v>
      </c>
      <c r="J86" s="370">
        <f>SUM(F76:F86)</f>
        <v>61470</v>
      </c>
      <c r="K86" s="972"/>
      <c r="L86" s="387">
        <f t="shared" si="30"/>
        <v>2.0759361089290391</v>
      </c>
      <c r="M86" s="388">
        <f t="shared" si="31"/>
        <v>0.35265700483091789</v>
      </c>
      <c r="N86" s="389">
        <f t="shared" si="32"/>
        <v>0.32647058823529418</v>
      </c>
      <c r="O86" s="390">
        <f t="shared" si="33"/>
        <v>0.76268656716417915</v>
      </c>
      <c r="P86" s="390">
        <f t="shared" si="34"/>
        <v>0.80297693892732769</v>
      </c>
      <c r="Q86" s="390">
        <f t="shared" si="35"/>
        <v>0.25389632501244203</v>
      </c>
      <c r="R86" s="390">
        <f t="shared" si="36"/>
        <v>0.18463329452852156</v>
      </c>
      <c r="S86" s="390">
        <f t="shared" si="37"/>
        <v>0.1929667941079434</v>
      </c>
      <c r="AO86">
        <f t="shared" si="47"/>
        <v>2022.3333333333276</v>
      </c>
      <c r="AP86" s="173">
        <f t="shared" si="45"/>
        <v>0.33302448063981271</v>
      </c>
      <c r="AQ86" s="173">
        <f t="shared" si="53"/>
        <v>-0.24552537376289746</v>
      </c>
      <c r="AW86" s="970"/>
      <c r="AX86" s="452" t="s">
        <v>439</v>
      </c>
      <c r="AY86" s="453">
        <f>AY79</f>
        <v>11658</v>
      </c>
      <c r="AZ86" s="425">
        <f>INDEX($BK$16:$BL$19,MATCH($AX86,$BK$16:$BK$19,0),2)</f>
        <v>3.5</v>
      </c>
      <c r="BA86" s="369">
        <f>AY86/2*AZ86*$BS$13/10^3</f>
        <v>63.863056500013478</v>
      </c>
      <c r="BB86" s="370">
        <f>SUM(AY84:AY86)</f>
        <v>42772</v>
      </c>
      <c r="BC86" s="370">
        <f>SUM(BA84:BA86)</f>
        <v>5939.1766057704244</v>
      </c>
      <c r="BD86" s="1023"/>
      <c r="BE86" s="385">
        <f t="shared" si="48"/>
        <v>-0.14367562802996914</v>
      </c>
      <c r="BF86" s="388"/>
      <c r="BG86" s="389">
        <f t="shared" si="49"/>
        <v>-0.14367562802996922</v>
      </c>
      <c r="BH86" s="390">
        <f t="shared" si="50"/>
        <v>-0.12731575940585979</v>
      </c>
      <c r="BI86" s="390">
        <f t="shared" si="51"/>
        <v>-0.11340770545108686</v>
      </c>
    </row>
    <row r="87" spans="1:61" ht="15" thickBot="1">
      <c r="A87" s="977"/>
      <c r="B87" s="374" t="s">
        <v>217</v>
      </c>
      <c r="C87" s="375">
        <v>22938</v>
      </c>
      <c r="D87" s="376">
        <v>2746</v>
      </c>
      <c r="E87" s="377">
        <v>74</v>
      </c>
      <c r="F87" s="378">
        <v>7745</v>
      </c>
      <c r="G87" s="370">
        <f>SUM(C76:C87)</f>
        <v>296812</v>
      </c>
      <c r="H87" s="370">
        <f>SUM(D76:D87)</f>
        <v>50616</v>
      </c>
      <c r="I87" s="370">
        <f>SUM(E76:E87)</f>
        <v>582.79999999999995</v>
      </c>
      <c r="J87" s="370">
        <f>SUM(F76:F87)</f>
        <v>69215</v>
      </c>
      <c r="K87" s="972"/>
      <c r="L87" s="391">
        <f t="shared" si="30"/>
        <v>0.86290912044180945</v>
      </c>
      <c r="M87" s="392">
        <f t="shared" si="31"/>
        <v>0.15184563758389261</v>
      </c>
      <c r="N87" s="393">
        <f t="shared" si="32"/>
        <v>0.45098039215686275</v>
      </c>
      <c r="O87" s="394">
        <f t="shared" si="33"/>
        <v>0.76463886990202778</v>
      </c>
      <c r="P87" s="394">
        <f t="shared" si="34"/>
        <v>0.80747073940102554</v>
      </c>
      <c r="Q87" s="394">
        <f t="shared" si="35"/>
        <v>0.24789822736125836</v>
      </c>
      <c r="R87" s="394">
        <f t="shared" si="36"/>
        <v>0.21290322580645152</v>
      </c>
      <c r="S87" s="394">
        <f t="shared" si="37"/>
        <v>0.23783890120895629</v>
      </c>
      <c r="AO87">
        <f t="shared" si="47"/>
        <v>2022.4166666666608</v>
      </c>
      <c r="AP87" s="173">
        <f t="shared" si="45"/>
        <v>0.64474470883654189</v>
      </c>
      <c r="AQ87" s="173">
        <f t="shared" si="53"/>
        <v>-0.5524370379651673</v>
      </c>
      <c r="AW87" s="379" t="s">
        <v>21</v>
      </c>
      <c r="AX87" s="395">
        <f>AW77</f>
        <v>2022</v>
      </c>
      <c r="AY87" s="381">
        <f>SUM(AY84:AY86)</f>
        <v>42772</v>
      </c>
      <c r="AZ87" s="381"/>
      <c r="BA87" s="381">
        <f>SUM(BA84:BA86)</f>
        <v>5939.1766057704244</v>
      </c>
      <c r="BB87" s="382">
        <f>BB86</f>
        <v>42772</v>
      </c>
      <c r="BC87" s="382">
        <f>BC86</f>
        <v>5939.1766057704244</v>
      </c>
      <c r="BD87" s="1024"/>
      <c r="BE87" s="396">
        <f t="shared" si="48"/>
        <v>-0.12731575940585979</v>
      </c>
      <c r="BF87" s="396"/>
      <c r="BG87" s="397">
        <f t="shared" si="49"/>
        <v>-0.11340770545108686</v>
      </c>
      <c r="BH87" s="398">
        <f t="shared" si="50"/>
        <v>-0.12731575940585979</v>
      </c>
      <c r="BI87" s="398">
        <f t="shared" si="51"/>
        <v>-0.11340770545108686</v>
      </c>
    </row>
    <row r="88" spans="1:61" ht="15" thickBot="1">
      <c r="A88" s="379" t="s">
        <v>21</v>
      </c>
      <c r="B88" s="395">
        <v>2021</v>
      </c>
      <c r="C88" s="381">
        <f>SUM(C76:C87)</f>
        <v>296812</v>
      </c>
      <c r="D88" s="381">
        <f>SUM(D76:D87)</f>
        <v>50616</v>
      </c>
      <c r="E88" s="381">
        <f>SUM(E76:E87)</f>
        <v>582.79999999999995</v>
      </c>
      <c r="F88" s="381">
        <f>SUM(F76:F87)</f>
        <v>69215</v>
      </c>
      <c r="G88" s="382">
        <f>G80</f>
        <v>92358</v>
      </c>
      <c r="H88" s="382">
        <f>H80</f>
        <v>22090</v>
      </c>
      <c r="I88" s="382">
        <f>I80</f>
        <v>192.7</v>
      </c>
      <c r="J88" s="382">
        <f>J80</f>
        <v>21016</v>
      </c>
      <c r="K88" s="973"/>
      <c r="L88" s="396">
        <f t="shared" ref="L88:L100" si="54">(C88-C75)/C75</f>
        <v>0.80747073940102554</v>
      </c>
      <c r="M88" s="396">
        <f t="shared" ref="M88:M100" si="55">(D88-D75)/D75</f>
        <v>0.24789822736125836</v>
      </c>
      <c r="N88" s="397">
        <f t="shared" ref="N88:N100" si="56">(E88-E75)/E75</f>
        <v>0.21290322580645152</v>
      </c>
      <c r="O88" s="398">
        <f t="shared" ref="O88:O100" si="57">(F88-F75)/F75</f>
        <v>0.23783890120895629</v>
      </c>
      <c r="P88" s="398">
        <f t="shared" ref="P88:P100" si="58">(G88-G75)/G75</f>
        <v>0.38636124829252916</v>
      </c>
      <c r="Q88" s="398">
        <f t="shared" ref="Q88:Q100" si="59">(H88-H75)/H75</f>
        <v>0.44615384615384618</v>
      </c>
      <c r="R88" s="398">
        <f t="shared" ref="R88:R100" si="60">(I88-I75)/I75</f>
        <v>-2.1827411167512748E-2</v>
      </c>
      <c r="S88" s="398">
        <f t="shared" ref="S88:S100" si="61">(J88-J75)/J75</f>
        <v>-0.27353175014691139</v>
      </c>
      <c r="AO88">
        <f t="shared" si="47"/>
        <v>2022.4999999999941</v>
      </c>
      <c r="AP88" s="173">
        <f t="shared" si="45"/>
        <v>0.32092234381940798</v>
      </c>
      <c r="AQ88" s="173">
        <f t="shared" si="53"/>
        <v>-0.28000819336337568</v>
      </c>
      <c r="AY88" s="25"/>
    </row>
    <row r="89" spans="1:61" ht="14.25">
      <c r="A89" s="969">
        <v>2022</v>
      </c>
      <c r="B89" s="358" t="s">
        <v>191</v>
      </c>
      <c r="C89" s="359">
        <v>14784</v>
      </c>
      <c r="D89" s="360">
        <v>1849</v>
      </c>
      <c r="E89" s="361">
        <v>40</v>
      </c>
      <c r="F89" s="360">
        <v>7387</v>
      </c>
      <c r="G89" s="362">
        <f>C89</f>
        <v>14784</v>
      </c>
      <c r="H89" s="362">
        <f>D89</f>
        <v>1849</v>
      </c>
      <c r="I89" s="362">
        <f>E89</f>
        <v>40</v>
      </c>
      <c r="J89" s="362">
        <f>F89</f>
        <v>7387</v>
      </c>
      <c r="K89" s="971" t="str">
        <f>"Milli áranna "&amp; A76&amp;" og "&amp; A89</f>
        <v>Milli áranna 2021 og 2022</v>
      </c>
      <c r="L89" s="385">
        <f>(C89-C76)/C76</f>
        <v>7.2158967292769605E-2</v>
      </c>
      <c r="M89" s="385">
        <f>(D89-D76)/D76</f>
        <v>-0.24252355591970504</v>
      </c>
      <c r="N89" s="385">
        <f>(E89-E76)/E76</f>
        <v>0.29032258064516131</v>
      </c>
      <c r="O89" s="386">
        <f>(F89-F76)/F76</f>
        <v>0.97671929355097675</v>
      </c>
      <c r="P89" s="386">
        <f t="shared" si="58"/>
        <v>7.2158967292769605E-2</v>
      </c>
      <c r="Q89" s="386">
        <f>(H89-H76)/H76</f>
        <v>-0.24252355591970504</v>
      </c>
      <c r="R89" s="386">
        <f>(I89-I76)/I76</f>
        <v>0.29032258064516131</v>
      </c>
      <c r="S89" s="386">
        <f>(J89-J76)/J76</f>
        <v>0.97671929355097675</v>
      </c>
      <c r="AO89">
        <f t="shared" si="47"/>
        <v>2022.5833333333273</v>
      </c>
      <c r="AP89" s="173">
        <f t="shared" si="45"/>
        <v>7.485857124062624E-2</v>
      </c>
      <c r="AQ89" s="173">
        <f t="shared" si="53"/>
        <v>-3.9973202322465387E-2</v>
      </c>
      <c r="AY89" s="858"/>
      <c r="AZ89" s="25"/>
    </row>
    <row r="90" spans="1:61" ht="14.25">
      <c r="A90" s="969"/>
      <c r="B90" s="366" t="s">
        <v>195</v>
      </c>
      <c r="C90" s="367">
        <v>19321</v>
      </c>
      <c r="D90" s="368">
        <v>2523</v>
      </c>
      <c r="E90" s="369">
        <v>39</v>
      </c>
      <c r="F90" s="368">
        <v>6970</v>
      </c>
      <c r="G90" s="370">
        <f>SUM(C89:C90)</f>
        <v>34105</v>
      </c>
      <c r="H90" s="370">
        <f>SUM(D89:D90)</f>
        <v>4372</v>
      </c>
      <c r="I90" s="370">
        <f>SUM(E89:E90)</f>
        <v>79</v>
      </c>
      <c r="J90" s="370">
        <f>SUM(F89:F90)</f>
        <v>14357</v>
      </c>
      <c r="K90" s="972"/>
      <c r="L90" s="387">
        <f t="shared" si="54"/>
        <v>0.16574152286714131</v>
      </c>
      <c r="M90" s="388">
        <f t="shared" si="55"/>
        <v>-7.4807480748074806E-2</v>
      </c>
      <c r="N90" s="389">
        <f t="shared" si="56"/>
        <v>8.3333333333333329E-2</v>
      </c>
      <c r="O90" s="390">
        <f t="shared" si="57"/>
        <v>0.94366982710540992</v>
      </c>
      <c r="P90" s="390">
        <f t="shared" si="58"/>
        <v>0.12324210387642855</v>
      </c>
      <c r="Q90" s="390">
        <f t="shared" si="59"/>
        <v>-0.15402476780185759</v>
      </c>
      <c r="R90" s="390">
        <f t="shared" si="60"/>
        <v>0.17910447761194029</v>
      </c>
      <c r="S90" s="390">
        <f t="shared" si="61"/>
        <v>0.96053529974054352</v>
      </c>
      <c r="AO90">
        <f t="shared" si="47"/>
        <v>2022.6666666666606</v>
      </c>
      <c r="AP90" s="173">
        <f t="shared" si="45"/>
        <v>3.1017008387698042E-2</v>
      </c>
      <c r="AQ90" s="173">
        <f t="shared" si="53"/>
        <v>0.24197888635893189</v>
      </c>
      <c r="AY90" s="858"/>
    </row>
    <row r="91" spans="1:61" ht="14.25">
      <c r="A91" s="969"/>
      <c r="B91" s="366" t="s">
        <v>15</v>
      </c>
      <c r="C91" s="367">
        <v>27335</v>
      </c>
      <c r="D91" s="368">
        <v>2346</v>
      </c>
      <c r="E91" s="369">
        <v>49</v>
      </c>
      <c r="F91" s="368">
        <v>7191</v>
      </c>
      <c r="G91" s="370">
        <f>SUM(C89:C91)</f>
        <v>61440</v>
      </c>
      <c r="H91" s="370">
        <f>SUM(D89:D91)</f>
        <v>6718</v>
      </c>
      <c r="I91" s="370">
        <f>SUM(E89:E91)</f>
        <v>128</v>
      </c>
      <c r="J91" s="370">
        <f>SUM(F89:F91)</f>
        <v>21548</v>
      </c>
      <c r="K91" s="972"/>
      <c r="L91" s="387">
        <f t="shared" si="54"/>
        <v>0.33302448063981271</v>
      </c>
      <c r="M91" s="388">
        <f t="shared" si="55"/>
        <v>-0.44036259541984735</v>
      </c>
      <c r="N91" s="389">
        <f t="shared" si="56"/>
        <v>0.3611111111111111</v>
      </c>
      <c r="O91" s="390">
        <f t="shared" si="57"/>
        <v>0.659206275957545</v>
      </c>
      <c r="P91" s="390">
        <f t="shared" si="58"/>
        <v>0.20780829188700387</v>
      </c>
      <c r="Q91" s="390">
        <f t="shared" si="59"/>
        <v>-0.28226495726495726</v>
      </c>
      <c r="R91" s="390">
        <f t="shared" si="60"/>
        <v>0.24271844660194175</v>
      </c>
      <c r="S91" s="390">
        <f t="shared" si="61"/>
        <v>0.84850304538045807</v>
      </c>
      <c r="AO91">
        <f t="shared" si="47"/>
        <v>2022.7499999999939</v>
      </c>
      <c r="AP91" s="173">
        <f t="shared" si="45"/>
        <v>0.28600121728545341</v>
      </c>
      <c r="AQ91" s="173">
        <f t="shared" si="53"/>
        <v>0.32953367875647671</v>
      </c>
    </row>
    <row r="92" spans="1:61" ht="14.25">
      <c r="A92" s="969"/>
      <c r="B92" s="366" t="s">
        <v>16</v>
      </c>
      <c r="C92" s="367">
        <v>27510</v>
      </c>
      <c r="D92" s="368">
        <v>3583</v>
      </c>
      <c r="E92" s="369">
        <v>61.9</v>
      </c>
      <c r="F92" s="368">
        <v>7716</v>
      </c>
      <c r="G92" s="370">
        <f>SUM(C89:C92)</f>
        <v>88950</v>
      </c>
      <c r="H92" s="370">
        <f>SUM(D89:D92)</f>
        <v>10301</v>
      </c>
      <c r="I92" s="370">
        <f>SUM(E89:E92)</f>
        <v>189.9</v>
      </c>
      <c r="J92" s="370">
        <f>SUM(F89:F92)</f>
        <v>29264</v>
      </c>
      <c r="K92" s="972"/>
      <c r="L92" s="387">
        <f t="shared" si="54"/>
        <v>0.64474470883654189</v>
      </c>
      <c r="M92" s="388">
        <f t="shared" si="55"/>
        <v>-0.24552537376289746</v>
      </c>
      <c r="N92" s="389">
        <f t="shared" si="56"/>
        <v>0.50242718446601931</v>
      </c>
      <c r="O92" s="390">
        <f t="shared" si="57"/>
        <v>0.68803325311747976</v>
      </c>
      <c r="P92" s="390">
        <f t="shared" si="58"/>
        <v>0.31592573415193431</v>
      </c>
      <c r="Q92" s="390">
        <f t="shared" si="59"/>
        <v>-0.26989864625416399</v>
      </c>
      <c r="R92" s="390">
        <f t="shared" si="60"/>
        <v>0.3169209431345355</v>
      </c>
      <c r="S92" s="390">
        <f t="shared" si="61"/>
        <v>0.80330293320187329</v>
      </c>
      <c r="AO92">
        <f t="shared" si="47"/>
        <v>2022.8333333333271</v>
      </c>
      <c r="AP92" s="173">
        <f t="shared" si="45"/>
        <v>0.17538245120450149</v>
      </c>
      <c r="AQ92" s="173">
        <f t="shared" si="53"/>
        <v>-5.2269305226930525E-2</v>
      </c>
    </row>
    <row r="93" spans="1:61" ht="14.25">
      <c r="A93" s="969"/>
      <c r="B93" s="366" t="s">
        <v>17</v>
      </c>
      <c r="C93" s="367">
        <v>32710</v>
      </c>
      <c r="D93" s="368">
        <v>3572</v>
      </c>
      <c r="E93" s="369">
        <v>58.3</v>
      </c>
      <c r="F93" s="368">
        <v>8632</v>
      </c>
      <c r="G93" s="370">
        <f>SUM(C89:C93)</f>
        <v>121660</v>
      </c>
      <c r="H93" s="370">
        <f>SUM(D89:D93)</f>
        <v>13873</v>
      </c>
      <c r="I93" s="370">
        <f>SUM(E89:E93)</f>
        <v>248.2</v>
      </c>
      <c r="J93" s="370">
        <f>SUM(F89:F93)</f>
        <v>37896</v>
      </c>
      <c r="K93" s="972"/>
      <c r="L93" s="387">
        <f t="shared" si="54"/>
        <v>0.32092234381940798</v>
      </c>
      <c r="M93" s="388">
        <f t="shared" si="55"/>
        <v>-0.5524370379651673</v>
      </c>
      <c r="N93" s="389">
        <f t="shared" si="56"/>
        <v>0.20206185567010304</v>
      </c>
      <c r="O93" s="390">
        <f>(F93-F80)/F80</f>
        <v>0.8028404344193818</v>
      </c>
      <c r="P93" s="390">
        <f t="shared" si="58"/>
        <v>0.31726542367742916</v>
      </c>
      <c r="Q93" s="390">
        <f>(H93-H80)/H80</f>
        <v>-0.37197827071072881</v>
      </c>
      <c r="R93" s="390">
        <f t="shared" si="60"/>
        <v>0.28801245459263103</v>
      </c>
      <c r="S93" s="390">
        <f t="shared" si="61"/>
        <v>0.80319756376094409</v>
      </c>
      <c r="AO93">
        <f t="shared" si="47"/>
        <v>2022.9166666666604</v>
      </c>
      <c r="AP93" s="173">
        <f t="shared" si="45"/>
        <v>-1.3224122299684248E-2</v>
      </c>
      <c r="AQ93" s="173">
        <f t="shared" si="53"/>
        <v>-0.13928571428571429</v>
      </c>
    </row>
    <row r="94" spans="1:61" ht="14.25">
      <c r="A94" s="969"/>
      <c r="B94" s="366" t="s">
        <v>18</v>
      </c>
      <c r="C94" s="367">
        <v>32680</v>
      </c>
      <c r="D94" s="368">
        <v>3515</v>
      </c>
      <c r="E94" s="369">
        <v>76.099999999999994</v>
      </c>
      <c r="F94" s="368">
        <v>9981</v>
      </c>
      <c r="G94" s="370">
        <f>SUM(C89:C94)</f>
        <v>154340</v>
      </c>
      <c r="H94" s="370">
        <f>SUM(D89:D94)</f>
        <v>17388</v>
      </c>
      <c r="I94" s="370">
        <f>SUM(E89:E94)</f>
        <v>324.29999999999995</v>
      </c>
      <c r="J94" s="370">
        <f>SUM(F89:F94)</f>
        <v>47877</v>
      </c>
      <c r="K94" s="972"/>
      <c r="L94" s="387">
        <f t="shared" si="54"/>
        <v>7.485857124062624E-2</v>
      </c>
      <c r="M94" s="388">
        <f t="shared" si="55"/>
        <v>-0.28000819336337568</v>
      </c>
      <c r="N94" s="389">
        <f t="shared" si="56"/>
        <v>0.31889081455805879</v>
      </c>
      <c r="O94" s="390">
        <f t="shared" si="57"/>
        <v>0.80618892508143325</v>
      </c>
      <c r="P94" s="390">
        <f>(G94-G81)/G81</f>
        <v>0.25722943581890162</v>
      </c>
      <c r="Q94" s="390">
        <f t="shared" si="59"/>
        <v>-0.35533145484205841</v>
      </c>
      <c r="R94" s="390">
        <f t="shared" si="60"/>
        <v>0.29512779552715651</v>
      </c>
      <c r="S94" s="390">
        <f t="shared" si="61"/>
        <v>0.80382036018385949</v>
      </c>
      <c r="AO94">
        <f t="shared" si="47"/>
        <v>2022.9999999999936</v>
      </c>
      <c r="AP94" s="173">
        <f t="shared" si="45"/>
        <v>0.16889418574955309</v>
      </c>
      <c r="AQ94" s="173">
        <f>M100</f>
        <v>3.9694100509832485E-2</v>
      </c>
    </row>
    <row r="95" spans="1:61" ht="14.25">
      <c r="A95" s="969"/>
      <c r="B95" s="366" t="s">
        <v>19</v>
      </c>
      <c r="C95" s="367">
        <v>35401</v>
      </c>
      <c r="D95" s="368">
        <v>4299</v>
      </c>
      <c r="E95" s="369">
        <v>70.2</v>
      </c>
      <c r="F95" s="368">
        <v>10996</v>
      </c>
      <c r="G95" s="370">
        <f>SUM(C89:C95)</f>
        <v>189741</v>
      </c>
      <c r="H95" s="370">
        <f>SUM(D89:D95)</f>
        <v>21687</v>
      </c>
      <c r="I95" s="370">
        <f>SUM(E89:E95)</f>
        <v>394.49999999999994</v>
      </c>
      <c r="J95" s="370">
        <f>SUM(F89:F95)</f>
        <v>58873</v>
      </c>
      <c r="K95" s="972"/>
      <c r="L95" s="387">
        <f t="shared" si="54"/>
        <v>3.1017008387698042E-2</v>
      </c>
      <c r="M95" s="388">
        <f t="shared" si="55"/>
        <v>-3.9973202322465387E-2</v>
      </c>
      <c r="N95" s="389">
        <f>(E95-E82)/E82</f>
        <v>3.3873343151693623E-2</v>
      </c>
      <c r="O95" s="390">
        <f t="shared" si="57"/>
        <v>0.75123427297340339</v>
      </c>
      <c r="P95" s="390">
        <f t="shared" si="58"/>
        <v>0.20778749570331895</v>
      </c>
      <c r="Q95" s="390">
        <f t="shared" si="59"/>
        <v>-0.31042925278219397</v>
      </c>
      <c r="R95" s="390">
        <f t="shared" si="60"/>
        <v>0.23939679547596607</v>
      </c>
      <c r="S95" s="390">
        <f t="shared" si="61"/>
        <v>0.79376009262362512</v>
      </c>
    </row>
    <row r="96" spans="1:61" ht="14.25">
      <c r="A96" s="969"/>
      <c r="B96" s="366" t="s">
        <v>20</v>
      </c>
      <c r="C96" s="367">
        <v>42258</v>
      </c>
      <c r="D96" s="368">
        <v>6000</v>
      </c>
      <c r="E96" s="369">
        <v>65</v>
      </c>
      <c r="F96" s="368">
        <v>10954</v>
      </c>
      <c r="G96" s="370">
        <f>SUM(C89:C96)</f>
        <v>231999</v>
      </c>
      <c r="H96" s="370">
        <f>SUM(D89:D96)</f>
        <v>27687</v>
      </c>
      <c r="I96" s="370">
        <f>SUM(E89:E96)</f>
        <v>459.49999999999994</v>
      </c>
      <c r="J96" s="370">
        <f>SUM(F89:F96)</f>
        <v>69827</v>
      </c>
      <c r="K96" s="972"/>
      <c r="L96" s="387">
        <f t="shared" si="54"/>
        <v>0.28600121728545341</v>
      </c>
      <c r="M96" s="388">
        <f t="shared" si="55"/>
        <v>0.24197888635893189</v>
      </c>
      <c r="N96" s="389">
        <f t="shared" si="56"/>
        <v>0.78082191780821919</v>
      </c>
      <c r="O96" s="390">
        <f t="shared" si="57"/>
        <v>0.65969696969696967</v>
      </c>
      <c r="P96" s="390">
        <f t="shared" si="58"/>
        <v>0.22131734383390012</v>
      </c>
      <c r="Q96" s="390">
        <f t="shared" si="59"/>
        <v>-0.23687329456189191</v>
      </c>
      <c r="R96" s="390">
        <f t="shared" si="60"/>
        <v>0.29509582863585121</v>
      </c>
      <c r="S96" s="390">
        <f t="shared" si="61"/>
        <v>0.77131478146165744</v>
      </c>
    </row>
    <row r="97" spans="1:19" ht="14.25">
      <c r="A97" s="969"/>
      <c r="B97" s="366" t="s">
        <v>211</v>
      </c>
      <c r="C97" s="367">
        <v>33422</v>
      </c>
      <c r="D97" s="368">
        <v>5132</v>
      </c>
      <c r="E97" s="369">
        <v>61.1</v>
      </c>
      <c r="F97" s="368">
        <v>10534</v>
      </c>
      <c r="G97" s="370">
        <f>SUM(C89:C97)</f>
        <v>265421</v>
      </c>
      <c r="H97" s="370">
        <f>SUM(D89:D97)</f>
        <v>32819</v>
      </c>
      <c r="I97" s="370">
        <f>SUM(E89:E97)</f>
        <v>520.59999999999991</v>
      </c>
      <c r="J97" s="370">
        <f>SUM(F89:F97)</f>
        <v>80361</v>
      </c>
      <c r="K97" s="972"/>
      <c r="L97" s="387">
        <f t="shared" si="54"/>
        <v>0.17538245120450149</v>
      </c>
      <c r="M97" s="388">
        <f t="shared" si="55"/>
        <v>0.32953367875647671</v>
      </c>
      <c r="N97" s="389">
        <f t="shared" si="56"/>
        <v>0.16826003824091787</v>
      </c>
      <c r="O97" s="390">
        <f t="shared" si="57"/>
        <v>0.40509537148192609</v>
      </c>
      <c r="P97" s="390">
        <f t="shared" si="58"/>
        <v>0.21533657214288004</v>
      </c>
      <c r="Q97" s="390">
        <f t="shared" si="59"/>
        <v>-0.18240701527116912</v>
      </c>
      <c r="R97" s="390">
        <f t="shared" si="60"/>
        <v>0.27880127732743787</v>
      </c>
      <c r="S97" s="390">
        <f t="shared" si="61"/>
        <v>0.71279679440726373</v>
      </c>
    </row>
    <row r="98" spans="1:19" ht="14.25">
      <c r="A98" s="969"/>
      <c r="B98" s="366" t="s">
        <v>213</v>
      </c>
      <c r="C98" s="367">
        <v>31564</v>
      </c>
      <c r="D98" s="368">
        <v>4406</v>
      </c>
      <c r="E98" s="369">
        <v>57.9</v>
      </c>
      <c r="F98" s="368">
        <v>10498</v>
      </c>
      <c r="G98" s="370">
        <f>SUM(C89:C98)</f>
        <v>296985</v>
      </c>
      <c r="H98" s="370">
        <f>SUM(D89:D98)</f>
        <v>37225</v>
      </c>
      <c r="I98" s="370">
        <f>SUM(E89:E98)</f>
        <v>578.49999999999989</v>
      </c>
      <c r="J98" s="370">
        <f>SUM(F89:F98)</f>
        <v>90859</v>
      </c>
      <c r="K98" s="972"/>
      <c r="L98" s="387">
        <f t="shared" si="54"/>
        <v>-1.3224122299684248E-2</v>
      </c>
      <c r="M98" s="388">
        <f>(D98-D85)/D85</f>
        <v>-5.2269305226930525E-2</v>
      </c>
      <c r="N98" s="389">
        <f t="shared" si="56"/>
        <v>2.2968197879858605E-2</v>
      </c>
      <c r="O98" s="390">
        <f t="shared" si="57"/>
        <v>0.40610768818644521</v>
      </c>
      <c r="P98" s="390">
        <f t="shared" si="58"/>
        <v>0.18613707165109034</v>
      </c>
      <c r="Q98" s="390">
        <f t="shared" si="59"/>
        <v>-0.16889930788122348</v>
      </c>
      <c r="R98" s="390">
        <f t="shared" si="60"/>
        <v>0.2475738624110414</v>
      </c>
      <c r="S98" s="390">
        <f t="shared" si="61"/>
        <v>0.67069358634892617</v>
      </c>
    </row>
    <row r="99" spans="1:19" ht="14.25">
      <c r="A99" s="969"/>
      <c r="B99" s="366" t="s">
        <v>216</v>
      </c>
      <c r="C99" s="367">
        <v>27462</v>
      </c>
      <c r="D99" s="368">
        <v>2651</v>
      </c>
      <c r="E99" s="369">
        <v>62.5</v>
      </c>
      <c r="F99" s="368">
        <v>9535</v>
      </c>
      <c r="G99" s="370">
        <f>SUM(C89:C99)</f>
        <v>324447</v>
      </c>
      <c r="H99" s="370">
        <f>SUM(D89:D99)</f>
        <v>39876</v>
      </c>
      <c r="I99" s="370">
        <f>SUM(E89:E99)</f>
        <v>640.99999999999989</v>
      </c>
      <c r="J99" s="370">
        <f>SUM(F89:F99)</f>
        <v>100394</v>
      </c>
      <c r="K99" s="972"/>
      <c r="L99" s="387">
        <f t="shared" si="54"/>
        <v>0.16889418574955309</v>
      </c>
      <c r="M99" s="388">
        <f t="shared" si="55"/>
        <v>-0.13928571428571429</v>
      </c>
      <c r="N99" s="389">
        <f t="shared" si="56"/>
        <v>0.38580931263858087</v>
      </c>
      <c r="O99" s="390">
        <f t="shared" si="57"/>
        <v>0.3456110640699972</v>
      </c>
      <c r="P99" s="390">
        <f t="shared" si="58"/>
        <v>0.18465790838122639</v>
      </c>
      <c r="Q99" s="390">
        <f t="shared" si="59"/>
        <v>-0.16699394192604972</v>
      </c>
      <c r="R99" s="390">
        <f t="shared" si="60"/>
        <v>0.25982704402515699</v>
      </c>
      <c r="S99" s="390">
        <f t="shared" si="61"/>
        <v>0.63321945664551815</v>
      </c>
    </row>
    <row r="100" spans="1:19" ht="15" thickBot="1">
      <c r="A100" s="977"/>
      <c r="B100" s="374" t="s">
        <v>217</v>
      </c>
      <c r="C100" s="375">
        <v>24366</v>
      </c>
      <c r="D100" s="376">
        <v>2855</v>
      </c>
      <c r="E100" s="377">
        <v>69</v>
      </c>
      <c r="F100" s="378">
        <v>8387</v>
      </c>
      <c r="G100" s="370">
        <f>SUM(C89:C100)</f>
        <v>348813</v>
      </c>
      <c r="H100" s="370">
        <f>SUM(D89:D100)</f>
        <v>42731</v>
      </c>
      <c r="I100" s="370">
        <f>SUM(E89:E100)</f>
        <v>709.99999999999989</v>
      </c>
      <c r="J100" s="370">
        <f>SUM(F89:F100)</f>
        <v>108781</v>
      </c>
      <c r="K100" s="972"/>
      <c r="L100" s="391">
        <f t="shared" si="54"/>
        <v>6.2254773737902169E-2</v>
      </c>
      <c r="M100" s="392">
        <f t="shared" si="55"/>
        <v>3.9694100509832485E-2</v>
      </c>
      <c r="N100" s="393">
        <f t="shared" si="56"/>
        <v>-6.7567567567567571E-2</v>
      </c>
      <c r="O100" s="394">
        <f t="shared" si="57"/>
        <v>8.2892188508715298E-2</v>
      </c>
      <c r="P100" s="394">
        <f t="shared" si="58"/>
        <v>0.17519844211150493</v>
      </c>
      <c r="Q100" s="394">
        <f t="shared" si="59"/>
        <v>-0.15578078078078078</v>
      </c>
      <c r="R100" s="394">
        <f t="shared" si="60"/>
        <v>0.21825669183253249</v>
      </c>
      <c r="S100" s="394">
        <f t="shared" si="61"/>
        <v>0.57163909557176917</v>
      </c>
    </row>
    <row r="101" spans="1:19" ht="15" thickBot="1">
      <c r="A101" s="379" t="s">
        <v>21</v>
      </c>
      <c r="B101" s="395">
        <f>A89</f>
        <v>2022</v>
      </c>
      <c r="C101" s="381">
        <f>SUM(C89:C100)</f>
        <v>348813</v>
      </c>
      <c r="D101" s="381">
        <f>SUM(D89:D100)</f>
        <v>42731</v>
      </c>
      <c r="E101" s="381">
        <f>SUM(E89:E100)</f>
        <v>709.99999999999989</v>
      </c>
      <c r="F101" s="381">
        <f>SUM(F89:F100)</f>
        <v>108781</v>
      </c>
      <c r="G101" s="382">
        <f>G93</f>
        <v>121660</v>
      </c>
      <c r="H101" s="382">
        <f>H93</f>
        <v>13873</v>
      </c>
      <c r="I101" s="382">
        <f>I93</f>
        <v>248.2</v>
      </c>
      <c r="J101" s="382">
        <f>J93</f>
        <v>37896</v>
      </c>
      <c r="K101" s="973"/>
      <c r="L101" s="396">
        <f t="shared" ref="L101" si="62">(C101-C88)/C88</f>
        <v>0.17519844211150493</v>
      </c>
      <c r="M101" s="396">
        <f t="shared" ref="M101" si="63">(D101-D88)/D88</f>
        <v>-0.15578078078078078</v>
      </c>
      <c r="N101" s="397">
        <f t="shared" ref="N101" si="64">(E101-E88)/E88</f>
        <v>0.21825669183253249</v>
      </c>
      <c r="O101" s="398">
        <f t="shared" ref="O101" si="65">(F101-F88)/F88</f>
        <v>0.57163909557176917</v>
      </c>
      <c r="P101" s="398">
        <f t="shared" ref="P101" si="66">(G101-G88)/G88</f>
        <v>0.31726542367742916</v>
      </c>
      <c r="Q101" s="398">
        <f t="shared" ref="Q101" si="67">(H101-H88)/H88</f>
        <v>-0.37197827071072881</v>
      </c>
      <c r="R101" s="398">
        <f t="shared" ref="R101" si="68">(I101-I88)/I88</f>
        <v>0.28801245459263103</v>
      </c>
      <c r="S101" s="398">
        <f t="shared" ref="S101" si="69">(J101-J88)/J88</f>
        <v>0.80319756376094409</v>
      </c>
    </row>
    <row r="105" spans="1:19">
      <c r="C105" s="858"/>
    </row>
    <row r="107" spans="1:19">
      <c r="C107" s="858"/>
    </row>
    <row r="108" spans="1:19">
      <c r="C108" s="858"/>
    </row>
  </sheetData>
  <mergeCells count="45">
    <mergeCell ref="A89:A100"/>
    <mergeCell ref="K89:K101"/>
    <mergeCell ref="AW77:AW86"/>
    <mergeCell ref="BD77:BD87"/>
    <mergeCell ref="AW66:AW75"/>
    <mergeCell ref="BD66:BD76"/>
    <mergeCell ref="A76:A87"/>
    <mergeCell ref="K76:K88"/>
    <mergeCell ref="A63:A74"/>
    <mergeCell ref="K63:K75"/>
    <mergeCell ref="AW55:AW64"/>
    <mergeCell ref="BD55:BD65"/>
    <mergeCell ref="A11:A22"/>
    <mergeCell ref="A24:A35"/>
    <mergeCell ref="K24:K36"/>
    <mergeCell ref="A4:O4"/>
    <mergeCell ref="A5:B7"/>
    <mergeCell ref="C5:O5"/>
    <mergeCell ref="H6:H8"/>
    <mergeCell ref="K6:S6"/>
    <mergeCell ref="L8:N8"/>
    <mergeCell ref="A8:B8"/>
    <mergeCell ref="BR8:BR9"/>
    <mergeCell ref="BS8:BS9"/>
    <mergeCell ref="L10:O10"/>
    <mergeCell ref="A37:A48"/>
    <mergeCell ref="K37:K49"/>
    <mergeCell ref="BE10:BG10"/>
    <mergeCell ref="AW11:AW20"/>
    <mergeCell ref="AW22:AW31"/>
    <mergeCell ref="BD22:BD32"/>
    <mergeCell ref="AW33:AW42"/>
    <mergeCell ref="BD33:BD43"/>
    <mergeCell ref="AW44:AW53"/>
    <mergeCell ref="BD44:BD54"/>
    <mergeCell ref="A50:A61"/>
    <mergeCell ref="K50:K62"/>
    <mergeCell ref="C10:F10"/>
    <mergeCell ref="BN7:BQ7"/>
    <mergeCell ref="BQ8:BQ9"/>
    <mergeCell ref="AW5:AX7"/>
    <mergeCell ref="AY5:BG5"/>
    <mergeCell ref="BD6:BI6"/>
    <mergeCell ref="AW8:AX8"/>
    <mergeCell ref="BE8:BG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E1F9C08DCB7941A27DC01087814F70" ma:contentTypeVersion="25" ma:contentTypeDescription="Create a new document." ma:contentTypeScope="" ma:versionID="711684aa19be62c04d9be39066d05b37">
  <xsd:schema xmlns:xsd="http://www.w3.org/2001/XMLSchema" xmlns:xs="http://www.w3.org/2001/XMLSchema" xmlns:p="http://schemas.microsoft.com/office/2006/metadata/properties" xmlns:ns2="14bfd2bb-3d4a-4549-9197-f3410a8da64b" xmlns:ns3="abbeec68-b05e-4e2e-88e5-2ac3e13fe809" xmlns:ns4="af0aa304-566e-4750-b11e-22b9c06e3397" xmlns:ns5="917c8f16-5bd7-42f2-8cfd-d3d3b3319cf0" xmlns:ns6="bdb53691-d7c2-4c16-9d23-b72dd810ca66" xmlns:ns7="3d815d55-d4f1-4917-a2d6-8f3ac7defde3" xmlns:ns8="16763c47-82fd-4f56-81e8-028af3971f8e" targetNamespace="http://schemas.microsoft.com/office/2006/metadata/properties" ma:root="true" ma:fieldsID="cd4436c49d2e7f2ef5e71ae6cdecfeb0" ns2:_="" ns3:_="" ns4:_="" ns5:_="" ns6:_="" ns7:_="" ns8:_="">
    <xsd:import namespace="14bfd2bb-3d4a-4549-9197-f3410a8da64b"/>
    <xsd:import namespace="abbeec68-b05e-4e2e-88e5-2ac3e13fe809"/>
    <xsd:import namespace="af0aa304-566e-4750-b11e-22b9c06e3397"/>
    <xsd:import namespace="917c8f16-5bd7-42f2-8cfd-d3d3b3319cf0"/>
    <xsd:import namespace="bdb53691-d7c2-4c16-9d23-b72dd810ca66"/>
    <xsd:import namespace="3d815d55-d4f1-4917-a2d6-8f3ac7defde3"/>
    <xsd:import namespace="16763c47-82fd-4f56-81e8-028af3971f8e"/>
    <xsd:element name="properties">
      <xsd:complexType>
        <xsd:sequence>
          <xsd:element name="documentManagement">
            <xsd:complexType>
              <xsd:all>
                <xsd:element ref="ns2:wpItemLocation" minOccurs="0"/>
                <xsd:element ref="ns3:wp_tag" minOccurs="0"/>
                <xsd:element ref="ns4:DocumentType" minOccurs="0"/>
                <xsd:element ref="ns5:Signature" minOccurs="0"/>
                <xsd:element ref="ns6:wpParent" minOccurs="0"/>
                <xsd:element ref="ns7:wpProjectID" minOccurs="0"/>
                <xsd:element ref="ns7:wpProjectManager" minOccurs="0"/>
                <xsd:element ref="ns6:wpProjectType" minOccurs="0"/>
                <xsd:element ref="ns6:wpFagsvid" minOccurs="0"/>
                <xsd:element ref="ns6:MediaServiceMetadata" minOccurs="0"/>
                <xsd:element ref="ns6:MediaServiceFastMetadata" minOccurs="0"/>
                <xsd:element ref="ns6:MediaServiceObjectDetectorVersions" minOccurs="0"/>
                <xsd:element ref="ns6:lcf76f155ced4ddcb4097134ff3c332f" minOccurs="0"/>
                <xsd:element ref="ns8:TaxCatchAll" minOccurs="0"/>
                <xsd:element ref="ns6:MediaServiceOCR" minOccurs="0"/>
                <xsd:element ref="ns6:MediaServiceGenerationTime" minOccurs="0"/>
                <xsd:element ref="ns6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bfd2bb-3d4a-4549-9197-f3410a8da64b" elementFormDefault="qualified">
    <xsd:import namespace="http://schemas.microsoft.com/office/2006/documentManagement/types"/>
    <xsd:import namespace="http://schemas.microsoft.com/office/infopath/2007/PartnerControls"/>
    <xsd:element name="wpItemLocation" ma:index="5" nillable="true" ma:displayName="wpItemLocation" ma:default="1f2345ff52cd45ad946ce18cf444a98c;4f10c4152bc44169865cb9aea2c0b633;3462;bc333dc250284a81867ff4f66c0034ee;25781;" ma:internalName="wpItem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beec68-b05e-4e2e-88e5-2ac3e13fe809" elementFormDefault="qualified">
    <xsd:import namespace="http://schemas.microsoft.com/office/2006/documentManagement/types"/>
    <xsd:import namespace="http://schemas.microsoft.com/office/infopath/2007/PartnerControls"/>
    <xsd:element name="wp_tag" ma:index="6" nillable="true" ma:displayName="Stage tag" ma:default="Verkefnavinna" ma:internalName="wp_tag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aa304-566e-4750-b11e-22b9c06e3397" elementFormDefault="qualified">
    <xsd:import namespace="http://schemas.microsoft.com/office/2006/documentManagement/types"/>
    <xsd:import namespace="http://schemas.microsoft.com/office/infopath/2007/PartnerControls"/>
    <xsd:element name="DocumentType" ma:index="7" nillable="true" ma:displayName="Documenttype" ma:internalName="DocumentType" ma:readOnly="false">
      <xsd:simpleType>
        <xsd:restriction base="dms:Choice">
          <xsd:enumeration value="Technical"/>
          <xsd:enumeration value="Documentation"/>
          <xsd:enumeration value="Variou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c8f16-5bd7-42f2-8cfd-d3d3b3319cf0" elementFormDefault="qualified">
    <xsd:import namespace="http://schemas.microsoft.com/office/2006/documentManagement/types"/>
    <xsd:import namespace="http://schemas.microsoft.com/office/infopath/2007/PartnerControls"/>
    <xsd:element name="Signature" ma:index="8" nillable="true" ma:displayName="Signature" ma:internalName="Signatur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b53691-d7c2-4c16-9d23-b72dd810ca66" elementFormDefault="qualified">
    <xsd:import namespace="http://schemas.microsoft.com/office/2006/documentManagement/types"/>
    <xsd:import namespace="http://schemas.microsoft.com/office/infopath/2007/PartnerControls"/>
    <xsd:element name="wpParent" ma:index="9" nillable="true" ma:displayName="Customer" ma:default="Reykjavíkurborg" ma:internalName="wpParent" ma:readOnly="false">
      <xsd:simpleType>
        <xsd:restriction base="dms:Text"/>
      </xsd:simpleType>
    </xsd:element>
    <xsd:element name="wpProjectType" ma:index="12" nillable="true" ma:displayName="Project Category" ma:default="D" ma:internalName="wpProjectType" ma:readOnly="false">
      <xsd:simpleType>
        <xsd:restriction base="dms:Text"/>
      </xsd:simpleType>
    </xsd:element>
    <xsd:element name="wpFagsvid" ma:index="13" nillable="true" ma:displayName="Service Divison" ma:default="411 Umhverfismál og vottanir" ma:internalName="wpFagsvid" ma:readOnly="false">
      <xsd:simpleType>
        <xsd:restriction base="dms:Text"/>
      </xsd:simpleType>
    </xsd:element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8edf6cd-2fb1-4067-a51f-1084b44d13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15d55-d4f1-4917-a2d6-8f3ac7defde3" elementFormDefault="qualified">
    <xsd:import namespace="http://schemas.microsoft.com/office/2006/documentManagement/types"/>
    <xsd:import namespace="http://schemas.microsoft.com/office/infopath/2007/PartnerControls"/>
    <xsd:element name="wpProjectID" ma:index="10" nillable="true" ma:displayName="Project ID" ma:default="103098" ma:indexed="true" ma:internalName="wpProjectID" ma:readOnly="false">
      <xsd:simpleType>
        <xsd:restriction base="dms:Text"/>
      </xsd:simpleType>
    </xsd:element>
    <xsd:element name="wpProjectManager" ma:index="11" nillable="true" ma:displayName="Project Manager" ma:default="" ma:indexed="true" ma:SharePointGroup="0" ma:internalName="wpProjectManag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763c47-82fd-4f56-81e8-028af3971f8e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96c3f10-118e-4adb-9337-9c4a13381887}" ma:internalName="TaxCatchAll" ma:showField="CatchAllData" ma:web="16763c47-82fd-4f56-81e8-028af3971f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 xmlns="af0aa304-566e-4750-b11e-22b9c06e3397" xsi:nil="true"/>
    <wpItemLocation xmlns="14bfd2bb-3d4a-4549-9197-f3410a8da64b">a0cb69f6;3462;917bf4e8;23090;</wpItemLocation>
    <wpProjectManager xmlns="3d815d55-d4f1-4917-a2d6-8f3ac7defde3">
      <UserInfo>
        <DisplayName/>
        <AccountId xsi:nil="true"/>
        <AccountType/>
      </UserInfo>
    </wpProjectManager>
    <Signature xmlns="917c8f16-5bd7-42f2-8cfd-d3d3b3319cf0" xsi:nil="true"/>
    <wpProjectID xmlns="3d815d55-d4f1-4917-a2d6-8f3ac7defde3">101197</wpProjectID>
    <wp_tag xmlns="abbeec68-b05e-4e2e-88e5-2ac3e13fe809">Active</wp_tag>
    <TaxCatchAll xmlns="16763c47-82fd-4f56-81e8-028af3971f8e" xsi:nil="true"/>
    <wpFagsvid xmlns="bdb53691-d7c2-4c16-9d23-b72dd810ca66">411 Umhverfismál og vottanir</wpFagsvid>
    <wpProjectType xmlns="bdb53691-d7c2-4c16-9d23-b72dd810ca66">D</wpProjectType>
    <wpParent xmlns="bdb53691-d7c2-4c16-9d23-b72dd810ca66">Reykjavíkurborg</wpParent>
    <lcf76f155ced4ddcb4097134ff3c332f xmlns="bdb53691-d7c2-4c16-9d23-b72dd810ca6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A8390B-B82C-48A1-B5BB-8A8AA62C3F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bfd2bb-3d4a-4549-9197-f3410a8da64b"/>
    <ds:schemaRef ds:uri="abbeec68-b05e-4e2e-88e5-2ac3e13fe809"/>
    <ds:schemaRef ds:uri="af0aa304-566e-4750-b11e-22b9c06e3397"/>
    <ds:schemaRef ds:uri="917c8f16-5bd7-42f2-8cfd-d3d3b3319cf0"/>
    <ds:schemaRef ds:uri="bdb53691-d7c2-4c16-9d23-b72dd810ca66"/>
    <ds:schemaRef ds:uri="3d815d55-d4f1-4917-a2d6-8f3ac7defde3"/>
    <ds:schemaRef ds:uri="16763c47-82fd-4f56-81e8-028af3971f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E2D007-6FCC-4EA3-A6B7-722091C73ABA}">
  <ds:schemaRefs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16763c47-82fd-4f56-81e8-028af3971f8e"/>
    <ds:schemaRef ds:uri="3d815d55-d4f1-4917-a2d6-8f3ac7defde3"/>
    <ds:schemaRef ds:uri="bdb53691-d7c2-4c16-9d23-b72dd810ca66"/>
    <ds:schemaRef ds:uri="http://schemas.microsoft.com/office/2006/documentManagement/types"/>
    <ds:schemaRef ds:uri="http://purl.org/dc/terms/"/>
    <ds:schemaRef ds:uri="http://purl.org/dc/dcmitype/"/>
    <ds:schemaRef ds:uri="917c8f16-5bd7-42f2-8cfd-d3d3b3319cf0"/>
    <ds:schemaRef ds:uri="abbeec68-b05e-4e2e-88e5-2ac3e13fe809"/>
    <ds:schemaRef ds:uri="af0aa304-566e-4750-b11e-22b9c06e3397"/>
    <ds:schemaRef ds:uri="14bfd2bb-3d4a-4549-9197-f3410a8da64b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837BD58-6633-432A-8939-0F763F7A9E6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Almennir losunarliðir</vt:lpstr>
      <vt:lpstr>Mælaborð</vt:lpstr>
      <vt:lpstr>Dashboard</vt:lpstr>
      <vt:lpstr>Reykjavík</vt:lpstr>
      <vt:lpstr>Umferð</vt:lpstr>
      <vt:lpstr>Götuumferð</vt:lpstr>
      <vt:lpstr>Orka</vt:lpstr>
      <vt:lpstr>Skip</vt:lpstr>
      <vt:lpstr>Flug</vt:lpstr>
      <vt:lpstr>Úrgangur</vt:lpstr>
      <vt:lpstr>Fráveita</vt:lpstr>
      <vt:lpstr>Landbúnaður og landnotkun</vt:lpstr>
      <vt:lpstr>Breytingar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stefan.thor.kristinsson@efla.is</dc:creator>
  <cp:lastModifiedBy>Stefán Þór Kristinsson</cp:lastModifiedBy>
  <cp:lastPrinted>2023-07-25T15:58:21Z</cp:lastPrinted>
  <dcterms:created xsi:type="dcterms:W3CDTF">2020-03-13T16:40:21Z</dcterms:created>
  <dcterms:modified xsi:type="dcterms:W3CDTF">2023-07-25T15:58:53Z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0x010100FBE1F9C08DCB7941A27DC01087814F70</vt:lpwstr>
  </property>
  <property fmtid="{D5CDD505-2E9C-101B-9397-08002B2CF9AE}" pid="3" name="Order">
    <vt:r8>3600</vt:r8>
  </property>
  <property fmtid="{D5CDD505-2E9C-101B-9397-08002B2CF9AE}" pid="4" name="MediaServiceImageTags">
    <vt:lpwstr/>
  </property>
</Properties>
</file>